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7.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3875" windowHeight="7905" tabRatio="837" activeTab="0"/>
  </bookViews>
  <sheets>
    <sheet name="Customer Information" sheetId="1" r:id="rId1"/>
    <sheet name="Savings Calculations" sheetId="2" r:id="rId2"/>
    <sheet name="Dryer Inputs and Calculations" sheetId="3" state="veryHidden" r:id="rId3"/>
    <sheet name="Explanation of Inputs" sheetId="4" r:id="rId4"/>
    <sheet name="Master Outputs" sheetId="5" r:id="rId5"/>
    <sheet name="Cooling Fan VFD" sheetId="6" r:id="rId6"/>
    <sheet name="Weather" sheetId="7" r:id="rId7"/>
    <sheet name="Correction Factors" sheetId="8" r:id="rId8"/>
    <sheet name="Operating Power" sheetId="9" r:id="rId9"/>
    <sheet name="Instructions" sheetId="10" r:id="rId10"/>
    <sheet name="AccessData" sheetId="11" r:id="rId11"/>
  </sheets>
  <externalReferences>
    <externalReference r:id="rId14"/>
  </externalReferences>
  <definedNames>
    <definedName name="_RPM1" localSheetId="2">'Dryer Inputs and Calculations'!$G$10</definedName>
    <definedName name="_xlfn.AVERAGEIF" hidden="1">#NAME?</definedName>
    <definedName name="_xlfn.IFERROR" hidden="1">#NAME?</definedName>
    <definedName name="_xlfn.SINGLE" hidden="1">#NAME?</definedName>
    <definedName name="AccountNumber">'Master Outputs'!$B$25</definedName>
    <definedName name="ambient_intercept">'Correction Factors'!$S$14</definedName>
    <definedName name="ambient_slope">'Correction Factors'!$S$13</definedName>
    <definedName name="AmbientTemp">'Dryer Inputs and Calculations'!$T$34</definedName>
    <definedName name="AnnualHours">'Dryer Inputs and Calculations'!$F$32</definedName>
    <definedName name="BaselineCorrectedCap">'Dryer Inputs and Calculations'!$F$21</definedName>
    <definedName name="BaselineDieselGal">'Master Outputs'!$D$40</definedName>
    <definedName name="BaselineDieselMMBTU">'Master Outputs'!$D$41</definedName>
    <definedName name="BaselineElectricityKwh">'Master Outputs'!$B$40</definedName>
    <definedName name="BaselineEquipmentCost">'Master Outputs'!$B$54</definedName>
    <definedName name="BaselineGasTherms">'Master Outputs'!$F$40</definedName>
    <definedName name="BaselinekW">'Dryer Inputs and Calculations'!$F$14</definedName>
    <definedName name="BaselineLaborCost">'Master Outputs'!$B$55</definedName>
    <definedName name="BaselineRating">'Dryer Inputs and Calculations'!$F$11</definedName>
    <definedName name="BaselineType">'Dryer Inputs and Calculations'!$E$10</definedName>
    <definedName name="BeginFirstCase">'Master Outputs'!$A$111</definedName>
    <definedName name="BetcApplicationFee">'Master Outputs'!$B$66</definedName>
    <definedName name="BETCAppStatus">'Master Outputs'!$B$100</definedName>
    <definedName name="BetcBaselineDieselMMBTU">'Master Outputs'!$D$41</definedName>
    <definedName name="BetcBaselineElectricityMMBTU">'Master Outputs'!$B$41</definedName>
    <definedName name="BetcBaselineGasMMBTU">'Master Outputs'!$F$41</definedName>
    <definedName name="BetcDescription">'Master Outputs'!$B$85</definedName>
    <definedName name="BetcDieselSavedGal">'Master Outputs'!$D$44</definedName>
    <definedName name="BetcDieselSavedMMBTU">'Master Outputs'!$D$45</definedName>
    <definedName name="BETCElectricitySavedkWh">'Master Outputs'!$B$44</definedName>
    <definedName name="BetcElectricitySavedMMBTU">'Master Outputs'!$B$45</definedName>
    <definedName name="BetcEngineeringCost">'Master Outputs'!$B$60</definedName>
    <definedName name="BetcGasSavedMMBTU">'Master Outputs'!$F$45</definedName>
    <definedName name="BetcGasSavedTherms">'Master Outputs'!$F$44</definedName>
    <definedName name="BetcOtherCost">'Master Outputs'!$B$61</definedName>
    <definedName name="BetcPercentSaved">'Master Outputs'!$B$64</definedName>
    <definedName name="BetcSimplePayback">'Master Outputs'!$B$65</definedName>
    <definedName name="BetcTotalBaselineCost">'Master Outputs'!$B$56</definedName>
    <definedName name="BetcTotalEnergySavedMMBTU">'Master Outputs'!$H$45</definedName>
    <definedName name="BetcTotalEnergyUpgradeMMBTU">'Master Outputs'!$H$43</definedName>
    <definedName name="BetcTotalEnergyUsedMMBTU">'Master Outputs'!$H$41</definedName>
    <definedName name="BetcTotalEstCost">'Master Outputs'!$B$62</definedName>
    <definedName name="BetcTotalProjectCost">'Master Outputs'!$B$63</definedName>
    <definedName name="BetcUpgradeDieselMMBTU">'Master Outputs'!$D$43</definedName>
    <definedName name="BetcUpgradeElectricityMMBTU">'Master Outputs'!$B$43</definedName>
    <definedName name="BetcUpgradeGasMMBTU">'Master Outputs'!$F$43</definedName>
    <definedName name="BetcValueDieselSavings">'Master Outputs'!$D$48</definedName>
    <definedName name="BetcValueGasSavings">'Master Outputs'!$F$48</definedName>
    <definedName name="BetcValueTotalSavings">'Master Outputs'!$H$48</definedName>
    <definedName name="BonusText">'Master Outputs'!$A$225</definedName>
    <definedName name="BPA_Credit">'Master Outputs'!$G$259</definedName>
    <definedName name="BPA_EECentralRange">'Master Outputs'!#REF!</definedName>
    <definedName name="BPA_Techreview_date">'Master Outputs'!#REF!</definedName>
    <definedName name="BPA_Techreview_name">'Master Outputs'!#REF!</definedName>
    <definedName name="BPAPTRRange">'Master Outputs'!#REF!</definedName>
    <definedName name="BusbarElectricitySavedkWh">'Master Outputs'!$B$46</definedName>
    <definedName name="BusinessTypeSpace">'Customer Information'!$X$13:$AF$14</definedName>
    <definedName name="CalculatedIncentive">'Master Outputs'!$L$143</definedName>
    <definedName name="CalculatedSimplePayback">'Master Outputs'!$B$192</definedName>
    <definedName name="CompanyName">'Master Outputs'!$B$7</definedName>
    <definedName name="CompFlow">'Dryer Inputs and Calculations'!$F$26</definedName>
    <definedName name="CompHP">'Dryer Inputs and Calculations'!$F$25</definedName>
    <definedName name="ContactEmail">'Master Outputs'!$B$19</definedName>
    <definedName name="ContactGender">'Master Outputs'!$B$5</definedName>
    <definedName name="ContactName">'Master Outputs'!$B$3</definedName>
    <definedName name="Controls">'Master Outputs'!$B$82</definedName>
    <definedName name="CoverPageWithBETC">'Master Outputs'!$B$220</definedName>
    <definedName name="CustInfoSummary">'Customer Information'!$D$4:$AF$63</definedName>
    <definedName name="cycling_air_intercept">'Operating Power'!$C$70</definedName>
    <definedName name="cycling_air_slope">'Operating Power'!$C$69</definedName>
    <definedName name="cycling_water_intercept">'Operating Power'!$R$46</definedName>
    <definedName name="cycling_water_slope">'Operating Power'!$R$45</definedName>
    <definedName name="CyclingAirkW">'Operating Power'!$R$51</definedName>
    <definedName name="CyclingWaterkW">'Operating Power'!$R$52</definedName>
    <definedName name="DateOfPrep">'Master Outputs'!$B$20</definedName>
    <definedName name="DieselPrice">'Master Outputs'!$D$47</definedName>
    <definedName name="DiscountRate">'Master Outputs'!$B$73</definedName>
    <definedName name="DryerPrintArea">'Dryer Inputs and Calculations'!$B$2:$O$64</definedName>
    <definedName name="Electric_LoadProfile">'Master Outputs'!$D$243</definedName>
    <definedName name="ElectricFraction">'Master Outputs'!$G$190</definedName>
    <definedName name="ElectricityCostSavings">'Master Outputs'!$B$48</definedName>
    <definedName name="ElectricityRate">'Master Outputs'!$B$47</definedName>
    <definedName name="ElectricRate">'Customer Information'!$Z$23</definedName>
    <definedName name="EnergySavings">'Master Outputs'!$B$106</definedName>
    <definedName name="EnergySavingsText">'Master Outputs'!$B$51</definedName>
    <definedName name="EstIncentive">'Master Outputs'!$L$143</definedName>
    <definedName name="EstSimplePayback">'Master Outputs'!$L$147</definedName>
    <definedName name="EstSimplePB">'Master Outputs'!$L$147</definedName>
    <definedName name="EstTaxCredit">'Master Outputs'!$B$107</definedName>
    <definedName name="EstUtilEligibleCost">'Master Outputs'!$B$59</definedName>
    <definedName name="ETOBonus">'Master Outputs'!$B$221</definedName>
    <definedName name="ETOBonusIncentive">'Master Outputs'!$B$222</definedName>
    <definedName name="ETOUpTo50PercentIncentive">'Master Outputs'!$B$202</definedName>
    <definedName name="ETOUpTo60PercentIncentive">'Master Outputs'!$B$217</definedName>
    <definedName name="ExplanOfInputs">'Explanation of Inputs'!$C$4:$AG$76</definedName>
    <definedName name="Fax">'Master Outputs'!$B$18</definedName>
    <definedName name="FederalFunding">'Master Outputs'!$B$37</definedName>
    <definedName name="FlowReductionEEM">'Savings Calculations'!$CD$77</definedName>
    <definedName name="GasPrice">'Master Outputs'!$F$47</definedName>
    <definedName name="GasUtilityName">'Master Outputs'!$D$23</definedName>
    <definedName name="Hide">'Savings Calculations'!$AN$1:$CY$1</definedName>
    <definedName name="HideCompWork">'Savings Calculations'!$AH$1:$CZ$1</definedName>
    <definedName name="HideCoolingFan">'Savings Calculations'!$B$32:$B$33</definedName>
    <definedName name="HideFlowReduction">'Savings Calculations'!$R$42:$R$46</definedName>
    <definedName name="HideLicense">'Savings Calculations'!$B$7:$B$7</definedName>
    <definedName name="HideOptionalMeasures">'Savings Calculations'!$B$9:$B$11</definedName>
    <definedName name="HideWork">'Dryer Inputs and Calculations'!$P$2:$AE$2</definedName>
    <definedName name="IncentiveCap">'Customer Information'!$AR$134</definedName>
    <definedName name="IncentiveCapCell">'Customer Information'!$M$33</definedName>
    <definedName name="IncentiveRate">'Customer Information'!$AR$133</definedName>
    <definedName name="IncentiveRateCell">'Customer Information'!$D$33</definedName>
    <definedName name="IncentiveSubTotal">'Master Outputs'!$B$68</definedName>
    <definedName name="IndoorOutdoorSelection">'Dryer Inputs and Calculations'!$F$17</definedName>
    <definedName name="IndustryType">'Master Outputs'!$B$26</definedName>
    <definedName name="inlet_p_intercept">'Correction Factors'!$L$16</definedName>
    <definedName name="inlet_p_slope">'Correction Factors'!$L$15</definedName>
    <definedName name="inlet_temp_intercept">'Correction Factors'!$E$14</definedName>
    <definedName name="inlet_temp_slope">'Correction Factors'!$E$13</definedName>
    <definedName name="InputBusinessType">'Customer Information'!$AR$148</definedName>
    <definedName name="InsideAirLabel">'Dryer Inputs and Calculations'!$H$18</definedName>
    <definedName name="InsideAirTemp">'Dryer Inputs and Calculations'!$F$18</definedName>
    <definedName name="InsideAirText">'Dryer Inputs and Calculations'!$E$18</definedName>
    <definedName name="Installed">'Master Outputs'!$B$80</definedName>
    <definedName name="InstallFanVFD">'Savings Calculations'!$CD$76</definedName>
    <definedName name="Instructions">'Instructions'!$B$3:$D$24</definedName>
    <definedName name="Invoices">'Master Outputs'!$B$83</definedName>
    <definedName name="IsBPAProject">'Savings Calculations'!$CJ$77</definedName>
    <definedName name="IsOtherUtility">'Master Outputs'!$B$105</definedName>
    <definedName name="kWhSaved">'Master Outputs'!$B$44</definedName>
    <definedName name="kWLabel">'Dryer Inputs and Calculations'!$C$14</definedName>
    <definedName name="LastName">'Master Outputs'!$B$4</definedName>
    <definedName name="LnLossAdj">'Master Outputs'!$B$50</definedName>
    <definedName name="LocationLabel">'Dryer Inputs and Calculations'!$H$17</definedName>
    <definedName name="Lost_Oppty">'[1]Calculations'!$AJ$3</definedName>
    <definedName name="MailCity">'Master Outputs'!$B$9</definedName>
    <definedName name="MailState">'Master Outputs'!$B$10</definedName>
    <definedName name="MailStreet">'Master Outputs'!$B$8</definedName>
    <definedName name="MailZip">'Master Outputs'!$B$11</definedName>
    <definedName name="MaxProjectCap">'Master Outputs'!$J$194</definedName>
    <definedName name="MeasureLife">'Master Outputs'!$B$188</definedName>
    <definedName name="MeasureLife_Default">'Master Outputs'!$B$253</definedName>
    <definedName name="MeasureName">'Master Outputs'!$B$77</definedName>
    <definedName name="NameOfCallingFile">'Master Outputs'!$G$1</definedName>
    <definedName name="nc_air_intercept">'Operating Power'!$C$119</definedName>
    <definedName name="nc_air_slope">'Operating Power'!$C$118</definedName>
    <definedName name="nc_water_intercept">'Operating Power'!$C$146</definedName>
    <definedName name="nc_water_slope">'Operating Power'!$C$145</definedName>
    <definedName name="NcAirkW">'Operating Power'!$R$55</definedName>
    <definedName name="NcWaterkW">'Operating Power'!$R$56</definedName>
    <definedName name="NewComConstruct_Yes">'[1]Calculations'!$BI$1</definedName>
    <definedName name="Non_EnergyBenefits">'Master Outputs'!$B$251</definedName>
    <definedName name="NonEnergyBenefits">'Master Outputs'!$B$71</definedName>
    <definedName name="OandM">'Master Outputs'!$B$249</definedName>
    <definedName name="OandMReduction">'Master Outputs'!$B$72</definedName>
    <definedName name="OutputRange">'Operating Power'!$F$103</definedName>
    <definedName name="OutsideTemp">'Dryer Inputs and Calculations'!$T$36</definedName>
    <definedName name="PrepareBetcDoc">'Master Outputs'!$B$220</definedName>
    <definedName name="_xlnm.Print_Area" localSheetId="0">'Customer Information'!$B$3:$AG$64</definedName>
    <definedName name="_xlnm.Print_Area" localSheetId="3">'Explanation of Inputs'!$B$2:$AG$76</definedName>
    <definedName name="_xlnm.Print_Area" localSheetId="9">'Instructions'!$B$3:$D$24</definedName>
    <definedName name="_xlnm.Print_Area" localSheetId="4">'Master Outputs'!$A$173:$B$218</definedName>
    <definedName name="_xlnm.Print_Area" localSheetId="1">'Savings Calculations'!$B$2:$Y$79</definedName>
    <definedName name="_xlnm.Print_Titles" localSheetId="9">'Instructions'!$3:$5</definedName>
    <definedName name="ProjectName">'Master Outputs'!$B$74</definedName>
    <definedName name="ProjectNameSave">'Master Outputs'!#REF!</definedName>
    <definedName name="ProjectType">'Master Outputs'!$B$179</definedName>
    <definedName name="PV_Energy_Savings">'Master Outputs'!$H$253</definedName>
    <definedName name="PV_kWh">'Master Outputs'!$E$243</definedName>
    <definedName name="PV_Non_EnergyBenefits">'Master Outputs'!$H$254</definedName>
    <definedName name="PV_OandM">'Master Outputs'!$H$255</definedName>
    <definedName name="RateSchedule">'Master Outputs'!#REF!</definedName>
    <definedName name="ReasonForProject">'Master Outputs'!$B$27</definedName>
    <definedName name="RemoveBorder" localSheetId="2">'Dryer Inputs and Calculations'!$L$17:$N$18</definedName>
    <definedName name="Removed">'Master Outputs'!$B$81</definedName>
    <definedName name="SalesRep">'Master Outputs'!$B$30</definedName>
    <definedName name="Savings_Busbar">'[1]Credit_Payment Calculator'!$C$27</definedName>
    <definedName name="SectorVis">'Customer Information'!$AR$147</definedName>
    <definedName name="SelfDirectRate">'Master Outputs'!$J$196</definedName>
    <definedName name="SheetState" hidden="1">"'-1:-1:2:2:2:2:2:-1:-1:2:2"</definedName>
    <definedName name="ShowDryer">'Savings Calculations'!$CD$78</definedName>
    <definedName name="SiteCity">'Master Outputs'!$B$13</definedName>
    <definedName name="SiteCounty">'Master Outputs'!$B$16</definedName>
    <definedName name="SiteState">'Master Outputs'!$B$14</definedName>
    <definedName name="SiteStreet">'Master Outputs'!$B$12</definedName>
    <definedName name="SiteZip">'Master Outputs'!$B$15</definedName>
    <definedName name="TaxCreditNPV">'Master Outputs'!$B$108</definedName>
    <definedName name="telltest">'Master Outputs'!$D$17</definedName>
    <definedName name="TelOrCell">'Master Outputs'!$B$17</definedName>
    <definedName name="TimedOut_Work">'Savings Calculations'!$C$48:$C$53</definedName>
    <definedName name="Title">'Master Outputs'!$B$6</definedName>
    <definedName name="ToolName">'Master Outputs'!$B$75</definedName>
    <definedName name="ToolVersion">'Master Outputs'!$B$76</definedName>
    <definedName name="TotalEstimatedIncentive">'Master Outputs'!$B$223</definedName>
    <definedName name="TRCBenefit_Cost_Ratio">'Master Outputs'!$B$259</definedName>
    <definedName name="Unloaded_Show">'Savings Calculations'!$CD$74</definedName>
    <definedName name="Unloaded_Y_N">'Savings Calculations'!$D$45</definedName>
    <definedName name="UpgradeCorrectedCap">'Dryer Inputs and Calculations'!$I$21</definedName>
    <definedName name="UpgradeDieselGal">'Master Outputs'!$D$42</definedName>
    <definedName name="UpgradeElectricityKwh">'Master Outputs'!$B$42</definedName>
    <definedName name="UpgradeEquipmentCost">'Master Outputs'!$B$57</definedName>
    <definedName name="UpgradeGasTherms">'Master Outputs'!$F$42</definedName>
    <definedName name="UpgradekW">'Dryer Inputs and Calculations'!$I$14</definedName>
    <definedName name="UpgradeLaborCost">'Master Outputs'!$B$58</definedName>
    <definedName name="UpgradeRating">'Dryer Inputs and Calculations'!$I$11</definedName>
    <definedName name="UpgradeType">'Dryer Inputs and Calculations'!$I$10</definedName>
    <definedName name="UtilAccountNumber">'Master Outputs'!$B$25</definedName>
    <definedName name="Utility">'Master Outputs'!#REF!</definedName>
    <definedName name="UtilityIncentiveCap">'Master Outputs'!$B$36</definedName>
    <definedName name="UtilityIncentiveRate">'Master Outputs'!$B$35</definedName>
    <definedName name="UtilityName">'Master Outputs'!$B$23</definedName>
    <definedName name="ValidBusinessTypes">'Master Outputs'!$K$3:$K$49</definedName>
    <definedName name="ValueGasElectricSavings">'Master Outputs'!$B$49</definedName>
    <definedName name="VendorCompany">'Master Outputs'!$B$30</definedName>
    <definedName name="VendorTel">'Master Outputs'!$B$32</definedName>
    <definedName name="WeatherLocation">'Dryer Inputs and Calculations'!$L$17</definedName>
  </definedNames>
  <calcPr calcMode="manual" fullCalcOnLoad="1"/>
</workbook>
</file>

<file path=xl/comments2.xml><?xml version="1.0" encoding="utf-8"?>
<comments xmlns="http://schemas.openxmlformats.org/spreadsheetml/2006/main">
  <authors>
    <author>Paul Warila</author>
  </authors>
  <commentList>
    <comment ref="CD101" authorId="0">
      <text>
        <r>
          <rPr>
            <sz val="8"/>
            <rFont val="Tahoma"/>
            <family val="2"/>
          </rPr>
          <t xml:space="preserve">Default full load kW at rated output = motor nominal hp x 1.1, assuming it is sized to operate into the service factor at full load, x 0.746, divided by EPACT motor efficiency looked up in table above.
</t>
        </r>
      </text>
    </comment>
    <comment ref="CD103" authorId="0">
      <text>
        <r>
          <rPr>
            <sz val="8"/>
            <rFont val="Tahoma"/>
            <family val="2"/>
          </rPr>
          <t xml:space="preserve">If no bhp entry in cell J15, then go with standard calculated estimate of kW at rated full load conditions above.  If there is an entry, make sure it's within -10% and+18% of nominal motor hp, then calculate compressor full load kW using bhp and table of EPACT motor efficiencies above.  If bhp entry is outside the 15% bounds, report an error.
</t>
        </r>
      </text>
    </comment>
  </commentList>
</comments>
</file>

<file path=xl/comments5.xml><?xml version="1.0" encoding="utf-8"?>
<comments xmlns="http://schemas.openxmlformats.org/spreadsheetml/2006/main">
  <authors>
    <author>Paul Warila</author>
    <author>Doug Heredos</author>
    <author>Patrick Reedy</author>
  </authors>
  <commentList>
    <comment ref="C103" authorId="0">
      <text>
        <r>
          <rPr>
            <sz val="8"/>
            <rFont val="Tahoma"/>
            <family val="2"/>
          </rPr>
          <t xml:space="preserve">Equal to Energy Trust eligible cost less any federal grants if payback based on energy &lt; 15 yrs.  If PB &gt; 15 yrs, then eligible cost = 15 x the value of annual energy savings.
</t>
        </r>
      </text>
    </comment>
    <comment ref="D116" authorId="0">
      <text>
        <r>
          <rPr>
            <b/>
            <sz val="8"/>
            <rFont val="Tahoma"/>
            <family val="2"/>
          </rPr>
          <t>Assumes discount rate given in line 69, PV of tax credit, constant energy savings over 10 years, non-energy benefits included</t>
        </r>
      </text>
    </comment>
    <comment ref="D140" authorId="0">
      <text>
        <r>
          <rPr>
            <b/>
            <sz val="8"/>
            <rFont val="Tahoma"/>
            <family val="2"/>
          </rPr>
          <t>Assumes discount rate given in line 52, PV of tax credit, constant energy savings over 10 years, non-energy benefits included</t>
        </r>
      </text>
    </comment>
    <comment ref="D115" authorId="0">
      <text>
        <r>
          <rPr>
            <b/>
            <sz val="8"/>
            <rFont val="Tahoma"/>
            <family val="2"/>
          </rPr>
          <t>Includes value of non-energy benefits and O&amp;M reduction, if entered by user.</t>
        </r>
        <r>
          <rPr>
            <sz val="8"/>
            <rFont val="Tahoma"/>
            <family val="2"/>
          </rPr>
          <t xml:space="preserve">
</t>
        </r>
      </text>
    </comment>
    <comment ref="D121" authorId="0">
      <text>
        <r>
          <rPr>
            <b/>
            <sz val="8"/>
            <rFont val="Tahoma"/>
            <family val="2"/>
          </rPr>
          <t>Includes value of non-energy benefits, if given.</t>
        </r>
        <r>
          <rPr>
            <sz val="8"/>
            <rFont val="Tahoma"/>
            <family val="2"/>
          </rPr>
          <t xml:space="preserve">
</t>
        </r>
      </text>
    </comment>
    <comment ref="D127" authorId="0">
      <text>
        <r>
          <rPr>
            <b/>
            <sz val="8"/>
            <rFont val="Tahoma"/>
            <family val="2"/>
          </rPr>
          <t>Includes value of non-energy benefits, if given.</t>
        </r>
        <r>
          <rPr>
            <sz val="8"/>
            <rFont val="Tahoma"/>
            <family val="2"/>
          </rPr>
          <t xml:space="preserve">
</t>
        </r>
      </text>
    </comment>
    <comment ref="D133" authorId="0">
      <text>
        <r>
          <rPr>
            <b/>
            <sz val="8"/>
            <rFont val="Tahoma"/>
            <family val="2"/>
          </rPr>
          <t>Includes value of non-energy benefits, if given.</t>
        </r>
        <r>
          <rPr>
            <sz val="8"/>
            <rFont val="Tahoma"/>
            <family val="2"/>
          </rPr>
          <t xml:space="preserve">
</t>
        </r>
      </text>
    </comment>
    <comment ref="D139" authorId="0">
      <text>
        <r>
          <rPr>
            <b/>
            <sz val="8"/>
            <rFont val="Tahoma"/>
            <family val="2"/>
          </rPr>
          <t>Includes value of non-energy benefits, if given.</t>
        </r>
        <r>
          <rPr>
            <sz val="8"/>
            <rFont val="Tahoma"/>
            <family val="2"/>
          </rPr>
          <t xml:space="preserve">
</t>
        </r>
      </text>
    </comment>
    <comment ref="D145" authorId="0">
      <text>
        <r>
          <rPr>
            <b/>
            <sz val="8"/>
            <rFont val="Tahoma"/>
            <family val="2"/>
          </rPr>
          <t>Includes value of non-energy benefits, if given.</t>
        </r>
        <r>
          <rPr>
            <sz val="8"/>
            <rFont val="Tahoma"/>
            <family val="2"/>
          </rPr>
          <t xml:space="preserve">
</t>
        </r>
      </text>
    </comment>
    <comment ref="D151" authorId="0">
      <text>
        <r>
          <rPr>
            <b/>
            <sz val="8"/>
            <rFont val="Tahoma"/>
            <family val="2"/>
          </rPr>
          <t>Includes value of non-energy benefits, if given.</t>
        </r>
        <r>
          <rPr>
            <sz val="8"/>
            <rFont val="Tahoma"/>
            <family val="2"/>
          </rPr>
          <t xml:space="preserve">
</t>
        </r>
      </text>
    </comment>
    <comment ref="D157" authorId="0">
      <text>
        <r>
          <rPr>
            <b/>
            <sz val="8"/>
            <rFont val="Tahoma"/>
            <family val="2"/>
          </rPr>
          <t>Includes value of non-energy benefits, if given.</t>
        </r>
        <r>
          <rPr>
            <sz val="8"/>
            <rFont val="Tahoma"/>
            <family val="2"/>
          </rPr>
          <t xml:space="preserve">
</t>
        </r>
      </text>
    </comment>
    <comment ref="D163" authorId="0">
      <text>
        <r>
          <rPr>
            <b/>
            <sz val="8"/>
            <rFont val="Tahoma"/>
            <family val="2"/>
          </rPr>
          <t>Includes value of non-energy benefits, if given.</t>
        </r>
        <r>
          <rPr>
            <sz val="8"/>
            <rFont val="Tahoma"/>
            <family val="2"/>
          </rPr>
          <t xml:space="preserve">
</t>
        </r>
      </text>
    </comment>
    <comment ref="D168" authorId="0">
      <text>
        <r>
          <rPr>
            <b/>
            <sz val="8"/>
            <rFont val="Tahoma"/>
            <family val="2"/>
          </rPr>
          <t>Includes value of non-energy benefits, if given.</t>
        </r>
        <r>
          <rPr>
            <sz val="8"/>
            <rFont val="Tahoma"/>
            <family val="2"/>
          </rPr>
          <t xml:space="preserve">
</t>
        </r>
      </text>
    </comment>
    <comment ref="B43" authorId="1">
      <text>
        <r>
          <rPr>
            <b/>
            <sz val="8"/>
            <rFont val="Tahoma"/>
            <family val="2"/>
          </rPr>
          <t>Doug Heredos:</t>
        </r>
        <r>
          <rPr>
            <sz val="8"/>
            <rFont val="Tahoma"/>
            <family val="2"/>
          </rPr>
          <t xml:space="preserve">
Not carried over to BETC- Just used for interim calc.</t>
        </r>
      </text>
    </comment>
    <comment ref="D43" authorId="1">
      <text>
        <r>
          <rPr>
            <b/>
            <sz val="8"/>
            <rFont val="Tahoma"/>
            <family val="2"/>
          </rPr>
          <t>Doug Heredos:</t>
        </r>
        <r>
          <rPr>
            <sz val="8"/>
            <rFont val="Tahoma"/>
            <family val="2"/>
          </rPr>
          <t xml:space="preserve">
Not carried over to BETC- Just used for interim calc.</t>
        </r>
      </text>
    </comment>
    <comment ref="H43" authorId="1">
      <text>
        <r>
          <rPr>
            <b/>
            <sz val="8"/>
            <rFont val="Tahoma"/>
            <family val="2"/>
          </rPr>
          <t>Doug Heredos:</t>
        </r>
        <r>
          <rPr>
            <sz val="8"/>
            <rFont val="Tahoma"/>
            <family val="2"/>
          </rPr>
          <t xml:space="preserve">
Not carried over to BETC- Just used for interim calc.</t>
        </r>
      </text>
    </comment>
    <comment ref="D122" authorId="0">
      <text>
        <r>
          <rPr>
            <b/>
            <sz val="8"/>
            <rFont val="Tahoma"/>
            <family val="2"/>
          </rPr>
          <t>Assumes discount rate given in line 52, PV of tax credit, constant energy savings over 10 years, non-energy benefits included</t>
        </r>
      </text>
    </comment>
    <comment ref="D128" authorId="0">
      <text>
        <r>
          <rPr>
            <b/>
            <sz val="8"/>
            <rFont val="Tahoma"/>
            <family val="2"/>
          </rPr>
          <t>Assumes discount rate given in line 52, PV of tax credit, constant energy savings over 10 years, non-energy benefits included</t>
        </r>
      </text>
    </comment>
    <comment ref="D134" authorId="0">
      <text>
        <r>
          <rPr>
            <b/>
            <sz val="8"/>
            <rFont val="Tahoma"/>
            <family val="2"/>
          </rPr>
          <t>Assumes discount rate given in line 52, PV of tax credit, constant energy savings over 10 years, non-energy benefits included</t>
        </r>
      </text>
    </comment>
    <comment ref="D146" authorId="0">
      <text>
        <r>
          <rPr>
            <b/>
            <sz val="8"/>
            <rFont val="Tahoma"/>
            <family val="2"/>
          </rPr>
          <t>Assumes discount rate given in line 52, PV of tax credit, constant energy savings over 10 years, non-energy benefits included</t>
        </r>
      </text>
    </comment>
    <comment ref="D152" authorId="0">
      <text>
        <r>
          <rPr>
            <b/>
            <sz val="8"/>
            <rFont val="Tahoma"/>
            <family val="2"/>
          </rPr>
          <t>Assumes discount rate given in line 52, PV of tax credit, constant energy savings over 10 years, non-energy benefits included</t>
        </r>
      </text>
    </comment>
    <comment ref="D158" authorId="0">
      <text>
        <r>
          <rPr>
            <b/>
            <sz val="8"/>
            <rFont val="Tahoma"/>
            <family val="2"/>
          </rPr>
          <t>Assumes discount rate given in line 52, PV of tax credit, constant energy savings over 10 years, non-energy benefits included</t>
        </r>
      </text>
    </comment>
    <comment ref="D164" authorId="0">
      <text>
        <r>
          <rPr>
            <b/>
            <sz val="8"/>
            <rFont val="Tahoma"/>
            <family val="2"/>
          </rPr>
          <t>Assumes discount rate given in line 52, PV of tax credit, constant energy savings over 10 years, non-energy benefits included</t>
        </r>
      </text>
    </comment>
    <comment ref="D169" authorId="0">
      <text>
        <r>
          <rPr>
            <b/>
            <sz val="8"/>
            <rFont val="Tahoma"/>
            <family val="2"/>
          </rPr>
          <t>Assumes discount rate given in line 52, PV of tax credit, constant energy savings over 10 years, non-energy benefits included</t>
        </r>
      </text>
    </comment>
    <comment ref="A220" authorId="1">
      <text>
        <r>
          <rPr>
            <b/>
            <sz val="8"/>
            <rFont val="Tahoma"/>
            <family val="2"/>
          </rPr>
          <t>Doug Heredos:</t>
        </r>
        <r>
          <rPr>
            <sz val="8"/>
            <rFont val="Tahoma"/>
            <family val="2"/>
          </rPr>
          <t xml:space="preserve">
This is filled by macro.</t>
        </r>
      </text>
    </comment>
    <comment ref="C243" authorId="0">
      <text>
        <r>
          <rPr>
            <b/>
            <sz val="8"/>
            <rFont val="Tahoma"/>
            <family val="2"/>
          </rPr>
          <t>Selection from Industry Type pulldown</t>
        </r>
        <r>
          <rPr>
            <sz val="8"/>
            <rFont val="Tahoma"/>
            <family val="2"/>
          </rPr>
          <t xml:space="preserve">
</t>
        </r>
      </text>
    </comment>
    <comment ref="G238" authorId="0">
      <text>
        <r>
          <rPr>
            <b/>
            <sz val="8"/>
            <rFont val="Tahoma"/>
            <family val="2"/>
          </rPr>
          <t>Note that the PV of the kWh savings is derived using Council assumptions and methodology.  The PV of Non-Energy Benefits and Avoided O&amp;M Cost is derived using the assumed discount rate here.</t>
        </r>
        <r>
          <rPr>
            <sz val="8"/>
            <rFont val="Tahoma"/>
            <family val="2"/>
          </rPr>
          <t xml:space="preserve">
</t>
        </r>
      </text>
    </comment>
    <comment ref="B204" authorId="0">
      <text>
        <r>
          <rPr>
            <b/>
            <sz val="8"/>
            <rFont val="Tahoma"/>
            <family val="2"/>
          </rPr>
          <t>As of Jan 1, 2010 eligibility for 60% offer has been disabled for Energy Trust.</t>
        </r>
        <r>
          <rPr>
            <sz val="8"/>
            <rFont val="Tahoma"/>
            <family val="2"/>
          </rPr>
          <t xml:space="preserve">
</t>
        </r>
      </text>
    </comment>
    <comment ref="D105" authorId="0">
      <text>
        <r>
          <rPr>
            <b/>
            <sz val="8"/>
            <rFont val="Tahoma"/>
            <family val="2"/>
          </rPr>
          <t>NOTE:  there is no cost effectiveness check constraining the "Other Utility" incentive, as there is for Energy Trust and BPA ESI.</t>
        </r>
      </text>
    </comment>
    <comment ref="D135" authorId="0">
      <text>
        <r>
          <rPr>
            <b/>
            <sz val="8"/>
            <rFont val="Tahoma"/>
            <family val="2"/>
          </rPr>
          <t>If "Other Utility" has been selected, then we are dealing with a non-Energy Trust, non-BPA-ESI utility, so incentive is based on min(rate x savings, cap x cost) without the ESI T&amp;D multiplier.  If project is in Pacific Power or Rocky Mountain Power territory, the 1 year payback cap is applied</t>
        </r>
      </text>
    </comment>
    <comment ref="B52" authorId="0">
      <text>
        <r>
          <rPr>
            <sz val="8"/>
            <rFont val="Tahoma"/>
            <family val="2"/>
          </rPr>
          <t xml:space="preserve">New multiplier from the 6th Power Plan.  Replaces the 5th Power Plan value of 1.07625
</t>
        </r>
      </text>
    </comment>
    <comment ref="I186" authorId="2">
      <text>
        <r>
          <rPr>
            <b/>
            <sz val="9"/>
            <rFont val="Tahoma"/>
            <family val="2"/>
          </rPr>
          <t>Patrick Reedy:</t>
        </r>
        <r>
          <rPr>
            <sz val="9"/>
            <rFont val="Tahoma"/>
            <family val="2"/>
          </rPr>
          <t xml:space="preserve">
All Cascade Projects Fall under Custom Non-lighting or custom gas</t>
        </r>
      </text>
    </comment>
  </commentList>
</comments>
</file>

<file path=xl/comments9.xml><?xml version="1.0" encoding="utf-8"?>
<comments xmlns="http://schemas.openxmlformats.org/spreadsheetml/2006/main">
  <authors>
    <author>Paul Warila</author>
  </authors>
  <commentList>
    <comment ref="C7" authorId="0">
      <text>
        <r>
          <rPr>
            <b/>
            <sz val="8"/>
            <rFont val="Tahoma"/>
            <family val="2"/>
          </rPr>
          <t>Average kW per hour of dryer operation at full rated capacity</t>
        </r>
        <r>
          <rPr>
            <sz val="8"/>
            <rFont val="Tahoma"/>
            <family val="2"/>
          </rPr>
          <t xml:space="preserve">
</t>
        </r>
      </text>
    </comment>
    <comment ref="D7" authorId="0">
      <text>
        <r>
          <rPr>
            <b/>
            <sz val="8"/>
            <rFont val="Tahoma"/>
            <family val="2"/>
          </rPr>
          <t>Average kW per hour of dryer operation at full rated capacity</t>
        </r>
        <r>
          <rPr>
            <sz val="8"/>
            <rFont val="Tahoma"/>
            <family val="2"/>
          </rPr>
          <t xml:space="preserve">
</t>
        </r>
      </text>
    </comment>
    <comment ref="C75" authorId="0">
      <text>
        <r>
          <rPr>
            <b/>
            <sz val="8"/>
            <rFont val="Tahoma"/>
            <family val="2"/>
          </rPr>
          <t>Average kW per hour of dryer operation at full rated capacity</t>
        </r>
        <r>
          <rPr>
            <sz val="8"/>
            <rFont val="Tahoma"/>
            <family val="2"/>
          </rPr>
          <t xml:space="preserve">
</t>
        </r>
      </text>
    </comment>
    <comment ref="C122" authorId="0">
      <text>
        <r>
          <rPr>
            <b/>
            <sz val="8"/>
            <rFont val="Tahoma"/>
            <family val="2"/>
          </rPr>
          <t>Average kW per hour of dryer operation at full rated capacity</t>
        </r>
        <r>
          <rPr>
            <sz val="8"/>
            <rFont val="Tahoma"/>
            <family val="2"/>
          </rPr>
          <t xml:space="preserve">
</t>
        </r>
      </text>
    </comment>
  </commentList>
</comments>
</file>

<file path=xl/sharedStrings.xml><?xml version="1.0" encoding="utf-8"?>
<sst xmlns="http://schemas.openxmlformats.org/spreadsheetml/2006/main" count="3048" uniqueCount="1340">
  <si>
    <t>Average ambient temperature:</t>
  </si>
  <si>
    <t>(conservative estimate for PNW)</t>
  </si>
  <si>
    <t>normal air discharge temp:</t>
  </si>
  <si>
    <t>(from conversation with Jeff Yarnell of Rodgers')</t>
  </si>
  <si>
    <t>Temperature correction factor:</t>
  </si>
  <si>
    <t>(conservative estimate - takes the average temperature difference from discharge over design temperature difference and discounts by a factor of 4)</t>
  </si>
  <si>
    <t>Bin</t>
  </si>
  <si>
    <t>load</t>
  </si>
  <si>
    <t>Fan speed</t>
  </si>
  <si>
    <t>Fan power (kW)</t>
  </si>
  <si>
    <t>Fan energy (kWh/yr)</t>
  </si>
  <si>
    <t>sum</t>
  </si>
  <si>
    <t>savings:</t>
  </si>
  <si>
    <t xml:space="preserve"> INFORMATION ABOUT THE AIR DRYERS</t>
  </si>
  <si>
    <t xml:space="preserve">    Baseline Dryer</t>
  </si>
  <si>
    <t xml:space="preserve">    Proposed Dryer</t>
  </si>
  <si>
    <t>Type of air dryer:</t>
  </si>
  <si>
    <t>Air-cooled non-cycling</t>
  </si>
  <si>
    <t>Air-cooled cycling</t>
  </si>
  <si>
    <t>Rated dryer capacity:</t>
  </si>
  <si>
    <t>Do you know the full load kW?</t>
  </si>
  <si>
    <t>Baseline Types</t>
  </si>
  <si>
    <t>upgrade types</t>
  </si>
  <si>
    <t>If yes, enter full load kW</t>
  </si>
  <si>
    <t>Water-cooled non-cycling</t>
  </si>
  <si>
    <t>Water-cooled cycling</t>
  </si>
  <si>
    <t xml:space="preserve">Dryer inlet air pressure:  </t>
  </si>
  <si>
    <t xml:space="preserve">Compressor and dryer located:  </t>
  </si>
  <si>
    <t>indoors</t>
  </si>
  <si>
    <t xml:space="preserve">Ambient air temp near compressor:  </t>
  </si>
  <si>
    <t>°F</t>
  </si>
  <si>
    <t>Location</t>
  </si>
  <si>
    <t>Season</t>
  </si>
  <si>
    <t>Shift</t>
  </si>
  <si>
    <t>DB °F</t>
  </si>
  <si>
    <t xml:space="preserve">Estimated dryer inlet air temp:  </t>
  </si>
  <si>
    <t>outdoors</t>
  </si>
  <si>
    <t>ID - Boise</t>
  </si>
  <si>
    <t>winter</t>
  </si>
  <si>
    <t>ID - Idaho Falls</t>
  </si>
  <si>
    <t>ID - Lewiston</t>
  </si>
  <si>
    <t>ID - Malad City</t>
  </si>
  <si>
    <t>spring</t>
  </si>
  <si>
    <t xml:space="preserve"> INFORMATION ABOUT THE AIR COMPRESSOR</t>
  </si>
  <si>
    <t>ID - Pocatello</t>
  </si>
  <si>
    <t>ID - Salmon</t>
  </si>
  <si>
    <t>Inlet air pressure correction:</t>
  </si>
  <si>
    <t>OR - Astoria</t>
  </si>
  <si>
    <t>summer</t>
  </si>
  <si>
    <t xml:space="preserve">Total rated flow: </t>
  </si>
  <si>
    <t>Inlet air temp correction:</t>
  </si>
  <si>
    <t>OR - Baker City</t>
  </si>
  <si>
    <t xml:space="preserve">Site elevation above sea level: </t>
  </si>
  <si>
    <t>ft</t>
  </si>
  <si>
    <t>inside ambient corr.:</t>
  </si>
  <si>
    <t>OR - Bend</t>
  </si>
  <si>
    <t xml:space="preserve">Corrected flow: </t>
  </si>
  <si>
    <t>Corrected Baseline capacity:</t>
  </si>
  <si>
    <t>OR - Burns</t>
  </si>
  <si>
    <t>fall</t>
  </si>
  <si>
    <t>Corrected Upgrade capacity</t>
  </si>
  <si>
    <t>OR - Corvallis</t>
  </si>
  <si>
    <t>OR - Eugene</t>
  </si>
  <si>
    <t>Assumption: facility operates year-round</t>
  </si>
  <si>
    <t>OR - Klamath Falls</t>
  </si>
  <si>
    <t xml:space="preserve">Annual hours of operation: </t>
  </si>
  <si>
    <t>hours/yr</t>
  </si>
  <si>
    <t>number of shifts:</t>
  </si>
  <si>
    <t>OR - Medford</t>
  </si>
  <si>
    <t>average ambient temp</t>
  </si>
  <si>
    <t>OR - Pendleton</t>
  </si>
  <si>
    <t>Baseline Dryer Energy Use</t>
  </si>
  <si>
    <t>Upgrade Dryer Energy Use</t>
  </si>
  <si>
    <t>during hours of operation:</t>
  </si>
  <si>
    <t>OR - Portland</t>
  </si>
  <si>
    <t>delta from ambient:</t>
  </si>
  <si>
    <t>OR - Roseburg</t>
  </si>
  <si>
    <t>ambient temp at dryer:</t>
  </si>
  <si>
    <t>OR - The Dalles</t>
  </si>
  <si>
    <t>outside correction factor</t>
  </si>
  <si>
    <t>UT - Delta</t>
  </si>
  <si>
    <t>UT - Hanksville</t>
  </si>
  <si>
    <t>actual ambient correction factor:</t>
  </si>
  <si>
    <t>UT - Moab</t>
  </si>
  <si>
    <t>UT - Ogden</t>
  </si>
  <si>
    <t>UT - Provo</t>
  </si>
  <si>
    <t>Elevation, feet</t>
  </si>
  <si>
    <t>UT - Saint George</t>
  </si>
  <si>
    <t>Atmospheric Pressure, psia</t>
  </si>
  <si>
    <t>UT - Salt Lake City</t>
  </si>
  <si>
    <t>CAGI Std Atmospheric Pressure, psia</t>
  </si>
  <si>
    <t>UT - Vernal</t>
  </si>
  <si>
    <t>scfm per acfm</t>
  </si>
  <si>
    <t>UT -Wendover</t>
  </si>
  <si>
    <t>WA - Bellingham</t>
  </si>
  <si>
    <t>machine room temps</t>
  </si>
  <si>
    <t>WA - Kelso</t>
  </si>
  <si>
    <t>rated outlet dew point is 33 - 39 °F</t>
  </si>
  <si>
    <t>WA - Moses Lake</t>
  </si>
  <si>
    <t>WA - Pasco</t>
  </si>
  <si>
    <t>WA - Quillayute</t>
  </si>
  <si>
    <t>WA - Seattle</t>
  </si>
  <si>
    <t>WA - Snohomish</t>
  </si>
  <si>
    <t>WA - Spokane</t>
  </si>
  <si>
    <t>WA - Tacoma</t>
  </si>
  <si>
    <t>WA - Walla Walla</t>
  </si>
  <si>
    <t>WA - Wenatchee</t>
  </si>
  <si>
    <t>WA - Yakima</t>
  </si>
  <si>
    <t>WY - Casper</t>
  </si>
  <si>
    <t>Demand savings:</t>
  </si>
  <si>
    <t>kW/mo</t>
  </si>
  <si>
    <t>WY - Cody</t>
  </si>
  <si>
    <t>Annual site savings:</t>
  </si>
  <si>
    <t>% site savings:</t>
  </si>
  <si>
    <t>%</t>
  </si>
  <si>
    <t>Correction factors for compressed air refrigerated dryers</t>
  </si>
  <si>
    <t>CORRECTION FACTOR FOR DRYER INLET AIR TEMPERATURE</t>
  </si>
  <si>
    <t>CORRECTION FACTOR FOR INLET AIR PRESSURE</t>
  </si>
  <si>
    <t>CORRECTION FACTOR FOR AMBIENT AIR TEMPERATURE</t>
  </si>
  <si>
    <t>Inlet air</t>
  </si>
  <si>
    <t>Correction</t>
  </si>
  <si>
    <t>Ambient</t>
  </si>
  <si>
    <t>temp</t>
  </si>
  <si>
    <t>factor</t>
  </si>
  <si>
    <t>pressure</t>
  </si>
  <si>
    <t>averaged</t>
  </si>
  <si>
    <t>SLOPE</t>
  </si>
  <si>
    <t>inlet_temp_slope</t>
  </si>
  <si>
    <t>ambient_slope</t>
  </si>
  <si>
    <t>INTERCEPT:</t>
  </si>
  <si>
    <t>inlet_temp_intercept</t>
  </si>
  <si>
    <t>ambient_intercept</t>
  </si>
  <si>
    <t>a0</t>
  </si>
  <si>
    <t>a1</t>
  </si>
  <si>
    <t>a2</t>
  </si>
  <si>
    <t>a3</t>
  </si>
  <si>
    <t>inverse</t>
  </si>
  <si>
    <t>Zeks</t>
  </si>
  <si>
    <t>= slope</t>
  </si>
  <si>
    <t>Cycling</t>
  </si>
  <si>
    <t>= intercept</t>
  </si>
  <si>
    <t>and non-cycling</t>
  </si>
  <si>
    <t>Inverse</t>
  </si>
  <si>
    <t>(multiply by)</t>
  </si>
  <si>
    <t>Ingersoll:</t>
  </si>
  <si>
    <t>inversed for multiplication</t>
  </si>
  <si>
    <t>Inlet temp</t>
  </si>
  <si>
    <t>(°F)</t>
  </si>
  <si>
    <t>Inlet pressure</t>
  </si>
  <si>
    <t>(psig)</t>
  </si>
  <si>
    <t>Hankinson</t>
  </si>
  <si>
    <t>Airtek</t>
  </si>
  <si>
    <t>E-series non-cycling</t>
  </si>
  <si>
    <t>same</t>
  </si>
  <si>
    <t>Operating Power: Cycling and Non-Cycling</t>
  </si>
  <si>
    <t>Air cooled</t>
  </si>
  <si>
    <t>Water Cooled</t>
  </si>
  <si>
    <t>Nominal</t>
  </si>
  <si>
    <t>operating</t>
  </si>
  <si>
    <t>Ingersoll-Rand data</t>
  </si>
  <si>
    <t>capacity,</t>
  </si>
  <si>
    <t>Non-cycling Dryer Part Load Performance</t>
  </si>
  <si>
    <t>model</t>
  </si>
  <si>
    <t>full flow</t>
  </si>
  <si>
    <t>10% flow</t>
  </si>
  <si>
    <t>full power</t>
  </si>
  <si>
    <t>10% power</t>
  </si>
  <si>
    <t>%power at 10% flow</t>
  </si>
  <si>
    <t>scfm @ 38F</t>
  </si>
  <si>
    <t>air cool</t>
  </si>
  <si>
    <t>sorted</t>
  </si>
  <si>
    <t>water cool</t>
  </si>
  <si>
    <t>D340IN</t>
  </si>
  <si>
    <t>Zek</t>
  </si>
  <si>
    <t>% load</t>
  </si>
  <si>
    <t>% rated power</t>
  </si>
  <si>
    <t>D420IN</t>
  </si>
  <si>
    <t>Sullivan</t>
  </si>
  <si>
    <t>D510IN</t>
  </si>
  <si>
    <t>Ingersoll-Rand</t>
  </si>
  <si>
    <t>D680IN</t>
  </si>
  <si>
    <t>D850IN</t>
  </si>
  <si>
    <t>D1020IN</t>
  </si>
  <si>
    <t>D1700</t>
  </si>
  <si>
    <t>not actually at 10%</t>
  </si>
  <si>
    <t>cycling</t>
  </si>
  <si>
    <t>Assumes non-cycling dryer uses 90% of rated power at 0% load,</t>
  </si>
  <si>
    <t>NVC200</t>
  </si>
  <si>
    <t>100% rated power at 100% rated load, with straight line between.</t>
  </si>
  <si>
    <t>NVC300</t>
  </si>
  <si>
    <t>NVC400</t>
  </si>
  <si>
    <t>NVC500</t>
  </si>
  <si>
    <t>NVC600</t>
  </si>
  <si>
    <t>Cycling Dryer Part Load Performance</t>
  </si>
  <si>
    <t>NVC700</t>
  </si>
  <si>
    <t>under 300 scfm</t>
  </si>
  <si>
    <t>over 300 scfm</t>
  </si>
  <si>
    <t>NVC800</t>
  </si>
  <si>
    <t>%load</t>
  </si>
  <si>
    <t>%rated power</t>
  </si>
  <si>
    <t>Airtek Data</t>
  </si>
  <si>
    <t>SCP220</t>
  </si>
  <si>
    <t>Assumes cycling dryer uses 20% of rated power at 0% load,</t>
  </si>
  <si>
    <t>SCP250</t>
  </si>
  <si>
    <t>SCP330</t>
  </si>
  <si>
    <t>SCP400</t>
  </si>
  <si>
    <t>SCP500</t>
  </si>
  <si>
    <t>choice:</t>
  </si>
  <si>
    <t>SCP800</t>
  </si>
  <si>
    <t>average for both:</t>
  </si>
  <si>
    <t>Zeks data</t>
  </si>
  <si>
    <t>200HSGA</t>
  </si>
  <si>
    <t>400 HSGA</t>
  </si>
  <si>
    <t>600 HSFA</t>
  </si>
  <si>
    <t>cycling_water_slope</t>
  </si>
  <si>
    <t>800 HSFA</t>
  </si>
  <si>
    <t>cycling_water_intercept</t>
  </si>
  <si>
    <t>1000HSFA</t>
  </si>
  <si>
    <t>200HSGW</t>
  </si>
  <si>
    <t>Upgrade size:</t>
  </si>
  <si>
    <t>400HSGW</t>
  </si>
  <si>
    <t>base size:</t>
  </si>
  <si>
    <t>600HSFW</t>
  </si>
  <si>
    <t>Upgrade kW:</t>
  </si>
  <si>
    <t>800HSFW</t>
  </si>
  <si>
    <t>air-cooled:</t>
  </si>
  <si>
    <t>CyclingAirkW</t>
  </si>
  <si>
    <t>water-cooled:</t>
  </si>
  <si>
    <t>CyclingWaterkW</t>
  </si>
  <si>
    <t>under 300:</t>
  </si>
  <si>
    <t>Baseline kW:</t>
  </si>
  <si>
    <t>over 300:</t>
  </si>
  <si>
    <t>NcAirkW</t>
  </si>
  <si>
    <t>NcWaterkW</t>
  </si>
  <si>
    <t>zeks non-cycling</t>
  </si>
  <si>
    <t>200NCGA</t>
  </si>
  <si>
    <t>400NCGA</t>
  </si>
  <si>
    <t>800NCEA</t>
  </si>
  <si>
    <t>200NCGW</t>
  </si>
  <si>
    <t>400NCGW</t>
  </si>
  <si>
    <t>800NCEW</t>
  </si>
  <si>
    <t>avg:</t>
  </si>
  <si>
    <t>cycling_air_slope</t>
  </si>
  <si>
    <t>cycling_air_intercept</t>
  </si>
  <si>
    <t>Non-cycling</t>
  </si>
  <si>
    <t xml:space="preserve">sorted </t>
  </si>
  <si>
    <t>nc_air_slope</t>
  </si>
  <si>
    <t>nc_air_intercept</t>
  </si>
  <si>
    <t>nc_water_slope</t>
  </si>
  <si>
    <t>nc_water_intercept</t>
  </si>
  <si>
    <t>Subtotal of all incentives minus BETC</t>
  </si>
  <si>
    <t>IncentiveSubTotal</t>
  </si>
  <si>
    <t>Subtotal of all incentives including BETC</t>
  </si>
  <si>
    <t>IncentiveTotal</t>
  </si>
  <si>
    <t>Baseline kW</t>
  </si>
  <si>
    <t>Upgrade kW</t>
  </si>
  <si>
    <t>% Power</t>
  </si>
  <si>
    <t>Baseline line</t>
  </si>
  <si>
    <t>Upgrade Line</t>
  </si>
  <si>
    <t>Profile of Baseline Compressed Air Demand</t>
  </si>
  <si>
    <t>Corrected Baseline Power for discharge pressure</t>
  </si>
  <si>
    <t>Corrected Upgraded Power for discharge pressure</t>
  </si>
  <si>
    <t>Total Baseline Energy Use:</t>
  </si>
  <si>
    <t>Total Upgraded Energy Use:</t>
  </si>
  <si>
    <t>SELECTION OF OPTIONAL MEASURES</t>
  </si>
  <si>
    <t>Select all that apply:</t>
  </si>
  <si>
    <t xml:space="preserve">                      Airflow reduction in scfm</t>
  </si>
  <si>
    <r>
      <t>Corrected</t>
    </r>
    <r>
      <rPr>
        <vertAlign val="superscript"/>
        <sz val="10"/>
        <rFont val="Arial"/>
        <family val="2"/>
      </rPr>
      <t>1</t>
    </r>
    <r>
      <rPr>
        <sz val="10"/>
        <rFont val="Arial"/>
        <family val="2"/>
      </rPr>
      <t xml:space="preserve"> dryer capacity:  </t>
    </r>
  </si>
  <si>
    <t xml:space="preserve">Total compressor hp feeding dryer: </t>
  </si>
  <si>
    <t xml:space="preserve">Please be advised that energy savings and costs represented herein are entirely dependent upon inputs provided by the user.  The calculation methods, while believed to be reasonably accurate, are estimates; actual results may vary.  Responsibility for all representations herein, input information as well as calculated output values, rests solely with the user.  Nothing in this electronic file or print document is to be construed as a guarantee of savings or performance or as an offer of funding.                                                                                                                                                                            </t>
  </si>
  <si>
    <t>Cooling Fan VFD</t>
  </si>
  <si>
    <t>Flow Reduction</t>
  </si>
  <si>
    <t>Text for Project Name based on selected Measures</t>
  </si>
  <si>
    <t>Cycling Air Dryer</t>
  </si>
  <si>
    <t>←When measures are toggled this cell will popluate with the correct text to add to the project name cell</t>
  </si>
  <si>
    <t>This represents the text associated with the Dryer measure</t>
  </si>
  <si>
    <t>This represents the text associated with the Cooling Fan VFD measure</t>
  </si>
  <si>
    <t>This represents the text associated with the Flow Reduction Measure measure</t>
  </si>
  <si>
    <r>
      <rPr>
        <b/>
        <sz val="10"/>
        <rFont val="Calibri"/>
        <family val="2"/>
      </rPr>
      <t>Δ</t>
    </r>
    <r>
      <rPr>
        <b/>
        <sz val="10"/>
        <rFont val="Arial"/>
        <family val="2"/>
      </rPr>
      <t xml:space="preserve"> scfm</t>
    </r>
  </si>
  <si>
    <t xml:space="preserve"> ft</t>
  </si>
  <si>
    <t>Baseline machine 100% flow corrected for difference between rated and operating pressure and site elevation:</t>
  </si>
  <si>
    <t>Upgrade machine 100% flow corrected for difference between rated and operating pressure and site elevation:</t>
  </si>
  <si>
    <t xml:space="preserve">    Corrected flow = Rated flow x (1 + 0.00075 (Rated Pressure - Operating Pressure)*Ratio(scfm/acfm)</t>
  </si>
  <si>
    <t>Plant elevation:</t>
  </si>
  <si>
    <t xml:space="preserve"> scfm</t>
  </si>
  <si>
    <t xml:space="preserve"> EXPLANATION OF PROJECT COSTS</t>
  </si>
  <si>
    <t>Description</t>
  </si>
  <si>
    <t>No.</t>
  </si>
  <si>
    <t>Total Cost:</t>
  </si>
  <si>
    <t>Date:</t>
  </si>
  <si>
    <t>v2.5</t>
  </si>
  <si>
    <t>Added data input on cover page</t>
  </si>
  <si>
    <t>Added cost summary table on explanation of inputs</t>
  </si>
  <si>
    <t>Fixed some minor protection macro issues from v2.4</t>
  </si>
  <si>
    <t>Sector</t>
  </si>
  <si>
    <t>Calculator Type List</t>
  </si>
  <si>
    <t>Sector List</t>
  </si>
  <si>
    <t>Retrofit</t>
  </si>
  <si>
    <t>New Construction</t>
  </si>
  <si>
    <t>Major Remodel</t>
  </si>
  <si>
    <t>Industrial</t>
  </si>
  <si>
    <t>Commercial</t>
  </si>
  <si>
    <t>Agricultural</t>
  </si>
  <si>
    <t>Creating the EE Central Upload File (for utility and administrator use)</t>
  </si>
  <si>
    <t xml:space="preserve">To create the datafile for upload to the EE Central, press CTRL-P while viewing the Savings Calculation page.  The file will write immediately and a window will open asking for the filename.  The suggested filename is the same as the calculator filename, with "_EE Central" appended.  The default folder location is the same as that of the calculator file you are writing from.  Folder location and filename may be changed as desired.   </t>
  </si>
  <si>
    <t>v2.6</t>
  </si>
  <si>
    <t>Added Calculator type and sector to PTR upload file</t>
  </si>
  <si>
    <t>Changed all references of PTR to EE Central.</t>
  </si>
  <si>
    <t>Updated EE Central output code to include additional items.</t>
  </si>
  <si>
    <t>Added Technical review section starting in cells D211 on Customer information tab.</t>
  </si>
  <si>
    <t>Added code to each State Check box to populate the site state when box is changed.</t>
  </si>
  <si>
    <t xml:space="preserve">    - The old code only changed when the user selected another tab</t>
  </si>
  <si>
    <t>if Benefit/Cost ratio is not greater than 0.5, this cell zeros out</t>
  </si>
  <si>
    <t>Change the BPA cost/benefit ratio from 0.1 to 0.5</t>
  </si>
  <si>
    <t>Changed data validation on O&amp;M and Non-energy benefits to allow for negative values.</t>
  </si>
  <si>
    <t>Removed references to Energy Trust Kick-Start Bonus.</t>
  </si>
  <si>
    <t>Energy Trust Bonus code commented out in VBA</t>
  </si>
  <si>
    <t>Energy Trust bonus hardcoded to False</t>
  </si>
  <si>
    <t>Energy Trust check box moved from main page to master outputs (near B170).</t>
  </si>
  <si>
    <t>Compressor Running Unloaded:</t>
  </si>
  <si>
    <t>Running Unloaded (0% flow)</t>
  </si>
  <si>
    <t>Cycled Off (timed out)</t>
  </si>
  <si>
    <t>Updated Run-Times for Cycled of Compressor</t>
  </si>
  <si>
    <t>Added Upgrade compressor time-out option</t>
  </si>
  <si>
    <t>If a value of 0% flow is added to the table additional rows are surfaced to allow for the user to enter a new % unloaded vs. % timed-out breakdown</t>
  </si>
  <si>
    <t>This changes the annual hours for the last operating bin.</t>
  </si>
  <si>
    <t>Upgrade Annual Hours - Unloaded (0% flow)</t>
  </si>
  <si>
    <t>Upgrade Annual Hours -Cycled Off (timed out)</t>
  </si>
  <si>
    <t>Sector (select):</t>
  </si>
  <si>
    <t>Is BPA Project?</t>
  </si>
  <si>
    <t>v2.7</t>
  </si>
  <si>
    <t>Never officially released this version</t>
  </si>
  <si>
    <t>While this step is not required in order to receive an incentive, it is recommended, because it provides an</t>
  </si>
  <si>
    <t>of incentives for compressed air systems at www.rockymountainpower.net/wattsmart or 801-642-4472.</t>
  </si>
  <si>
    <t xml:space="preserve">and request any additional documentation that may be necessary to establish the incentive estimate.  </t>
  </si>
  <si>
    <t xml:space="preserve">upon which the incentive will be based.  </t>
  </si>
  <si>
    <t>opportunity for the incentive administrator to concur with the assumptions supporting the savings estimate</t>
  </si>
  <si>
    <t>If the new compressor has time-out controls, estimate the updated run-times for the upgrade compressor below.</t>
  </si>
  <si>
    <t>TO APPLY FOR INCENTIVES FROM PACIFIC POWER:</t>
  </si>
  <si>
    <t>for Pacific Power projects</t>
  </si>
  <si>
    <t>Check with Pacific Power to get in touch with the people who handle the administration</t>
  </si>
  <si>
    <t>of incentives for compressed air systems.  See http://www.pacificpower.net/wattsmart.</t>
  </si>
  <si>
    <t xml:space="preserve">and request any additional documentation that may be necessary to establish the energy savings estimate.  </t>
  </si>
  <si>
    <t>While this step is not required in order to receive an incentive, it is recommended because it provides an</t>
  </si>
  <si>
    <t>opportunity for the incentive administrator to concur with the assumptions supporting the savings estimate upon</t>
  </si>
  <si>
    <t xml:space="preserve">which the incentive will be based.  </t>
  </si>
  <si>
    <t>Pacific Power reserves the right to conduct inspections to verify information provided in the application</t>
  </si>
  <si>
    <t>Check with your local utility regarding the availability of incentives for energy-efficient compressed air systems.</t>
  </si>
  <si>
    <t>The incentive administrator will review the calculator's inputs and outputs, call with questions,</t>
  </si>
  <si>
    <t>The utility's incentive administrator will review the calculator's inputs and outputs, call with questions,</t>
  </si>
  <si>
    <t xml:space="preserve">The Northwest Regional Compressed Air Savings Estimator has been developed by Energy Trust of Oregon, Bonneville Power Administration, PacifiCorp, and participating electric utilities in the Pacific Northwest.  It provides a means of quickly estimating air compressor energy use and the savings associated with changing to a different compressor or compressor control method.  The output may be used to apply for incentive funding from utility efficiency programs for projects involving compressors 75 hp and below.  (Larger projects usually require a custom study.)  Call the energy efficiency department at your local electric utility for information on incentives and details on how to apply.   </t>
  </si>
  <si>
    <t>Input fields are located on three worksheets in this Excel file.  Information about the customer, also called the program "Participant", is entered in the first tab; "Customer Information."  Vendor contact information and utility incentive program details are also entered here.  Technical information about the project is requested on the second tab; "Savings Calculations."  The third tab, "Explanation of Inputs," asks for explanation of how some of the entries in "Savings Calculations" were derived.   A summary of results appears at the bottom of the "Savings Calculations" tab.</t>
  </si>
  <si>
    <t xml:space="preserve">a)  The "Retrofit" scenario:  When the proposed upgrade compressor replaces a machine that is currently operating and isn't about to be replaced for end-of-life reasons or to add more capacity, the "Baseline Compressor" will be the machine that is currently in place.  The "Proposed Upgrade" will be the new, more efficient compressor.  Eligible project cost is the total installed cost of the new compressor.   </t>
  </si>
  <si>
    <t>b)  The "New Construction" scenario:  When the proposed compressor is a new machine in a new facility, or when it is an addition of new capacity, or when the existing compressor is on its last legs and will need to be replaced shortly, the "Baseline Compressor" will be a new compressor at the low end of the cost scale that typically would be installed in similar circumstances.  The "Proposed Upgrade" will be a new, more efficient - and more costly - alternative.  Eligible project cost is the difference between the cost of the more efficient alternative and the cost of the basic, less efficient installation.  Typically the baseline control type for the new construction scenario should be load/unload.</t>
  </si>
  <si>
    <t xml:space="preserve">"Current average operating pressure" is the average discharge pressure the compressor sees while running loaded."  For load/unload and on/off operation, this would be the midpoint between the load pressure setpoint and the unload pressure setpoint.  "System pressure after upgrade" is typically the control pressure setpoint for the VFD compressor.  Note that this pressure is entirely separate from the rated pressures given above for the baseline and upgrade compressors.  Those pressures represent the pressure at which a compressor will deliver a corresponding rated flow, as given in the manufacturer's performance specification.  These rated figures are entirely separate from the pressure settings found on an actual operating unit.   </t>
  </si>
  <si>
    <t>UPGRADE</t>
  </si>
  <si>
    <r>
      <t xml:space="preserve">BASELINE - </t>
    </r>
    <r>
      <rPr>
        <b/>
        <sz val="10"/>
        <color indexed="10"/>
        <rFont val="Arial"/>
        <family val="2"/>
      </rPr>
      <t>NOT USED</t>
    </r>
  </si>
  <si>
    <t>The question here is does the fan load factor change with the compressor % load?  For baseline I say no, the fan is on and running at the same load regardless of heat load or compressor capacity</t>
  </si>
  <si>
    <t>Corrected compressor flow (calculated):</t>
  </si>
  <si>
    <r>
      <rPr>
        <b/>
        <u val="single"/>
        <sz val="8"/>
        <rFont val="Arial"/>
        <family val="2"/>
      </rPr>
      <t>Note 1</t>
    </r>
    <r>
      <rPr>
        <sz val="8"/>
        <rFont val="Arial"/>
        <family val="2"/>
      </rPr>
      <t>:  Corrected capacity includes adjustment for ambient temperature as well as dryer inlet air temperature and pressure.</t>
    </r>
  </si>
  <si>
    <t>No longer used, elevation is linked to compressor inputs pages</t>
  </si>
  <si>
    <t>from D102</t>
  </si>
  <si>
    <t>Motor Family</t>
  </si>
  <si>
    <t>efficient</t>
  </si>
  <si>
    <t>Fraction of BETC in year n:</t>
  </si>
  <si>
    <t>Amount of BETC in year n:</t>
  </si>
  <si>
    <t>Discounted amount in year n:</t>
  </si>
  <si>
    <t>year 1</t>
  </si>
  <si>
    <t>year 2</t>
  </si>
  <si>
    <t>year 3</t>
  </si>
  <si>
    <t>year 4</t>
  </si>
  <si>
    <t>year 5</t>
  </si>
  <si>
    <t>Discounted Value of BETC</t>
  </si>
  <si>
    <t>totals</t>
  </si>
  <si>
    <t>Energy Trust/Utility Eligible Cost</t>
  </si>
  <si>
    <t>EstUtilEligibleCost</t>
  </si>
  <si>
    <t>Gas &amp; Electric</t>
  </si>
  <si>
    <t>Electric Sponsor:</t>
  </si>
  <si>
    <t>Portland General</t>
  </si>
  <si>
    <t>Electric Rate ($/kWh):</t>
  </si>
  <si>
    <t>Gas Sponsor:</t>
  </si>
  <si>
    <t>Gas Rate ($/therm):</t>
  </si>
  <si>
    <t>Number of Measures:</t>
  </si>
  <si>
    <t>2</t>
  </si>
  <si>
    <t>Electric Savings (kWh):</t>
  </si>
  <si>
    <t>Gas Savings (therms):</t>
  </si>
  <si>
    <t>Energy Savings ($):</t>
  </si>
  <si>
    <t>Elligible Measure Cost ($):</t>
  </si>
  <si>
    <t>Electric Load Profile:</t>
  </si>
  <si>
    <t>Gas Load Profile:</t>
  </si>
  <si>
    <t>Split Rule Incentive</t>
  </si>
  <si>
    <t>Utility BCR Test</t>
  </si>
  <si>
    <t>Societal BCR Test</t>
  </si>
  <si>
    <t>Elligible Incentive</t>
  </si>
  <si>
    <t>Eligible for 60% Offer?</t>
  </si>
  <si>
    <t>60% of Project Cost Incentive:</t>
  </si>
  <si>
    <t>60% Split Rule Incentive</t>
  </si>
  <si>
    <t>60% Utility BCR Test</t>
  </si>
  <si>
    <t>60% Societal BCR Test</t>
  </si>
  <si>
    <t>Overall Project Test at 60%</t>
  </si>
  <si>
    <t>Eligible Incentive with 60% Offer</t>
  </si>
  <si>
    <t>Max Project Cap</t>
  </si>
  <si>
    <t>Simple Payback Required</t>
  </si>
  <si>
    <t>% Cap</t>
  </si>
  <si>
    <t>Discount Rate</t>
  </si>
  <si>
    <t>Custom Lighting</t>
  </si>
  <si>
    <t>Gas</t>
  </si>
  <si>
    <t>None0</t>
  </si>
  <si>
    <t>Self-Directed Rate</t>
  </si>
  <si>
    <t>None10</t>
  </si>
  <si>
    <t>No</t>
  </si>
  <si>
    <t>IndShift1</t>
  </si>
  <si>
    <t>None20</t>
  </si>
  <si>
    <t>IndShift2</t>
  </si>
  <si>
    <t>IndShift3</t>
  </si>
  <si>
    <t>None</t>
  </si>
  <si>
    <t>Northwest Natural</t>
  </si>
  <si>
    <t>Continual electric operation, 24 hrs/day, 365 days/year</t>
  </si>
  <si>
    <t>1 Shift Operation</t>
  </si>
  <si>
    <t>2 Shift Operation</t>
  </si>
  <si>
    <t>3 Shift Operation, holidays and weekends off</t>
  </si>
  <si>
    <t>Measure</t>
  </si>
  <si>
    <t>Load Profiles Lookup List</t>
  </si>
  <si>
    <t>Bonus Incentive</t>
  </si>
  <si>
    <t>ETOBonusIncentive</t>
  </si>
  <si>
    <t>Up to 60% Incentive</t>
  </si>
  <si>
    <t>PrepareBetcDoc Flag</t>
  </si>
  <si>
    <t>Value Gas and Electric Savings</t>
  </si>
  <si>
    <t>Revision History</t>
  </si>
  <si>
    <t>V2.00</t>
  </si>
  <si>
    <t>Initial Release</t>
  </si>
  <si>
    <t>V2.01</t>
  </si>
  <si>
    <t>Changed many fields that reported "0" to ""</t>
  </si>
  <si>
    <t>Fixed format on Estimated Energy Savings to "#,###"</t>
  </si>
  <si>
    <t>Fixed fix of 12 June - Company Name was referencing Contact when blank</t>
  </si>
  <si>
    <t>added reference to Version 2.01 at bottom of Customer Information and Savings Calcs pages</t>
  </si>
  <si>
    <t>V2.02</t>
  </si>
  <si>
    <t>changed "show license agmt" so it shows every time upon opening file (for BPA purposes)</t>
  </si>
  <si>
    <t>left WA and "other" utility boxes checked in read only version so Energy Trust rates do not show upon opening</t>
  </si>
  <si>
    <t>changed the Energy Trust rates that show to 25 cents and 60% (from 20 cents and 50%)</t>
  </si>
  <si>
    <t>V2.03</t>
  </si>
  <si>
    <t>Added VBA so that focus moves to "existing system pressure" cell rather than jumping far down</t>
  </si>
  <si>
    <t>and to the right when user leaves the non-energy-benefit cell.</t>
  </si>
  <si>
    <t>If "Public Utility," name of utility:</t>
  </si>
  <si>
    <t>Measure Life</t>
  </si>
  <si>
    <t>Project Cost</t>
  </si>
  <si>
    <t>Busbar Energy Saved, kWh</t>
  </si>
  <si>
    <t>Busbar Multiplier for BPA projects</t>
  </si>
  <si>
    <t>Calculation of Present Value of O&amp;M</t>
  </si>
  <si>
    <t>Real Discount Rate</t>
  </si>
  <si>
    <t>Periods</t>
  </si>
  <si>
    <t>Annual O&amp;M</t>
  </si>
  <si>
    <t>Benefit/Cost Ratio Calculation</t>
  </si>
  <si>
    <t>Is Cost?</t>
  </si>
  <si>
    <t>Is Benefit?</t>
  </si>
  <si>
    <t>Capital Cost</t>
  </si>
  <si>
    <t>PV O&amp;M Cost</t>
  </si>
  <si>
    <t>PV Energy Savings</t>
  </si>
  <si>
    <t>PV Non_Energy Benefits</t>
  </si>
  <si>
    <t>Total</t>
  </si>
  <si>
    <t>B/C Ratio</t>
  </si>
  <si>
    <t>PV/kWh</t>
  </si>
  <si>
    <t>PV</t>
  </si>
  <si>
    <t>Incentive Cap (% of Capital Cost)</t>
  </si>
  <si>
    <t>Incremental Project Cost</t>
  </si>
  <si>
    <t>PMT*[1-((1/(1+i))^N)]/I</t>
  </si>
  <si>
    <t>Where:</t>
  </si>
  <si>
    <t>PV = Present Value Stream of Equal Payments</t>
  </si>
  <si>
    <t>PMT = Amount of each payment</t>
  </si>
  <si>
    <t>N = Number of Periods</t>
  </si>
  <si>
    <t>DSIAlum</t>
  </si>
  <si>
    <t>IndOther</t>
  </si>
  <si>
    <t>SIC20</t>
  </si>
  <si>
    <t>SIC24</t>
  </si>
  <si>
    <t>SIC26</t>
  </si>
  <si>
    <t>SIC28</t>
  </si>
  <si>
    <t>SIC29</t>
  </si>
  <si>
    <t>SIC33</t>
  </si>
  <si>
    <t>SIC37</t>
  </si>
  <si>
    <t>Load Shape</t>
  </si>
  <si>
    <t>Generic Plant with One Shift</t>
  </si>
  <si>
    <t>Generic Plant with Two Shifts</t>
  </si>
  <si>
    <t>Generic Plant with Three Shifts</t>
  </si>
  <si>
    <t>Primary Aluminum Smelting</t>
  </si>
  <si>
    <t>Industrial - Other</t>
  </si>
  <si>
    <t>Food Processing</t>
  </si>
  <si>
    <t>Lumber &amp; Wood Products</t>
  </si>
  <si>
    <t>Pulp &amp; Paper</t>
  </si>
  <si>
    <t>Chemical Processing</t>
  </si>
  <si>
    <t>Petroleum Refining</t>
  </si>
  <si>
    <t>NonDSI Primary Metals</t>
  </si>
  <si>
    <t>Transportation</t>
  </si>
  <si>
    <t>Industry Type</t>
  </si>
  <si>
    <t>Potential Reimbursement ($/kWh)</t>
  </si>
  <si>
    <t>Default Measure Life</t>
  </si>
  <si>
    <t>Annual Energy Savings @ Busbar</t>
  </si>
  <si>
    <t>Simple Payback</t>
  </si>
  <si>
    <t>Present Value of Change in Operation and Maintenance Cost</t>
  </si>
  <si>
    <t>Present Value Non_Energy Benefits</t>
  </si>
  <si>
    <t>Present Value Energy Savings</t>
  </si>
  <si>
    <t>Measure Benefit/Cost Ratio</t>
  </si>
  <si>
    <t>BPA Measure Reimbursement</t>
  </si>
  <si>
    <t>Change in Measure O&amp;M Cost (Savings -$ or Increases +$)</t>
  </si>
  <si>
    <t>Annual Energy Savings @ Site</t>
  </si>
  <si>
    <t>Customer Energy Savings ($)</t>
  </si>
  <si>
    <t>Measure Annual Non-Energy Benefits</t>
  </si>
  <si>
    <t>Reimbursement Cost Cap</t>
  </si>
  <si>
    <t>Max. BPA Reimbursement</t>
  </si>
  <si>
    <t>Lessor of Cap or Max</t>
  </si>
  <si>
    <t>Customer Retail Rate ($/kWh):</t>
  </si>
  <si>
    <t>V2.04</t>
  </si>
  <si>
    <t>Change Energy Trust cap from 60% to 50% in VB Module for Customer Information at top.</t>
  </si>
  <si>
    <t>Change copyright notice &amp; date in footer of Savings Calculations and Customer Information pages</t>
  </si>
  <si>
    <t>Change "Eligible for 60%" pulldowns in line 200 to "No"</t>
  </si>
  <si>
    <t>Load Shape indexed</t>
  </si>
  <si>
    <t>from table below</t>
  </si>
  <si>
    <t>PV of Energy Savings indexed</t>
  </si>
  <si>
    <t>receipt of the completion form and invoices.</t>
  </si>
  <si>
    <t>amount of the incentive may be affected.  Incentive checks are typically mailed 4 to 6 weeks after</t>
  </si>
  <si>
    <t>and request any additional documentation that may be needed.  Once the technical aspects of the proposed</t>
  </si>
  <si>
    <t>to move ahead with the project, the incentive administrator will secure funding approval from the utility.</t>
  </si>
  <si>
    <t xml:space="preserve">amount of the incentive may be affected.  Incentive checks are typically mailed 4 to 6 weeks after </t>
  </si>
  <si>
    <t>Type of Industry (select):</t>
  </si>
  <si>
    <t>this invokes the capital cost above x the named value UtilityIncentiveCap</t>
  </si>
  <si>
    <t>PV_OandM</t>
  </si>
  <si>
    <t>PV_Non_EnergyBenefits</t>
  </si>
  <si>
    <t>PV_kWh</t>
  </si>
  <si>
    <t>LnLossAdj</t>
  </si>
  <si>
    <t>ValueGasElectricSavings</t>
  </si>
  <si>
    <t>BusbarElectricitySavedkWh</t>
  </si>
  <si>
    <t>PV of a kWh x BusBarElectricitySavedkWh</t>
  </si>
  <si>
    <t>=EstUtilEligibleCost</t>
  </si>
  <si>
    <t>=PV_OandM, defined below</t>
  </si>
  <si>
    <t>PV_Energy_Savings</t>
  </si>
  <si>
    <t>ElectricLoadProfile</t>
  </si>
  <si>
    <t>BPA_Credit</t>
  </si>
  <si>
    <t>DETERMINATION OF CASE-SPECIFIC OUTPUTS</t>
  </si>
  <si>
    <t>ASSEMBLY AREA FOR VALUES TO BE TRANSFERRED TO OUTPUT SHEETS, FORMS, AND APPLICATION TEMPLATES</t>
  </si>
  <si>
    <t>Estimated annual reduction (increase) in operating or maintenance cost:</t>
  </si>
  <si>
    <t>RTF (BPA) COST EFFECTIVENESS TEST</t>
  </si>
  <si>
    <t>Annual reduction in operating and maintenance costs:</t>
  </si>
  <si>
    <t>OandMReduction</t>
  </si>
  <si>
    <t>3) Case Energy Trust with BETC</t>
  </si>
  <si>
    <t>1) Case Energy Trust with BETC</t>
  </si>
  <si>
    <t>Today's Date (presumed date of doc prep):</t>
  </si>
  <si>
    <t>Eligibility, Eligible Cost, and Incentive Determination</t>
  </si>
  <si>
    <t>Other Utility cost &amp; incentive:  (pays on site savings)</t>
  </si>
  <si>
    <t>BPA ESI Utility cost &amp; incentive:  (pays on busbar savings)</t>
  </si>
  <si>
    <t>Is "Other Utility"?</t>
  </si>
  <si>
    <t>Estimated energy savings for BETC (cell shows gas or electric):</t>
  </si>
  <si>
    <t>Additional non-utility funding (if applicable):</t>
  </si>
  <si>
    <t>kWhSaved, ALSO BetcElectricitySavedKwh</t>
  </si>
  <si>
    <t>BPA Credit &amp; Cost Effectiveness calculator added by Tom Eckman.</t>
  </si>
  <si>
    <t>V2.05</t>
  </si>
  <si>
    <t>Instructions for creating the PTR upload file added.</t>
  </si>
  <si>
    <t>Cell B48 goes by two names:  kWhSavings and BETCElectricitySavedkWh</t>
  </si>
  <si>
    <t>Merged cells for explanation of Inputs field</t>
  </si>
  <si>
    <t>Created print area around C/E checker</t>
  </si>
  <si>
    <t>Fixed C/E checker cell B203</t>
  </si>
  <si>
    <t>Is project a BPA ESI project?</t>
  </si>
  <si>
    <t>IsBPAProject</t>
  </si>
  <si>
    <t>NW Regional Compressed Air Savings Calculator</t>
  </si>
  <si>
    <t>and Incentive Funding Application Tool</t>
  </si>
  <si>
    <t>Instructions for Using the Northwest Regional Compressed Air Savings Estimator</t>
  </si>
  <si>
    <t>Intended Use</t>
  </si>
  <si>
    <t>General Instructions</t>
  </si>
  <si>
    <t>Baseline Determination Considerations</t>
  </si>
  <si>
    <t>Energy savings from a new compressor installation are calculated relative to "baseline" energy use.  Depending on circumstances, the appropriate baseline may be the existing compressor or a new, basic compressor without the energy-saving capabilities of a higher-end model.  These baseline options are described below.</t>
  </si>
  <si>
    <t>System Pressure</t>
  </si>
  <si>
    <t>Profile of Compressed Air Demand</t>
  </si>
  <si>
    <t>The utility will help you get in touch with the people who handle administration of incentives.</t>
  </si>
  <si>
    <t>Send this Excel file as an email attachment to the incentive administrator.  Include a copy of the proposal</t>
  </si>
  <si>
    <t>and request any additional documentation that may be necessary.  Once the technical aspects of the</t>
  </si>
  <si>
    <t>Participant wishes to move ahead with the project, the incentive administrator will secure funding</t>
  </si>
  <si>
    <t>approval from the utility.</t>
  </si>
  <si>
    <t>a utility will not offer funding for projects in which equipment has been ordered prior to the utility's</t>
  </si>
  <si>
    <t>(and in some cases, BPA's) approval of funding.</t>
  </si>
  <si>
    <t>When installation is complete, notify the utility's incentive administrator.  The administrator will</t>
  </si>
  <si>
    <t>request copies of invoices, ask Participant to sign a completion certification form, and may inspect</t>
  </si>
  <si>
    <t>the installation.  If conditions are significantly different from those represented in the analysis, the</t>
  </si>
  <si>
    <t>mailed 3 to 6 weeks after receipt of the completion form and invoices.</t>
  </si>
  <si>
    <t xml:space="preserve">or quotation for the new compressor.  </t>
  </si>
  <si>
    <t xml:space="preserve">The profile of compressed air demand tells how heavily loaded a compressor is loaded throughout the work week.  Some systems are heavily loaded, delivering high output continuously throughout the entire week.  Others are more variable, working to capacity during periods of heavy air use, such as when the sand blaster is operating, but spending most of the time delivering minimal flow for air tools, air cylinders, and the ever-present leak load.   </t>
  </si>
  <si>
    <t>BLANK CELLS IN THE NEXT 19 LINES FOR CLEARING INSTRUCTIONS.</t>
  </si>
  <si>
    <t xml:space="preserve">When installation is complete, notify Energy Trust.  Energy Trust will request copies of invoices, ask you to </t>
  </si>
  <si>
    <t>sign a completion certification form, and may inspect the installation.  If conditions are significantly different</t>
  </si>
  <si>
    <t xml:space="preserve">from those represented in the analysis, the amount of the incentive may be affected.  Incentive checks are </t>
  </si>
  <si>
    <t>Enter the information requested above about participant, project, vendor, baseline compressor, proposed</t>
  </si>
  <si>
    <t xml:space="preserve">To characterize the operation of a system, divide the operating time into natural categories that describe the system's operation.  For example, if a system is pressurized 16 hours every day, and the compressor barely meets the demand for air due to simultaneous occurence of heavy loads during 4 of those hours, then for 4/16  (= 25%) of the time, the system can be considered to be 100% loaded.  Further, if during 8 hours of each day the compressor loads and unloads regularly, staying loaded about half the time, then 8/16 (= 50%) of the time the demand for air will be at 50% of capacity.  If during the remaining 4 hours per day there is little demand for air, but the compressor continues to run, loading up about 12 minutes per hour, then during that 4/16 (=25%) of the time the demand would be 12/60 = 20% of capacity, which could be mostly meeting leak load.  Our time bins now add to 100%, as they should (25% + 50% + 25%), and we have characterized the operation of the system.      </t>
  </si>
  <si>
    <t xml:space="preserve">Note that the final line in the profile table is reserved for the special no-load operating condition when the system is pressurized and the compressor is enabled, but the load is so low that the compressor has timed out and switched off after "idling" in the unloaded state.  During these times, the compressor motor draws no power.  This situation is quite different from the no load condition when the compressor has unloaded, but is still spinning.  In this second case, significant power is consumed even though the air delivery rate is zero cfm.     </t>
  </si>
  <si>
    <t>Interpretation of Project NPV</t>
  </si>
  <si>
    <t xml:space="preserve"> Profile of Compressed Air Demand 
for EEM Compressor</t>
  </si>
  <si>
    <t>NEMA Premium motors,</t>
  </si>
  <si>
    <t>V2.4</t>
  </si>
  <si>
    <t>V2.1</t>
  </si>
  <si>
    <t>V2.2</t>
  </si>
  <si>
    <t>Updated ETO CE Checker</t>
  </si>
  <si>
    <t>Updates to Master Outputs for DocMaker 2 compatibility</t>
  </si>
  <si>
    <t>Added ETO Bonus calculation</t>
  </si>
  <si>
    <t>Removed incentive rate auto-fill for BPA utilities</t>
  </si>
  <si>
    <t>Removed BETC Calculations</t>
  </si>
  <si>
    <t>V2.3</t>
  </si>
  <si>
    <t>Removed "Project Summary" macro and reference text (this caused issues with old verions of MSOffice due to the use of the Word Object Library.</t>
  </si>
  <si>
    <t>Changed Bonus Incentive to "Kick Start Bonus"</t>
  </si>
  <si>
    <t>Removed extra captions under Reason for Project on the Customer Information tab</t>
  </si>
  <si>
    <t>Changed ETO gas incentive to $2.00</t>
  </si>
  <si>
    <t>Bonus Text was updated to reflect KB bonus vs. FB bonus</t>
  </si>
  <si>
    <t>FLAT-Elec10</t>
  </si>
  <si>
    <t>IndShift110</t>
  </si>
  <si>
    <t>IndShift210</t>
  </si>
  <si>
    <t>IndShift310</t>
  </si>
  <si>
    <t>Constant</t>
  </si>
  <si>
    <t>1shft/5days</t>
  </si>
  <si>
    <t>2shft/5days</t>
  </si>
  <si>
    <t>3shft/5days</t>
  </si>
  <si>
    <t>50 psig</t>
  </si>
  <si>
    <t>hp</t>
  </si>
  <si>
    <t>kWh/yr</t>
  </si>
  <si>
    <t>Cap</t>
  </si>
  <si>
    <t>Power</t>
  </si>
  <si>
    <t>VFD</t>
  </si>
  <si>
    <t>Email:</t>
  </si>
  <si>
    <t>Mailing Address:</t>
  </si>
  <si>
    <t>Site Address:</t>
  </si>
  <si>
    <t>below 50%</t>
  </si>
  <si>
    <t>above 50%</t>
  </si>
  <si>
    <t>Screw</t>
  </si>
  <si>
    <t>Recip</t>
  </si>
  <si>
    <t>Rotary Vane</t>
  </si>
  <si>
    <t>On/Off (recips)</t>
  </si>
  <si>
    <t>Load/Unload</t>
  </si>
  <si>
    <t>% Load</t>
  </si>
  <si>
    <t>Compressor hp:</t>
  </si>
  <si>
    <t>x0</t>
  </si>
  <si>
    <t>x1</t>
  </si>
  <si>
    <t>% Capacity</t>
  </si>
  <si>
    <t>% Power Penalty</t>
  </si>
  <si>
    <t>Receiver Ratio (gal/cfm)</t>
  </si>
  <si>
    <t>Part Load Control Type</t>
  </si>
  <si>
    <t>#</t>
  </si>
  <si>
    <t>Company Name:</t>
  </si>
  <si>
    <t>Fax:</t>
  </si>
  <si>
    <t>Account Information</t>
  </si>
  <si>
    <t>Utility Name:</t>
  </si>
  <si>
    <t>Tool name:</t>
  </si>
  <si>
    <t>Completion checklist</t>
  </si>
  <si>
    <t>installed</t>
  </si>
  <si>
    <t>removed</t>
  </si>
  <si>
    <t>controls</t>
  </si>
  <si>
    <t>invoices</t>
  </si>
  <si>
    <t>Eligible Cost</t>
  </si>
  <si>
    <t>If unloading control, unloaded sump pressure:</t>
  </si>
  <si>
    <t>Not Applicable</t>
  </si>
  <si>
    <t>Other</t>
  </si>
  <si>
    <t>unknown</t>
  </si>
  <si>
    <t>0 psig</t>
  </si>
  <si>
    <t>40 psig</t>
  </si>
  <si>
    <t>60 psig</t>
  </si>
  <si>
    <t>&lt;50%</t>
  </si>
  <si>
    <t>&gt;50%</t>
  </si>
  <si>
    <t>Operating</t>
  </si>
  <si>
    <t>Points</t>
  </si>
  <si>
    <t>Motor</t>
  </si>
  <si>
    <t>Eff</t>
  </si>
  <si>
    <t>Participant Information</t>
  </si>
  <si>
    <t>% flow</t>
  </si>
  <si>
    <t>% time</t>
  </si>
  <si>
    <t>hrs/yr</t>
  </si>
  <si>
    <t>Baseline</t>
  </si>
  <si>
    <t>kW</t>
  </si>
  <si>
    <t>Upgrade</t>
  </si>
  <si>
    <t>Total:</t>
  </si>
  <si>
    <t>Company:</t>
  </si>
  <si>
    <t>Contact Name:</t>
  </si>
  <si>
    <t>psig</t>
  </si>
  <si>
    <t>The old compressor has been disabled or removed from the system or is no longer operational.</t>
  </si>
  <si>
    <t>Invoices relating to the new compressor are attached.</t>
  </si>
  <si>
    <t>Rate:</t>
  </si>
  <si>
    <t>Utility Type:</t>
  </si>
  <si>
    <t>Electric</t>
  </si>
  <si>
    <t>Project Type:</t>
  </si>
  <si>
    <t>Custom Non-Lighting</t>
  </si>
  <si>
    <t>Other Savings ($) - Annual</t>
  </si>
  <si>
    <t>Other Savings ($) - NPV</t>
  </si>
  <si>
    <t>Measure Life (yrs):</t>
  </si>
  <si>
    <t>Simple Payback (yrs):</t>
  </si>
  <si>
    <t>Overall Project Test</t>
  </si>
  <si>
    <t>Operating hrs/yr</t>
  </si>
  <si>
    <t>Title:</t>
  </si>
  <si>
    <t>County:</t>
  </si>
  <si>
    <t>Incentive Cap:</t>
  </si>
  <si>
    <t>from baseline table above</t>
  </si>
  <si>
    <t>from upgrade table above</t>
  </si>
  <si>
    <t>Motor efficiencies here</t>
  </si>
  <si>
    <t xml:space="preserve">are values for </t>
  </si>
  <si>
    <t>which is the current</t>
  </si>
  <si>
    <t>NEMA standard for the</t>
  </si>
  <si>
    <t>"energy efficient" label.</t>
  </si>
  <si>
    <t>Mod w/ Unloading</t>
  </si>
  <si>
    <t>List for combo box at E10 and G10</t>
  </si>
  <si>
    <t>lookup coefficients taken</t>
  </si>
  <si>
    <t>List for combo box at E11 and G11</t>
  </si>
  <si>
    <t>List for combo box at E12 and G12</t>
  </si>
  <si>
    <t>y-intercept</t>
  </si>
  <si>
    <t>slope</t>
  </si>
  <si>
    <t>PARTICIPANT INFORMATION</t>
  </si>
  <si>
    <t>Cell/Tel:</t>
  </si>
  <si>
    <t>Contact:</t>
  </si>
  <si>
    <t>City:</t>
  </si>
  <si>
    <t>State:</t>
  </si>
  <si>
    <t>Zip:</t>
  </si>
  <si>
    <t>PROJECT INFORMATION</t>
  </si>
  <si>
    <t>Reason for project:</t>
  </si>
  <si>
    <t>VENDOR INFORMATION</t>
  </si>
  <si>
    <t>Sales representative:</t>
  </si>
  <si>
    <t>Site City:</t>
  </si>
  <si>
    <t>Type of compressor:</t>
  </si>
  <si>
    <t>Type of part load control:</t>
  </si>
  <si>
    <t>scfm</t>
  </si>
  <si>
    <t>Receiver volume:</t>
  </si>
  <si>
    <t>Pressure at rated flow:</t>
  </si>
  <si>
    <t>Performance check (calculated):</t>
  </si>
  <si>
    <t>Rated flow:</t>
  </si>
  <si>
    <t xml:space="preserve"> hp</t>
  </si>
  <si>
    <t xml:space="preserve"> psig</t>
  </si>
  <si>
    <t xml:space="preserve"> INFORMATION ABOUT THE COMPRESSORS</t>
  </si>
  <si>
    <t xml:space="preserve"> INFORMATION ABOUT THE SYSTEM AND ITS OPERATION</t>
  </si>
  <si>
    <t>Baseline Compressor</t>
  </si>
  <si>
    <t>Baseline energy use:</t>
  </si>
  <si>
    <t>Upgrade energy use:</t>
  </si>
  <si>
    <t>Energy rate:</t>
  </si>
  <si>
    <t>Avoided energy cost:</t>
  </si>
  <si>
    <t>Site State:</t>
  </si>
  <si>
    <t>Site Zip:</t>
  </si>
  <si>
    <t>Account Number:</t>
  </si>
  <si>
    <t>Type of Industry:</t>
  </si>
  <si>
    <t>Reason for Project:</t>
  </si>
  <si>
    <t>Replace working compressor</t>
  </si>
  <si>
    <t>End of life compressor replacement</t>
  </si>
  <si>
    <t>Add capacity to existing system</t>
  </si>
  <si>
    <t>New compressor in new facility</t>
  </si>
  <si>
    <t>Vendor Information</t>
  </si>
  <si>
    <t>Vendor Company:</t>
  </si>
  <si>
    <t>Sales Representative:</t>
  </si>
  <si>
    <t>Tel/Cell:</t>
  </si>
  <si>
    <t>Incentive Information</t>
  </si>
  <si>
    <t>Inlet Modulation</t>
  </si>
  <si>
    <t>Incentive Determination</t>
  </si>
  <si>
    <t>Annual value of non-energy benefits:</t>
  </si>
  <si>
    <t>Estimated annual value of project's non-energy benefits:</t>
  </si>
  <si>
    <t>Assumed customer discount rate:</t>
  </si>
  <si>
    <t>2) Case Energy Trust no BETC</t>
  </si>
  <si>
    <t>7) Case Oregon non Trust w/ BETC</t>
  </si>
  <si>
    <t xml:space="preserve">    and with local incentive</t>
  </si>
  <si>
    <t>8) Case Oregon non Trust no BETC</t>
  </si>
  <si>
    <t>Energy</t>
  </si>
  <si>
    <t>Trust?</t>
  </si>
  <si>
    <t>Case ID</t>
  </si>
  <si>
    <t>YES</t>
  </si>
  <si>
    <t>NO</t>
  </si>
  <si>
    <t>in</t>
  </si>
  <si>
    <t>Oregon?</t>
  </si>
  <si>
    <t>local</t>
  </si>
  <si>
    <t>BETC?</t>
  </si>
  <si>
    <t>funding?</t>
  </si>
  <si>
    <t>This project:</t>
  </si>
  <si>
    <t>Case Selection:</t>
  </si>
  <si>
    <t>Row start:</t>
  </si>
  <si>
    <t>Row end:</t>
  </si>
  <si>
    <t>4) Case Energy Trust no BETC</t>
  </si>
  <si>
    <t>5) Case non-Oregon</t>
  </si>
  <si>
    <t>6) Case non-Oregon with local incent</t>
  </si>
  <si>
    <t>9) Case Oregon non Trust w/ BETC</t>
  </si>
  <si>
    <t>10) Case Oregon non Trust no BETC</t>
  </si>
  <si>
    <t>Proposed Upgrade Compressor</t>
  </si>
  <si>
    <t xml:space="preserve"> acfm</t>
  </si>
  <si>
    <t>Baseline Energy Use</t>
  </si>
  <si>
    <t>Upgrade Energy Use</t>
  </si>
  <si>
    <t>acfm</t>
  </si>
  <si>
    <t xml:space="preserve">Total project cost:  </t>
  </si>
  <si>
    <t xml:space="preserve">Baseline project cost:  </t>
  </si>
  <si>
    <t xml:space="preserve">Eligible project cost:  </t>
  </si>
  <si>
    <t xml:space="preserve">Net cost after incentives:  </t>
  </si>
  <si>
    <t xml:space="preserve">Estimated BETC tax credit:  </t>
  </si>
  <si>
    <t xml:space="preserve"> kWh/yr</t>
  </si>
  <si>
    <t xml:space="preserve"> per kWh</t>
  </si>
  <si>
    <t xml:space="preserve"> per year</t>
  </si>
  <si>
    <t xml:space="preserve"> years</t>
  </si>
  <si>
    <t xml:space="preserve">Simple payback:  </t>
  </si>
  <si>
    <t xml:space="preserve">NPV over 10 years:  </t>
  </si>
  <si>
    <t xml:space="preserve"> hours/yr</t>
  </si>
  <si>
    <t>Customer:</t>
  </si>
  <si>
    <t>Vendor:</t>
  </si>
  <si>
    <t>TO APPLY FOR INCENTIVES FROM ENERGY TRUST OF OREGON:</t>
  </si>
  <si>
    <t>1)</t>
  </si>
  <si>
    <t>2)</t>
  </si>
  <si>
    <t>3)</t>
  </si>
  <si>
    <t>or quotation for the new compressor.</t>
  </si>
  <si>
    <t>4)</t>
  </si>
  <si>
    <t>application fee to Oregon Department of Energy in Salem.</t>
  </si>
  <si>
    <t>5)</t>
  </si>
  <si>
    <t>Project Site Address, if different:</t>
  </si>
  <si>
    <t>ContactName</t>
  </si>
  <si>
    <t>Title</t>
  </si>
  <si>
    <t>CompanyName</t>
  </si>
  <si>
    <t>MailStreet</t>
  </si>
  <si>
    <t>MailCity</t>
  </si>
  <si>
    <t>MailState</t>
  </si>
  <si>
    <t>MailZip</t>
  </si>
  <si>
    <t>SiteStreet</t>
  </si>
  <si>
    <t>SiteCity</t>
  </si>
  <si>
    <t>SiteState</t>
  </si>
  <si>
    <t>SiteZip</t>
  </si>
  <si>
    <t>SiteCounty</t>
  </si>
  <si>
    <t>Fax</t>
  </si>
  <si>
    <t>ContactEmail</t>
  </si>
  <si>
    <t>UtilityName</t>
  </si>
  <si>
    <t>IndustryType</t>
  </si>
  <si>
    <t>ReasonForProject</t>
  </si>
  <si>
    <t>VendorCompany</t>
  </si>
  <si>
    <t>SalesRep</t>
  </si>
  <si>
    <t>VendorTel</t>
  </si>
  <si>
    <t>Range Names</t>
  </si>
  <si>
    <t>BaselineLaborCost</t>
  </si>
  <si>
    <t>UpgradeLaborCost</t>
  </si>
  <si>
    <t>NonEnergyBenefits</t>
  </si>
  <si>
    <t>DiscountRate</t>
  </si>
  <si>
    <t>UtilityIncentiveRate</t>
  </si>
  <si>
    <t>UtilityIncentiveCap</t>
  </si>
  <si>
    <t>Tel or Cell Phone:</t>
  </si>
  <si>
    <t>TelOrCell</t>
  </si>
  <si>
    <t>MeasureName</t>
  </si>
  <si>
    <t>ProjectName</t>
  </si>
  <si>
    <t>ToolName</t>
  </si>
  <si>
    <t>EnergySavings</t>
  </si>
  <si>
    <t>UtilAccountNumber</t>
  </si>
  <si>
    <t>LastName</t>
  </si>
  <si>
    <t>ContactGender</t>
  </si>
  <si>
    <t>BetcDescription</t>
  </si>
  <si>
    <t>Baseline Installation, Shipping Cost:</t>
  </si>
  <si>
    <t>BetcTotalEstCost</t>
  </si>
  <si>
    <t>BetcTotalProjectCost</t>
  </si>
  <si>
    <t>Default calculated baseline compressor kW at full load:</t>
  </si>
  <si>
    <t>Default calculated upgrade compressor kW at full load:</t>
  </si>
  <si>
    <t>Full load kW to use, either default</t>
  </si>
  <si>
    <t>or based on bhp, if given:</t>
  </si>
  <si>
    <t>baseline:</t>
  </si>
  <si>
    <t>upgrade:</t>
  </si>
  <si>
    <t xml:space="preserve"> bhp</t>
  </si>
  <si>
    <t>Compressor kW at any particular load level is calculated as full load kW times a % power factor, determined on the basis of control type and whether the part load level</t>
  </si>
  <si>
    <t>is in the lower half or the upper half of the capacity range, with a second order % power penalty added  - when unloading is involved - to the basic % power factor.</t>
  </si>
  <si>
    <t>This adjusts for receiver capacity (gal per cfm of compressor capacity).  Finally, the result is multiplied by an adjustment factor for operating pressure setpoint,</t>
  </si>
  <si>
    <t xml:space="preserve">(decrease) in operating pressure, compared to rated pressure.  </t>
  </si>
  <si>
    <t>which compensates for the fact that the system operating pressure is often not the same as the rated pressure.  The adjustment is 0.4% increase (decrease) in power for each psi increase</t>
  </si>
  <si>
    <t xml:space="preserve">Annual Hours of Operation:  </t>
  </si>
  <si>
    <t xml:space="preserve">Current average operating pressure:  </t>
  </si>
  <si>
    <t xml:space="preserve">Average operating pressure after upgrade:  </t>
  </si>
  <si>
    <t>If known, compressor shaft bhp:</t>
  </si>
  <si>
    <t>timed out</t>
  </si>
  <si>
    <t>ESTIMATE OF ENERGY SAVINGS AND INCENTIVES</t>
  </si>
  <si>
    <t>Incentive rate offered by utility:</t>
  </si>
  <si>
    <t>per kWh annual savings</t>
  </si>
  <si>
    <t>UTILITY INCENTIVE PROGRAM INFORMATION</t>
  </si>
  <si>
    <t>of eligible project cost</t>
  </si>
  <si>
    <t>Incentive cap:</t>
  </si>
  <si>
    <t>BETCAppStatus</t>
  </si>
  <si>
    <t>Average electric rate per kWh:</t>
  </si>
  <si>
    <t xml:space="preserve">a partially-completed BETC application will also be provided.  </t>
  </si>
  <si>
    <t>Participant completes the entries in the Energy Trust agreement, signs, and returns the agreement to Energy</t>
  </si>
  <si>
    <t>Trust.  If applying for BETC, Participant completes the entries in the BETC application, signs, and sends with</t>
  </si>
  <si>
    <t>Energy Trust will review inputs and outputs and call with any questions.  Upon approval, Energy Trust will then</t>
  </si>
  <si>
    <t>ODOE.  Each agency has its own brief process to close out the project and issue payment or final certification.</t>
  </si>
  <si>
    <t>Order equipment and schedule the installation.  When installation is complete, notify Energy Trust as well as</t>
  </si>
  <si>
    <t>new compressor, operating characteristics of the system, and assumptions.</t>
  </si>
  <si>
    <t>Send this Excel file as an email attachment to smallindustrial@energytrust.org.  Include a copy of the proposal</t>
  </si>
  <si>
    <t>Prepare BETC application?</t>
  </si>
  <si>
    <t>TO APPLY FOR INCENTIVES FROM YOUR LOCAL ELECTRIC UTILITY:</t>
  </si>
  <si>
    <t xml:space="preserve">provide an offer of funding for review and acceptance by Participant.  If the Oregon BETC box is checked, </t>
  </si>
  <si>
    <t>Send this Excel file as an email attachment to the local utility.  Include a copy of the proposal or</t>
  </si>
  <si>
    <t>quotation for the new compressor.</t>
  </si>
  <si>
    <t>Enter the information requested about Participant, Project, Vendor, baseline compressor, proposed</t>
  </si>
  <si>
    <t>Enter the information requested above about Participant, Project, Vendor, baseline compressor, proposed</t>
  </si>
  <si>
    <t xml:space="preserve">The utility will review inputs and outputs, call with any questions, and request any additional </t>
  </si>
  <si>
    <t>documentation that may be necessary.  An incentive agreement or application form provided by the</t>
  </si>
  <si>
    <t>utility will be completed at this point.</t>
  </si>
  <si>
    <t>agreement.</t>
  </si>
  <si>
    <t>6)</t>
  </si>
  <si>
    <t>Once the funding agreement is in place, equipment may be ordered and installed.  Please note that</t>
  </si>
  <si>
    <t xml:space="preserve"> DRYER UPGRADE ENERGY SAVINGS ESTIMATE</t>
  </si>
  <si>
    <t xml:space="preserve">utilities will not offer funding for projects in which equipment has been ordered prior to signing an </t>
  </si>
  <si>
    <t>When installation is complete, notify the utility and follow the utility-specific closeout process.</t>
  </si>
  <si>
    <t>An inspection may be required before the incentive check is issued.</t>
  </si>
  <si>
    <t>Contact the utility that provides electric service to the project site and inquire about incentives for</t>
  </si>
  <si>
    <t>compressed air.  Discuss this tool and what role it may play in analyzing the savings for a compressed</t>
  </si>
  <si>
    <t>air project.  The utility's incentive rate and cap figures will be needed as inputs above.</t>
  </si>
  <si>
    <t>Once the funding agreement is in place, equipment may be ordered and installed.  Note that utilities</t>
  </si>
  <si>
    <t>will not offer funding for projects where equipment has been ordered prior to signing an agreement.</t>
  </si>
  <si>
    <t xml:space="preserve">quotation for the new compressor.  A printout of this analysis may also be used to apply for </t>
  </si>
  <si>
    <t>the Business Energy Tax Credit (BETC) administered by the Oregon Department of Energy.</t>
  </si>
  <si>
    <t>BLANK CELLS IN THE NEXT 20 LINES FOR CLEARING INSTRUCTIONS.</t>
  </si>
  <si>
    <t>for Energy Trust Projects</t>
  </si>
  <si>
    <t>for non-Oregon projects</t>
  </si>
  <si>
    <t>for Oregon, non-Energy Trust projects</t>
  </si>
  <si>
    <t xml:space="preserve"> HOURS OF OPERATION</t>
  </si>
  <si>
    <t xml:space="preserve"> BENEFITS IN ADDITION TO ENERGY SAVINGS</t>
  </si>
  <si>
    <t xml:space="preserve"> EXPLANATION OF INPUTS</t>
  </si>
  <si>
    <t xml:space="preserve"> EXPLANATION OF COMPRESSOR LOAD PROFILE</t>
  </si>
  <si>
    <t>for Rocky Mountain Power projects</t>
  </si>
  <si>
    <t>TO APPLY FOR INCENTIVES FROM ROCKY MOUNTAIN POWER:</t>
  </si>
  <si>
    <t>Check with Rocky Mountain Power to get in touch with the people who handle the administration</t>
  </si>
  <si>
    <t>proposed project have been approved and the estimated incentive amount has been confirmed, if</t>
  </si>
  <si>
    <t>project have been approved and the estimated incentive amount has been confirmed, if Participant wishes</t>
  </si>
  <si>
    <t>Order and install the equipment.</t>
  </si>
  <si>
    <t>Complete the incentive application/agreement, which can be downloaded from the website given above.</t>
  </si>
  <si>
    <t>Send the completed application with a copy of dated invoices or receipts substantiating the project cost</t>
  </si>
  <si>
    <t>to the address given on the application.  Please allow six weeks for your incentive check to arrive.</t>
  </si>
  <si>
    <t>7)</t>
  </si>
  <si>
    <t>Please note that incentive qualifications and amounts are subject to change and termination at any time.</t>
  </si>
  <si>
    <t>Rocky Mountain Power reserves the right to conduct inspections to verify information provided in the application</t>
  </si>
  <si>
    <t>site visit, and/or the installation of temporary monitoring equipment at any time up to 36 months after installation.</t>
  </si>
  <si>
    <t xml:space="preserve">  Project is in (check one):</t>
  </si>
  <si>
    <t xml:space="preserve">  Electric Utility Provider:</t>
  </si>
  <si>
    <t xml:space="preserve"> Please describe how the compressed air demand profile in the savings calculation was estimated.</t>
  </si>
  <si>
    <t xml:space="preserve"> If a figure for non-energy benefits is entered in the Savings Calculations, please describe how this value was quantified.</t>
  </si>
  <si>
    <t>DateOfPrep (today's date)</t>
  </si>
  <si>
    <t>orange type</t>
  </si>
  <si>
    <t>blue type</t>
  </si>
  <si>
    <t>Last Name:</t>
  </si>
  <si>
    <t>Values Transferred</t>
  </si>
  <si>
    <t>Amount of Federal Funding:</t>
  </si>
  <si>
    <t>FederalFunding</t>
  </si>
  <si>
    <t>UpgradeDieselGal</t>
  </si>
  <si>
    <t>BaselineDieselGal</t>
  </si>
  <si>
    <t>violet type</t>
  </si>
  <si>
    <t>the cell is hard coded</t>
  </si>
  <si>
    <t>Measure name:</t>
  </si>
  <si>
    <t>Tool version:</t>
  </si>
  <si>
    <t>ToolVersion</t>
  </si>
  <si>
    <t>(hard coded value - change manually)</t>
  </si>
  <si>
    <t>Project name:</t>
  </si>
  <si>
    <t>Installed</t>
  </si>
  <si>
    <t>Removed</t>
  </si>
  <si>
    <t>Controls</t>
  </si>
  <si>
    <t>Invoices</t>
  </si>
  <si>
    <t>green background</t>
  </si>
  <si>
    <t>VBA inserts the value</t>
  </si>
  <si>
    <t>the cell has undergone a special intermediary formatting step</t>
  </si>
  <si>
    <t>yellow background</t>
  </si>
  <si>
    <t>ENERGY TRUST COST EFFECTIVENESS TEST</t>
  </si>
  <si>
    <t>Is project Energy Trust?</t>
  </si>
  <si>
    <t>Meets CE and Thresholds?</t>
  </si>
  <si>
    <t>orange background</t>
  </si>
  <si>
    <t>review this cell - it may at times need a manual entry</t>
  </si>
  <si>
    <t>DieselPrice</t>
  </si>
  <si>
    <t>and to inspect equipment after payment of incentives.  Inspections may  include a telephone survey,</t>
  </si>
  <si>
    <t xml:space="preserve"> acfm/kW</t>
  </si>
  <si>
    <t xml:space="preserve">  acfm/kW</t>
  </si>
  <si>
    <t>fixed compatibility issues between excel 2003 and 2010</t>
  </si>
  <si>
    <t>ENERGY SAVINGS CALCULATOR FOR CYCLING REFRIGERATED AIR DRYERS</t>
  </si>
  <si>
    <t>Energy Trust cost &amp; incentive:</t>
  </si>
  <si>
    <t>BETC tax credit:</t>
  </si>
  <si>
    <t>Lines from case lineup at left to send over to savings calculation sheet:</t>
  </si>
  <si>
    <t>Incentive or Tax Credit</t>
  </si>
  <si>
    <t xml:space="preserve">Federal or local funding:  </t>
  </si>
  <si>
    <t xml:space="preserve"> </t>
  </si>
  <si>
    <t>EstTaxCredit</t>
  </si>
  <si>
    <t>Estimated tax credit:</t>
  </si>
  <si>
    <t xml:space="preserve">     </t>
  </si>
  <si>
    <t>BetcDieselSavedMMBTU</t>
  </si>
  <si>
    <t>BetcDieselSavedGal</t>
  </si>
  <si>
    <t>BetcTotalEnergySavedMMBTU</t>
  </si>
  <si>
    <t>BetcTotalEnergyUsedMMBTU</t>
  </si>
  <si>
    <t>BetcTotalEnergyUpgradeMMBTU</t>
  </si>
  <si>
    <t>BetcUpgradeDieselMMBTU</t>
  </si>
  <si>
    <t>BetcBaselineDieselMMBTU</t>
  </si>
  <si>
    <t>BetcPercentSaved</t>
  </si>
  <si>
    <t>BetcValueDieselSavings</t>
  </si>
  <si>
    <t>BetcValueTotalSavings</t>
  </si>
  <si>
    <t>BetcSimplePayback</t>
  </si>
  <si>
    <t>BetcApplicationFee</t>
  </si>
  <si>
    <t>Electricity</t>
  </si>
  <si>
    <t>Diesel</t>
  </si>
  <si>
    <t>Natural Gas</t>
  </si>
  <si>
    <t>BaselineGasTherms</t>
  </si>
  <si>
    <t>BetcBaselineGasMMBTU</t>
  </si>
  <si>
    <t>UpgradeGasTherms</t>
  </si>
  <si>
    <t>BetcUpgradeGasMMBTU</t>
  </si>
  <si>
    <t>BetcGasSavedTherms</t>
  </si>
  <si>
    <t>BetcGasSavedMMBTU</t>
  </si>
  <si>
    <t>GasPrice</t>
  </si>
  <si>
    <t>BetcValueGasSavings</t>
  </si>
  <si>
    <t>Total Energy</t>
  </si>
  <si>
    <t>Project Energy Detail</t>
  </si>
  <si>
    <t>Project Economic Detail</t>
  </si>
  <si>
    <t>Baseline Energy Use, energy unit</t>
  </si>
  <si>
    <t>Baseline Energy Use, MMBTU</t>
  </si>
  <si>
    <t>Upgrade Energy Use, energy unit</t>
  </si>
  <si>
    <t>Upgrade Energy Use, MMBTU</t>
  </si>
  <si>
    <t>Energy Saved, energy unit</t>
  </si>
  <si>
    <t>Energy Saved, MMBTU</t>
  </si>
  <si>
    <t>Energy Cost per Energy unit</t>
  </si>
  <si>
    <t>Value of Energy Savings</t>
  </si>
  <si>
    <t>Baseline Equipment Cost</t>
  </si>
  <si>
    <t>UpgradeEquipmentCost</t>
  </si>
  <si>
    <t>Upgrade Installation, Shipping Cost</t>
  </si>
  <si>
    <t>BETC Total Eligible Cost</t>
  </si>
  <si>
    <t>BETC Total Cost (without fed fund)</t>
  </si>
  <si>
    <t>BETC Percent Energy Saved</t>
  </si>
  <si>
    <t>BETC Simple Payback</t>
  </si>
  <si>
    <t>BETC Application Fee</t>
  </si>
  <si>
    <t>GasUtilityName</t>
  </si>
  <si>
    <t>BaselineEquipmentCost</t>
  </si>
  <si>
    <t>Upgraded EquipmentCost</t>
  </si>
  <si>
    <t>BaselineElectricityKwh</t>
  </si>
  <si>
    <t>BetcBaselineElectricityMMBTU</t>
  </si>
  <si>
    <t>BetcUpgradeElectricityMMBTU</t>
  </si>
  <si>
    <t>UpgradeElectricityKwh</t>
  </si>
  <si>
    <t>BetcElectricitySavedMMBTU</t>
  </si>
  <si>
    <t>ElectricityCostSavings</t>
  </si>
  <si>
    <t>ElectricityRate</t>
  </si>
  <si>
    <t>BETC Total Baseline Cost</t>
  </si>
  <si>
    <t>BetcTotalBaselineCost</t>
  </si>
  <si>
    <t>BETC EngineeringCost</t>
  </si>
  <si>
    <t>BetcEngineeringCost</t>
  </si>
  <si>
    <t>BETC Other Cost</t>
  </si>
  <si>
    <t>BetcOtherCost</t>
  </si>
  <si>
    <t>light blue background</t>
  </si>
  <si>
    <t>BETC Description</t>
  </si>
  <si>
    <t>provides the name of the cell immediately to the left</t>
  </si>
  <si>
    <t>cell is hand entered every time</t>
  </si>
  <si>
    <t>cell is named range filled by calculation - used by DocMaker, common to all tools</t>
  </si>
  <si>
    <t>no background</t>
  </si>
  <si>
    <t>grey background</t>
  </si>
  <si>
    <t>cell is a named range filled by copying a value from the tool</t>
  </si>
  <si>
    <t>cell is named range filled by VBA in tool</t>
  </si>
  <si>
    <t>cell is used for interim calculations - tool specific may be named or unnamed</t>
  </si>
  <si>
    <t>Text for first line in each case:</t>
  </si>
  <si>
    <t>NPV of tax credit:</t>
  </si>
  <si>
    <t>TaxCreditNPV</t>
  </si>
  <si>
    <t>ETOBonus</t>
  </si>
  <si>
    <t>Eligible for bonus incentive?</t>
  </si>
  <si>
    <t>Bonus incentive amount:</t>
  </si>
  <si>
    <t>Total Incentive:</t>
  </si>
  <si>
    <t>TotalEstimatedIncentive</t>
  </si>
  <si>
    <t>EstIncentive/CalculatedIncentive</t>
  </si>
  <si>
    <t>Energy savings Text</t>
  </si>
  <si>
    <t>EnergySavingsText</t>
  </si>
  <si>
    <t>BonusText</t>
  </si>
  <si>
    <t>EstSimplePB/EstSimplePayback</t>
  </si>
  <si>
    <t>provide an offer of funding for review and acceptance by Participant.</t>
  </si>
  <si>
    <t>Trust.</t>
  </si>
  <si>
    <t>Order equipment and schedule the installation.  Please note that Energy Trust must approve funding</t>
  </si>
  <si>
    <t>before equipment is ordered.</t>
  </si>
  <si>
    <t>The Net Present Value (NPV) given at the bottom of the Savings Calculations sheet (Estimate of Energy Savings and Incentives) accounts for cashflows over a ten-year period using a discount rate of 5%. Non-energy benefits, if any have been entered in the Customer Information Sheet, are included in the NPV calculation.  Energy savings, and thus avoided energy costs, are assumed constant over the ten year period.  The rate paid for energy is also assumed constant; no inflation factor has been applied to energy rates.</t>
  </si>
  <si>
    <t>Added cycling dryer analysis as an extra page</t>
  </si>
  <si>
    <t>Updated cost inputs and savings outputs to reflect user-selected cycling dryer info</t>
  </si>
  <si>
    <t>Added admin buttons to protect and unprotect book</t>
  </si>
  <si>
    <t>added legal language in pop-up form</t>
  </si>
  <si>
    <t>fixed license agreement pop-up and cleaned up admin buttons</t>
  </si>
  <si>
    <t>Added language specific to cycling dryer replacement to the "installed" and "BETC" fields on the transition sheet</t>
  </si>
  <si>
    <t>Added cooling fan VFD and demand reduction calculations</t>
  </si>
  <si>
    <t xml:space="preserve">  hp</t>
  </si>
  <si>
    <t xml:space="preserve">  acfm</t>
  </si>
  <si>
    <t xml:space="preserve">  bhp</t>
  </si>
  <si>
    <t xml:space="preserve">  psig</t>
  </si>
  <si>
    <t xml:space="preserve">  gallons</t>
  </si>
  <si>
    <t xml:space="preserve">  $/yr</t>
  </si>
  <si>
    <t>Cooling fan motor hp:</t>
  </si>
  <si>
    <t>Comp.</t>
  </si>
  <si>
    <t>Dryer</t>
  </si>
  <si>
    <t>Cooling Fan</t>
  </si>
  <si>
    <t>Site energy savings:</t>
  </si>
  <si>
    <t>Total site savings:</t>
  </si>
  <si>
    <t>% Energy savings:</t>
  </si>
  <si>
    <t xml:space="preserve">Flow reduction? </t>
  </si>
  <si>
    <t>Dryer add?</t>
  </si>
  <si>
    <t>charting</t>
  </si>
  <si>
    <t>baseline points</t>
  </si>
  <si>
    <t>upgrade points</t>
  </si>
  <si>
    <t>baseline line</t>
  </si>
  <si>
    <t>upgrade line</t>
  </si>
  <si>
    <t>Install cooling fan VFD?</t>
  </si>
  <si>
    <t>Assumptions:</t>
  </si>
  <si>
    <t>Baseline Fan motor hp:</t>
  </si>
  <si>
    <t>Upgrade fan motor hp:</t>
  </si>
  <si>
    <t>run hours:</t>
  </si>
  <si>
    <t>hrs</t>
  </si>
  <si>
    <t>Estimated load factor:</t>
  </si>
  <si>
    <t>Power:</t>
  </si>
  <si>
    <t>Fan motor efficiency:</t>
  </si>
  <si>
    <t>energy:</t>
  </si>
  <si>
    <t>VFD exponent:</t>
  </si>
  <si>
    <t>VFD efficiency:</t>
  </si>
  <si>
    <t>upgrade power:</t>
  </si>
  <si>
    <t>minimum VFD speed</t>
  </si>
  <si>
    <t>Design temperature:</t>
  </si>
  <si>
    <t>F</t>
  </si>
  <si>
    <t>(100 F is standard design temp)</t>
  </si>
  <si>
    <t>Prepared by:</t>
  </si>
  <si>
    <t>Fixed issue with cooling fan VFD savings.  If user entered 8760 hrs and used the timeout to zero out unpressurized hours (off time) the</t>
  </si>
  <si>
    <t>savings would overpredict.  Made it so this method of specifying time would give same kWh fan savings as the usual method of making the entried.</t>
  </si>
  <si>
    <t>Added "Prepared by" field.</t>
  </si>
  <si>
    <t>Changed copyright to 2014</t>
  </si>
  <si>
    <t>v3.0</t>
  </si>
  <si>
    <t>Supplier</t>
  </si>
  <si>
    <t xml:space="preserve"> ← If compressor operation is seasonal, use both lines.  If not, one line is sufficient.</t>
  </si>
  <si>
    <t>Removed hardwired code that fills in BPA incentive rate and cap because utilities will vary.</t>
  </si>
  <si>
    <t>Removed hardwired code that fills in PacifiCorp incentive rate and cap because cap varies among states.</t>
  </si>
  <si>
    <t>Is this a PacifiCorp project?</t>
  </si>
  <si>
    <t>1 year payback incentive amount</t>
  </si>
  <si>
    <t>Added one year payback incentive constraint for Pacific Power and Rocky Mountain Power projects.</t>
  </si>
  <si>
    <t>Added rounding of baseline and upgrade kWh values to the nearest kWh.</t>
  </si>
  <si>
    <t>Added rounding of incentive amount to nearest cent.</t>
  </si>
  <si>
    <t>Commented out the note that would appear "Energy savings includes BPA line loss factor." in 6 places.</t>
  </si>
  <si>
    <t>The savings with the line loss multiplier used to appear in a separate cell, but it has not done so for a while.  So the note is misleading.  Got rid of it.</t>
  </si>
  <si>
    <t>Kept version number at v3.0 as requested by Erin 5/29/14.\</t>
  </si>
  <si>
    <t>Category</t>
  </si>
  <si>
    <t>IrrAcres</t>
  </si>
  <si>
    <t>IrrCrop</t>
  </si>
  <si>
    <t>Status</t>
  </si>
  <si>
    <t>Compressed Air</t>
  </si>
  <si>
    <t>Regional CA Tool</t>
  </si>
  <si>
    <t>v3.01</t>
  </si>
  <si>
    <t>Added Access Data and updated protection. (KS)</t>
  </si>
  <si>
    <t>Offered</t>
  </si>
  <si>
    <t>DHW</t>
  </si>
  <si>
    <t>v3.1</t>
  </si>
  <si>
    <t>Updated CE for new avoided Costs, discount rate, added revision history for avoided costs per Ted Light's request</t>
  </si>
  <si>
    <t>Choices for Business Type:</t>
  </si>
  <si>
    <t>Agriculture, Forestry, Fishing and Hunting</t>
  </si>
  <si>
    <t xml:space="preserve">     Crop Production</t>
  </si>
  <si>
    <t xml:space="preserve">           Greenhouse</t>
  </si>
  <si>
    <t xml:space="preserve">           Field Crops</t>
  </si>
  <si>
    <t xml:space="preserve">           Indoor Agriculture</t>
  </si>
  <si>
    <t xml:space="preserve">     Animal Production and Aquaculture</t>
  </si>
  <si>
    <t xml:space="preserve">     Forestry and Logging</t>
  </si>
  <si>
    <t xml:space="preserve">     Support Activities for Agriculture and Forestry</t>
  </si>
  <si>
    <t>Mining, Quarrying, and Oil and Gas Extraction</t>
  </si>
  <si>
    <t xml:space="preserve">     Oil and Gas Extraction</t>
  </si>
  <si>
    <t xml:space="preserve">     Mining (except Oil and Gas)</t>
  </si>
  <si>
    <t xml:space="preserve">     Support Activities for Mining</t>
  </si>
  <si>
    <t>Utilities</t>
  </si>
  <si>
    <t xml:space="preserve">     Electric Power Generation, Transmission and Distribution</t>
  </si>
  <si>
    <t xml:space="preserve">     Natural Gas Distribution </t>
  </si>
  <si>
    <t xml:space="preserve">     Water, Sewage and Other Systems </t>
  </si>
  <si>
    <t xml:space="preserve">           Water Supply Systems</t>
  </si>
  <si>
    <t xml:space="preserve">           Sewage Treatment Facilities </t>
  </si>
  <si>
    <t>Manufacturing</t>
  </si>
  <si>
    <t xml:space="preserve">     Food Manufacturing</t>
  </si>
  <si>
    <t xml:space="preserve">     Beverage and Tobacco Product Manufacturing</t>
  </si>
  <si>
    <t xml:space="preserve">           Brewery</t>
  </si>
  <si>
    <t xml:space="preserve">           Winery</t>
  </si>
  <si>
    <t xml:space="preserve">     Textile Mills</t>
  </si>
  <si>
    <t xml:space="preserve">     Apparel Manufacturing</t>
  </si>
  <si>
    <t xml:space="preserve">     Leather and Allied Product Manufacturing</t>
  </si>
  <si>
    <t xml:space="preserve">     Wood Product Manufacturing</t>
  </si>
  <si>
    <t xml:space="preserve">     Paper Manufacturing</t>
  </si>
  <si>
    <t xml:space="preserve">     Printing and Related Support Activities</t>
  </si>
  <si>
    <t xml:space="preserve">     Petroleum and Coal Products Manufacturing</t>
  </si>
  <si>
    <t xml:space="preserve">     Chemical Manufacturing</t>
  </si>
  <si>
    <t xml:space="preserve">     Plastics and Rubber Products Manufacturing</t>
  </si>
  <si>
    <t xml:space="preserve">     Nonmetallic Mineral Product Manufacturing</t>
  </si>
  <si>
    <t xml:space="preserve">           Glass</t>
  </si>
  <si>
    <t xml:space="preserve">           Concrete</t>
  </si>
  <si>
    <t xml:space="preserve">     Primary Metal Manufacturing</t>
  </si>
  <si>
    <t xml:space="preserve">     Fabricated Metal Product Manufacturing</t>
  </si>
  <si>
    <t xml:space="preserve">     Machinery Manufacturing</t>
  </si>
  <si>
    <t xml:space="preserve">     Computer and Electronic Product Manufacturing</t>
  </si>
  <si>
    <t xml:space="preserve">     Electrical Equipment, Appliance, and Component Manufacturing</t>
  </si>
  <si>
    <t xml:space="preserve">     Transportation Equipment Manufacturing</t>
  </si>
  <si>
    <t xml:space="preserve">     Furniture and Related Product Manufacturing</t>
  </si>
  <si>
    <t>Refrigerated Warehousing and Storage</t>
  </si>
  <si>
    <t>Waste Management and Remediation Services</t>
  </si>
  <si>
    <t>Other Industrial Services</t>
  </si>
  <si>
    <t xml:space="preserve">     Repair and Maintenance</t>
  </si>
  <si>
    <t xml:space="preserve">     Industrial Laundry Services</t>
  </si>
  <si>
    <t>V3.2</t>
  </si>
  <si>
    <t>Business Type:</t>
  </si>
  <si>
    <t>ETO Biz Type</t>
  </si>
  <si>
    <t>Project Name</t>
  </si>
  <si>
    <t>Business Type</t>
  </si>
  <si>
    <t>Site Contact</t>
  </si>
  <si>
    <t>Site Contact Office Phone</t>
  </si>
  <si>
    <t>Site Contact Cell Phone</t>
  </si>
  <si>
    <t>Site Contact Fax Number</t>
  </si>
  <si>
    <t>Site Contact Email</t>
  </si>
  <si>
    <t>Calc Method</t>
  </si>
  <si>
    <t>Equipment Size</t>
  </si>
  <si>
    <t>Equipment Size Units</t>
  </si>
  <si>
    <t>Annual Run Hours</t>
  </si>
  <si>
    <t>Electric Utility</t>
  </si>
  <si>
    <t>Gas Utility</t>
  </si>
  <si>
    <t>Annual Water Savings</t>
  </si>
  <si>
    <t>Committed Elec. Incentive</t>
  </si>
  <si>
    <t>Committed Gas Incentive</t>
  </si>
  <si>
    <t>Committed kWh</t>
  </si>
  <si>
    <t>Baseline kWh</t>
  </si>
  <si>
    <t>Committed Therms</t>
  </si>
  <si>
    <t>Baseline Therms</t>
  </si>
  <si>
    <t>Estimated Cost</t>
  </si>
  <si>
    <t>Door Size</t>
  </si>
  <si>
    <t>RefrigSpace</t>
  </si>
  <si>
    <t>n/a</t>
  </si>
  <si>
    <t>Added Business Type Chooser for Energy Trust. Revised AccessData tab for SharePoint integration</t>
  </si>
  <si>
    <t/>
  </si>
  <si>
    <t>V3.3</t>
  </si>
  <si>
    <t>Fixed Protection issue with Business Type selection box.</t>
  </si>
  <si>
    <t>CE Calculator Version:</t>
  </si>
  <si>
    <t>Electric Avoided Costs (NPV $/kWh)</t>
  </si>
  <si>
    <t>Measure Lifetime (yrs)</t>
  </si>
  <si>
    <t>Gas Avoided Costs (NPV $/therm)</t>
  </si>
  <si>
    <t>Load Profile Name</t>
  </si>
  <si>
    <t>Lifetime</t>
  </si>
  <si>
    <t>Concatenation</t>
  </si>
  <si>
    <t>PV Avoided Cost</t>
  </si>
  <si>
    <t>Res Heating</t>
  </si>
  <si>
    <t>Res Heating0</t>
  </si>
  <si>
    <t>Ag-Irrigation</t>
  </si>
  <si>
    <t>Res Heating10</t>
  </si>
  <si>
    <t>Flat</t>
  </si>
  <si>
    <t>Res Heating20</t>
  </si>
  <si>
    <t>All SI projects are "Custom Non-Lighting"</t>
  </si>
  <si>
    <t>1-Shift Industrial</t>
  </si>
  <si>
    <t>Res Heating30</t>
  </si>
  <si>
    <t>(=BaselineHoursOutput)</t>
  </si>
  <si>
    <t>Measure Life, round up</t>
  </si>
  <si>
    <t>2-Shift Industrial</t>
  </si>
  <si>
    <t>Res Heating40</t>
  </si>
  <si>
    <t>Measure life, round down</t>
  </si>
  <si>
    <t>3-Shift Industrial</t>
  </si>
  <si>
    <t>Res Heating50</t>
  </si>
  <si>
    <t>Round up lookup ($/kWh)</t>
  </si>
  <si>
    <t>Row Lookup:</t>
  </si>
  <si>
    <t>Res Heating60</t>
  </si>
  <si>
    <t>Round down lookup ($/kWh)</t>
  </si>
  <si>
    <t>Res Heating70</t>
  </si>
  <si>
    <t>Electric Utility Avoided Rate ($/kWh)</t>
  </si>
  <si>
    <t>Incentives</t>
  </si>
  <si>
    <t>DHW0</t>
  </si>
  <si>
    <t>Electric Societal Avoided Rate ($/kWh)</t>
  </si>
  <si>
    <t>Project Types</t>
  </si>
  <si>
    <t>Elec Tier 1</t>
  </si>
  <si>
    <t>Elec Tier 2</t>
  </si>
  <si>
    <t>Gas Tier 1</t>
  </si>
  <si>
    <t>Gas Tier 2</t>
  </si>
  <si>
    <t>DHW10</t>
  </si>
  <si>
    <t>Round up lookup ($/therm)</t>
  </si>
  <si>
    <t>DHW20</t>
  </si>
  <si>
    <t>Round down lookup ($/therm)</t>
  </si>
  <si>
    <t>DHW30</t>
  </si>
  <si>
    <t>Gas Utility Avoided Rate ($)</t>
  </si>
  <si>
    <t>Gas Boiler</t>
  </si>
  <si>
    <t>DHW40</t>
  </si>
  <si>
    <t>Gas Societal Avoided Rate ($)</t>
  </si>
  <si>
    <t>HVAC</t>
  </si>
  <si>
    <t>DHW50</t>
  </si>
  <si>
    <t>Manually enter "Ag-Irrigation" for Ag projects</t>
  </si>
  <si>
    <t>Avoided Costs</t>
  </si>
  <si>
    <t>Percent Electric Avoided Cost (%)</t>
  </si>
  <si>
    <t>O&amp;M</t>
  </si>
  <si>
    <t>DHW60</t>
  </si>
  <si>
    <t>Manually set at "flat" for all gas projects except greenhouse projects</t>
  </si>
  <si>
    <t>Percent Gas Avoided Cost (%)</t>
  </si>
  <si>
    <t>W/WW Plant</t>
  </si>
  <si>
    <t>DHW70</t>
  </si>
  <si>
    <t>Flat0</t>
  </si>
  <si>
    <t>Flat10</t>
  </si>
  <si>
    <t>Flat20</t>
  </si>
  <si>
    <t>Hours</t>
  </si>
  <si>
    <t>Load Profile</t>
  </si>
  <si>
    <t>Load Profile Description</t>
  </si>
  <si>
    <t>Flat30</t>
  </si>
  <si>
    <t>Flat40</t>
  </si>
  <si>
    <t>Flat50</t>
  </si>
  <si>
    <t>Flat60</t>
  </si>
  <si>
    <t>Flat70</t>
  </si>
  <si>
    <t>Clotheswasher</t>
  </si>
  <si>
    <t>Clotheswasher0</t>
  </si>
  <si>
    <t>Irrigation</t>
  </si>
  <si>
    <t>Clotheswasher10</t>
  </si>
  <si>
    <t>CalculatedIncentive</t>
  </si>
  <si>
    <t>Flat Gas Operation</t>
  </si>
  <si>
    <t>Clotheswasher20</t>
  </si>
  <si>
    <t>Clotheswasher30</t>
  </si>
  <si>
    <t>Clotheswasher40</t>
  </si>
  <si>
    <t>PrepareBetcDoc</t>
  </si>
  <si>
    <t>Clotheswasher50</t>
  </si>
  <si>
    <t>Clotheswasher60</t>
  </si>
  <si>
    <t>Clotheswasher70</t>
  </si>
  <si>
    <t>Com Heating</t>
  </si>
  <si>
    <t>Com Heating0</t>
  </si>
  <si>
    <t>Com Heating10</t>
  </si>
  <si>
    <t>Com Heating20</t>
  </si>
  <si>
    <t>Com Heating30</t>
  </si>
  <si>
    <t>Com Heating40</t>
  </si>
  <si>
    <t>Com Heating50</t>
  </si>
  <si>
    <t>Com Heating60</t>
  </si>
  <si>
    <t>Com Heating70</t>
  </si>
  <si>
    <t>Solar DHW</t>
  </si>
  <si>
    <t>Solar DHW0</t>
  </si>
  <si>
    <t>Solar DHW10</t>
  </si>
  <si>
    <t>Solar DHW20</t>
  </si>
  <si>
    <t>Solar DHW30</t>
  </si>
  <si>
    <t>Solar DHW40</t>
  </si>
  <si>
    <t>Solar DHW50</t>
  </si>
  <si>
    <t>Solar DHW60</t>
  </si>
  <si>
    <t>Solar DHW70</t>
  </si>
  <si>
    <t>Solar Pool</t>
  </si>
  <si>
    <t>Solar Pool0</t>
  </si>
  <si>
    <t>Solar Pool10</t>
  </si>
  <si>
    <t>Solar Pool20</t>
  </si>
  <si>
    <t>Solar Pool30</t>
  </si>
  <si>
    <t>Solar Pool40</t>
  </si>
  <si>
    <t>Solar Pool50</t>
  </si>
  <si>
    <t>Solar Pool60</t>
  </si>
  <si>
    <t>Solar Pool70</t>
  </si>
  <si>
    <t>Manually Enter "Self-Directed" in "UtilityName" range, if applicable.</t>
  </si>
  <si>
    <t xml:space="preserve">Updated the C/E Calculator for the 2016 A/C.  Added additional named ranges to make calcs easier to follow.  Changed max incentive for $499,999 (from $500,000).  Adjusted incentive calcs to calc incentive if a project had both electric and gas savings and the customer is self-directed. </t>
  </si>
  <si>
    <t>v3.4</t>
  </si>
  <si>
    <t>v3.5</t>
  </si>
  <si>
    <t xml:space="preserve">Updated the NPV of the "other savings" to reflect the actual discount rate.  The cell was referencing a blank cell. </t>
  </si>
  <si>
    <t>WA</t>
  </si>
  <si>
    <t xml:space="preserve"> Please explain how the hours of operation was determined</t>
  </si>
  <si>
    <t>Amount*</t>
  </si>
  <si>
    <t>BPA NW Regional Compressed Air Tool</t>
  </si>
  <si>
    <t>BES:</t>
  </si>
  <si>
    <t>V4.0</t>
  </si>
  <si>
    <t>Added BPA list of utilities as a drop down w/lookup to BES.  Added notice if tool has not been through technical review. Removed hours-of-operation calculator and updated cost table. Added "BPA" to version number to prevent future confusion.</t>
  </si>
  <si>
    <t>*Enter costs on Explanation of Inputs Tab</t>
  </si>
  <si>
    <t>* For baseline costs, enter "Baseline" at the beginning of the  description and enter a negative cost. 
  For upgrade costs, enter "Upgrade" at the beginning of the description and enter a positive cost.</t>
  </si>
  <si>
    <t>Reason for project (check only one):</t>
  </si>
  <si>
    <t xml:space="preserve"> This space is provided to detail the project costs.  Project costs summed here will appear on the "Savings Calculations" tab.</t>
  </si>
  <si>
    <t>Busbar energy savings:</t>
  </si>
  <si>
    <t>Incentive Amount</t>
  </si>
  <si>
    <t>kWh</t>
  </si>
  <si>
    <t>For BEETS Input:</t>
  </si>
  <si>
    <t>4.1</t>
  </si>
  <si>
    <t>Site Savings</t>
  </si>
  <si>
    <t>v4.1</t>
  </si>
  <si>
    <t>Added "For BEETS input" section on Savings Calcs page and busbar savings.</t>
  </si>
</sst>
</file>

<file path=xl/styles.xml><?xml version="1.0" encoding="utf-8"?>
<styleSheet xmlns="http://schemas.openxmlformats.org/spreadsheetml/2006/main">
  <numFmts count="6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 numFmtId="166" formatCode="0.0000"/>
    <numFmt numFmtId="167" formatCode="&quot;$&quot;#,##0"/>
    <numFmt numFmtId="168" formatCode="&quot;$&quot;#,##0.00"/>
    <numFmt numFmtId="169" formatCode="_(&quot;$&quot;* #,##0.0000_);_(&quot;$&quot;* \(#,##0.0000\);_(&quot;$&quot;* &quot;-&quot;??_);_(@_)"/>
    <numFmt numFmtId="170" formatCode="0.0%"/>
    <numFmt numFmtId="171" formatCode="&quot;$&quot;#,##0.000"/>
    <numFmt numFmtId="172" formatCode="&quot;$&quot;#,##0.00000"/>
    <numFmt numFmtId="173" formatCode="[$-409]mmmm\ d\,\ yyyy;@"/>
    <numFmt numFmtId="174" formatCode="_(&quot;$&quot;* #,##0_);_(&quot;$&quot;* \(#,##0\);_(&quot;$&quot;* &quot;-&quot;??_);_(@_)"/>
    <numFmt numFmtId="175" formatCode="_(* #,##0.0_);_(* \(#,##0.0\);_(* &quot;-&quot;??_);_(@_)"/>
    <numFmt numFmtId="176" formatCode="_(* #,##0_);_(* \(#,##0\);_(* &quot;-&quot;??_);_(@_)"/>
    <numFmt numFmtId="177" formatCode="#,##0.0"/>
    <numFmt numFmtId="178" formatCode="[&lt;=9999999]###\-####;\(###\)\ ###\-####"/>
    <numFmt numFmtId="179" formatCode="\(###\)\ ###\-####"/>
    <numFmt numFmtId="180" formatCode="_(&quot;$&quot;* #,##0.000_);_(&quot;$&quot;* \(#,##0.000\);_(&quot;$&quot;* &quot;-&quot;??_);_(@_)"/>
    <numFmt numFmtId="181" formatCode="&quot;$&quot;##,###"/>
    <numFmt numFmtId="182" formatCode="&quot;$&quot;0.###"/>
    <numFmt numFmtId="183" formatCode="_(* #,##0.00000_);_(* \(#,##0.00000\);_(* &quot;-&quot;??_);_(@_)"/>
    <numFmt numFmtId="184" formatCode="_(* #,##0.000000000000_);_(* \(#,##0.000000000000\);_(* &quot;-&quot;??_);_(@_)"/>
    <numFmt numFmtId="185" formatCode="&quot;Yes&quot;;&quot;Yes&quot;;&quot;No&quot;"/>
    <numFmt numFmtId="186" formatCode="&quot;True&quot;;&quot;True&quot;;&quot;False&quot;"/>
    <numFmt numFmtId="187" formatCode="&quot;On&quot;;&quot;On&quot;;&quot;Off&quot;"/>
    <numFmt numFmtId="188" formatCode="[$€-2]\ #,##0.00_);[Red]\([$€-2]\ #,##0.00\)"/>
    <numFmt numFmtId="189" formatCode="_(* #,##0.000000_);_(* \(#,##0.000000\);_(* &quot;-&quot;??_);_(@_)"/>
    <numFmt numFmtId="190" formatCode="_(* #,##0.0000000_);_(* \(#,##0.0000000\);_(* &quot;-&quot;??_);_(@_)"/>
    <numFmt numFmtId="191" formatCode="0.0\ \°\F"/>
    <numFmt numFmtId="192" formatCode="mmm\-dd"/>
    <numFmt numFmtId="193" formatCode="mmm\-dd\ \ dddd"/>
    <numFmt numFmtId="194" formatCode="mmm\-dd\ \ hh"/>
    <numFmt numFmtId="195" formatCode="mmm\-dd\ \ hh:mm"/>
    <numFmt numFmtId="196" formatCode="0.00000000"/>
    <numFmt numFmtId="197" formatCode="#,##0;\ \k\Wh"/>
    <numFmt numFmtId="198" formatCode="[$-409]dddd\,\ mmmm\ dd\,\ yyyy"/>
    <numFmt numFmtId="199" formatCode="[$-409]h:mm:ss\ AM/PM"/>
    <numFmt numFmtId="200" formatCode="&quot;$&quot;#,##0.0"/>
    <numFmt numFmtId="201" formatCode="0.0000000"/>
    <numFmt numFmtId="202" formatCode="0.000000"/>
    <numFmt numFmtId="203" formatCode="0.00000"/>
    <numFmt numFmtId="204" formatCode="_(&quot;$&quot;* #,##0.000_);_(&quot;$&quot;* \(#,##0.000\);_(&quot;$&quot;* &quot;-&quot;???_);_(@_)"/>
    <numFmt numFmtId="205" formatCode="_(* #,##0.0_);_(* \(#,##0.0\);_(* &quot;-&quot;?_);_(@_)"/>
    <numFmt numFmtId="206" formatCode="#,##0;[Red]\(#,##0\)"/>
    <numFmt numFmtId="207" formatCode="#,##0.0;[Red]\(#,##0.0\)"/>
    <numFmt numFmtId="208" formatCode="m/d/yy;@"/>
    <numFmt numFmtId="209" formatCode="mm/dd/yy;@"/>
    <numFmt numFmtId="210" formatCode="_(&quot;$&quot;* #,##0.0_);_(&quot;$&quot;* \(#,##0.0\);_(&quot;$&quot;* &quot;-&quot;??_);_(@_)"/>
    <numFmt numFmtId="211" formatCode="_(&quot;$&quot;* #,##0;[Red]_(&quot;$&quot;* \-#,##0"/>
    <numFmt numFmtId="212" formatCode="#,##0;[Red]\-#,##0"/>
    <numFmt numFmtId="213" formatCode="_(&quot;$&quot;* #,##0.0;[Red]_(&quot;$&quot;* \-#,##0.0"/>
    <numFmt numFmtId="214" formatCode="_(&quot;$&quot;* #,##0.00;[Red]_(&quot;$&quot;* \-#,##0.00"/>
    <numFmt numFmtId="215" formatCode="0.0E+00"/>
    <numFmt numFmtId="216" formatCode="&quot;$&quot;#,##0.0000"/>
    <numFmt numFmtId="217" formatCode="_(&quot;$&quot;* #,##0.00000_);_(&quot;$&quot;* \(#,##0.00000\);_(&quot;$&quot;* &quot;-&quot;??_);_(@_)"/>
    <numFmt numFmtId="218" formatCode="[$-409]dddd\,\ mmmm\ d\,\ yyyy"/>
  </numFmts>
  <fonts count="116">
    <font>
      <sz val="10"/>
      <name val="Arial"/>
      <family val="0"/>
    </font>
    <font>
      <sz val="8"/>
      <name val="Arial"/>
      <family val="2"/>
    </font>
    <font>
      <b/>
      <sz val="10"/>
      <color indexed="9"/>
      <name val="Arial"/>
      <family val="2"/>
    </font>
    <font>
      <b/>
      <sz val="10"/>
      <name val="Arial"/>
      <family val="2"/>
    </font>
    <font>
      <u val="single"/>
      <sz val="10"/>
      <color indexed="12"/>
      <name val="Arial"/>
      <family val="2"/>
    </font>
    <font>
      <u val="single"/>
      <sz val="10"/>
      <color indexed="36"/>
      <name val="Arial"/>
      <family val="2"/>
    </font>
    <font>
      <b/>
      <sz val="10"/>
      <color indexed="12"/>
      <name val="Arial"/>
      <family val="2"/>
    </font>
    <font>
      <sz val="9"/>
      <name val="Arial"/>
      <family val="2"/>
    </font>
    <font>
      <b/>
      <sz val="11"/>
      <name val="Arial"/>
      <family val="2"/>
    </font>
    <font>
      <b/>
      <sz val="10"/>
      <color indexed="13"/>
      <name val="Arial"/>
      <family val="2"/>
    </font>
    <font>
      <sz val="8"/>
      <name val="Tahoma"/>
      <family val="2"/>
    </font>
    <font>
      <b/>
      <sz val="8"/>
      <name val="Arial"/>
      <family val="2"/>
    </font>
    <font>
      <b/>
      <i/>
      <sz val="10"/>
      <name val="Arial"/>
      <family val="2"/>
    </font>
    <font>
      <i/>
      <sz val="10"/>
      <name val="Arial"/>
      <family val="2"/>
    </font>
    <font>
      <b/>
      <i/>
      <sz val="10"/>
      <color indexed="12"/>
      <name val="Arial"/>
      <family val="2"/>
    </font>
    <font>
      <b/>
      <sz val="10"/>
      <color indexed="10"/>
      <name val="Arial"/>
      <family val="2"/>
    </font>
    <font>
      <b/>
      <sz val="8"/>
      <color indexed="10"/>
      <name val="Arial"/>
      <family val="2"/>
    </font>
    <font>
      <sz val="10"/>
      <color indexed="12"/>
      <name val="Arial"/>
      <family val="2"/>
    </font>
    <font>
      <sz val="10"/>
      <color indexed="55"/>
      <name val="Arial"/>
      <family val="2"/>
    </font>
    <font>
      <sz val="10"/>
      <name val="Tahoma"/>
      <family val="2"/>
    </font>
    <font>
      <b/>
      <sz val="18"/>
      <color indexed="60"/>
      <name val="Arial"/>
      <family val="2"/>
    </font>
    <font>
      <b/>
      <sz val="8"/>
      <name val="Tahoma"/>
      <family val="2"/>
    </font>
    <font>
      <sz val="7"/>
      <name val="Arial"/>
      <family val="2"/>
    </font>
    <font>
      <sz val="10"/>
      <color indexed="57"/>
      <name val="Arial"/>
      <family val="2"/>
    </font>
    <font>
      <b/>
      <sz val="9"/>
      <color indexed="23"/>
      <name val="Arial"/>
      <family val="2"/>
    </font>
    <font>
      <b/>
      <sz val="10"/>
      <color indexed="23"/>
      <name val="Arial"/>
      <family val="2"/>
    </font>
    <font>
      <sz val="10"/>
      <color indexed="23"/>
      <name val="Arial"/>
      <family val="2"/>
    </font>
    <font>
      <b/>
      <sz val="10"/>
      <name val="Tahoma"/>
      <family val="2"/>
    </font>
    <font>
      <b/>
      <sz val="10"/>
      <color indexed="53"/>
      <name val="Arial"/>
      <family val="2"/>
    </font>
    <font>
      <sz val="10"/>
      <color indexed="53"/>
      <name val="Arial"/>
      <family val="2"/>
    </font>
    <font>
      <b/>
      <sz val="10"/>
      <color indexed="46"/>
      <name val="Arial"/>
      <family val="2"/>
    </font>
    <font>
      <b/>
      <sz val="14"/>
      <name val="Arial"/>
      <family val="2"/>
    </font>
    <font>
      <sz val="10"/>
      <color indexed="9"/>
      <name val="Arial"/>
      <family val="2"/>
    </font>
    <font>
      <sz val="12"/>
      <name val="Times New Roman"/>
      <family val="1"/>
    </font>
    <font>
      <sz val="10"/>
      <color indexed="8"/>
      <name val="Arial"/>
      <family val="2"/>
    </font>
    <font>
      <b/>
      <sz val="10"/>
      <color indexed="8"/>
      <name val="Arial"/>
      <family val="2"/>
    </font>
    <font>
      <sz val="10"/>
      <name val="Times New Roman"/>
      <family val="1"/>
    </font>
    <font>
      <b/>
      <sz val="12"/>
      <name val="Arial"/>
      <family val="2"/>
    </font>
    <font>
      <b/>
      <sz val="9"/>
      <name val="Arial"/>
      <family val="2"/>
    </font>
    <font>
      <sz val="11"/>
      <name val="Times New Roman"/>
      <family val="1"/>
    </font>
    <font>
      <sz val="9"/>
      <color indexed="57"/>
      <name val="Arial"/>
      <family val="2"/>
    </font>
    <font>
      <sz val="8"/>
      <color indexed="8"/>
      <name val="Tahoma"/>
      <family val="2"/>
    </font>
    <font>
      <sz val="10"/>
      <name val="Verdana"/>
      <family val="2"/>
    </font>
    <font>
      <b/>
      <sz val="10"/>
      <color indexed="19"/>
      <name val="Arial"/>
      <family val="2"/>
    </font>
    <font>
      <b/>
      <sz val="9"/>
      <name val="Tahoma"/>
      <family val="2"/>
    </font>
    <font>
      <sz val="9"/>
      <name val="Tahoma"/>
      <family val="2"/>
    </font>
    <font>
      <b/>
      <u val="single"/>
      <sz val="8"/>
      <name val="Arial"/>
      <family val="2"/>
    </font>
    <font>
      <sz val="10"/>
      <color indexed="9"/>
      <name val="Calibri"/>
      <family val="2"/>
    </font>
    <font>
      <vertAlign val="superscript"/>
      <sz val="10"/>
      <name val="Arial"/>
      <family val="2"/>
    </font>
    <font>
      <b/>
      <sz val="10"/>
      <name val="Calibri"/>
      <family val="2"/>
    </font>
    <font>
      <sz val="7"/>
      <color indexed="23"/>
      <name val="Arial"/>
      <family val="2"/>
    </font>
    <font>
      <b/>
      <sz val="10"/>
      <color indexed="55"/>
      <name val="Arial"/>
      <family val="2"/>
    </font>
    <font>
      <sz val="10"/>
      <color indexed="10"/>
      <name val="Arial"/>
      <family val="2"/>
    </font>
    <font>
      <b/>
      <i/>
      <sz val="10"/>
      <color indexed="55"/>
      <name val="Arial"/>
      <family val="2"/>
    </font>
    <font>
      <b/>
      <sz val="8"/>
      <color indexed="8"/>
      <name val="Arial"/>
      <family val="2"/>
    </font>
    <font>
      <b/>
      <sz val="11"/>
      <color indexed="9"/>
      <name val="Arial"/>
      <family val="2"/>
    </font>
    <font>
      <sz val="11"/>
      <color indexed="9"/>
      <name val="Arial"/>
      <family val="2"/>
    </font>
    <font>
      <b/>
      <sz val="10"/>
      <color indexed="39"/>
      <name val="Arial"/>
      <family val="2"/>
    </font>
    <font>
      <sz val="10"/>
      <name val="Calibri"/>
      <family val="2"/>
    </font>
    <font>
      <sz val="10"/>
      <color indexed="12"/>
      <name val="Tahoma"/>
      <family val="2"/>
    </font>
    <font>
      <sz val="7"/>
      <color indexed="12"/>
      <name val="Arial"/>
      <family val="2"/>
    </font>
    <font>
      <u val="single"/>
      <sz val="9"/>
      <color indexed="12"/>
      <name val="Arial"/>
      <family val="2"/>
    </font>
    <font>
      <b/>
      <sz val="1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i/>
      <sz val="11"/>
      <color indexed="8"/>
      <name val="Calibri"/>
      <family val="2"/>
    </font>
    <font>
      <sz val="10"/>
      <color indexed="62"/>
      <name val="Calibri"/>
      <family val="2"/>
    </font>
    <font>
      <sz val="9"/>
      <color indexed="10"/>
      <name val="Arial"/>
      <family val="2"/>
    </font>
    <font>
      <sz val="8"/>
      <name val="Segoe UI"/>
      <family val="2"/>
    </font>
    <font>
      <sz val="8"/>
      <color indexed="8"/>
      <name val="Arial"/>
      <family val="0"/>
    </font>
    <font>
      <b/>
      <sz val="9.75"/>
      <color indexed="8"/>
      <name val="Arial"/>
      <family val="0"/>
    </font>
    <font>
      <b/>
      <sz val="2.55"/>
      <color indexed="8"/>
      <name val="Arial"/>
      <family val="0"/>
    </font>
    <font>
      <b/>
      <sz val="2.3"/>
      <color indexed="8"/>
      <name val="Arial"/>
      <family val="0"/>
    </font>
    <font>
      <sz val="9"/>
      <color indexed="8"/>
      <name val="Arial"/>
      <family val="0"/>
    </font>
    <font>
      <sz val="10"/>
      <color indexed="8"/>
      <name val="Calibri"/>
      <family val="0"/>
    </font>
    <font>
      <b/>
      <sz val="14"/>
      <color indexed="8"/>
      <name val="Arial"/>
      <family val="0"/>
    </font>
    <font>
      <vertAlign val="superscript"/>
      <sz val="8"/>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i/>
      <sz val="11"/>
      <color theme="1"/>
      <name val="Calibri"/>
      <family val="2"/>
    </font>
    <font>
      <sz val="11"/>
      <color rgb="FF000000"/>
      <name val="Calibri"/>
      <family val="2"/>
    </font>
    <font>
      <b/>
      <sz val="11"/>
      <color rgb="FF000000"/>
      <name val="Calibri"/>
      <family val="2"/>
    </font>
    <font>
      <sz val="10"/>
      <color rgb="FF0000FF"/>
      <name val="Arial"/>
      <family val="2"/>
    </font>
    <font>
      <i/>
      <sz val="11"/>
      <color rgb="FF000000"/>
      <name val="Calibri"/>
      <family val="2"/>
    </font>
    <font>
      <sz val="10"/>
      <color theme="4"/>
      <name val="Calibri"/>
      <family val="2"/>
    </font>
    <font>
      <sz val="9"/>
      <color rgb="FFFF0000"/>
      <name val="Arial"/>
      <family val="2"/>
    </font>
  </fonts>
  <fills count="5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3"/>
        <bgColor indexed="64"/>
      </patternFill>
    </fill>
    <fill>
      <patternFill patternType="solid">
        <fgColor indexed="55"/>
        <bgColor indexed="64"/>
      </patternFill>
    </fill>
    <fill>
      <patternFill patternType="solid">
        <fgColor indexed="8"/>
        <bgColor indexed="64"/>
      </patternFill>
    </fill>
    <fill>
      <patternFill patternType="solid">
        <fgColor indexed="41"/>
        <bgColor indexed="64"/>
      </patternFill>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indexed="47"/>
        <bgColor indexed="64"/>
      </patternFill>
    </fill>
    <fill>
      <patternFill patternType="solid">
        <fgColor indexed="15"/>
        <bgColor indexed="64"/>
      </patternFill>
    </fill>
    <fill>
      <patternFill patternType="solid">
        <fgColor indexed="13"/>
        <bgColor indexed="64"/>
      </patternFill>
    </fill>
    <fill>
      <patternFill patternType="solid">
        <fgColor indexed="26"/>
        <bgColor indexed="64"/>
      </patternFill>
    </fill>
    <fill>
      <patternFill patternType="solid">
        <fgColor indexed="27"/>
        <bgColor indexed="64"/>
      </patternFill>
    </fill>
    <fill>
      <patternFill patternType="gray125">
        <bgColor indexed="8"/>
      </patternFill>
    </fill>
    <fill>
      <patternFill patternType="solid">
        <fgColor theme="6" tint="0.7999799847602844"/>
        <bgColor indexed="64"/>
      </patternFill>
    </fill>
    <fill>
      <patternFill patternType="solid">
        <fgColor theme="0"/>
        <bgColor indexed="64"/>
      </patternFill>
    </fill>
    <fill>
      <patternFill patternType="solid">
        <fgColor rgb="FFBFBFBF"/>
        <bgColor indexed="64"/>
      </patternFill>
    </fill>
    <fill>
      <patternFill patternType="solid">
        <fgColor rgb="FFB8D0E4"/>
        <bgColor indexed="64"/>
      </patternFill>
    </fill>
    <fill>
      <patternFill patternType="solid">
        <fgColor theme="0" tint="-0.1499900072813034"/>
        <bgColor indexed="64"/>
      </patternFill>
    </fill>
    <fill>
      <patternFill patternType="solid">
        <fgColor rgb="FFB7DEE8"/>
        <bgColor indexed="64"/>
      </patternFill>
    </fill>
  </fills>
  <borders count="1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hair"/>
      <bottom>
        <color indexed="63"/>
      </bottom>
    </border>
    <border>
      <left>
        <color indexed="63"/>
      </left>
      <right>
        <color indexed="63"/>
      </right>
      <top>
        <color indexed="63"/>
      </top>
      <bottom style="hair"/>
    </border>
    <border>
      <left>
        <color indexed="63"/>
      </left>
      <right style="hair"/>
      <top>
        <color indexed="63"/>
      </top>
      <bottom>
        <color indexed="63"/>
      </bottom>
    </border>
    <border>
      <left style="hair"/>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hair"/>
      <right>
        <color indexed="63"/>
      </right>
      <top style="hair"/>
      <bottom>
        <color indexed="63"/>
      </bottom>
    </border>
    <border>
      <left style="thin"/>
      <right>
        <color indexed="63"/>
      </right>
      <top style="medium"/>
      <bottom style="thin"/>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style="thin"/>
      <bottom style="thin"/>
    </border>
    <border>
      <left style="thin"/>
      <right>
        <color indexed="63"/>
      </right>
      <top>
        <color indexed="63"/>
      </top>
      <bottom>
        <color indexed="63"/>
      </bottom>
    </border>
    <border>
      <left style="medium"/>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style="medium"/>
      <right style="thin"/>
      <top style="medium"/>
      <bottom style="thin"/>
    </border>
    <border>
      <left style="medium"/>
      <right style="thin"/>
      <top style="thin"/>
      <bottom style="thin"/>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hair"/>
      <top>
        <color indexed="63"/>
      </top>
      <bottom style="hair"/>
    </border>
    <border>
      <left style="thin"/>
      <right style="medium"/>
      <top>
        <color indexed="63"/>
      </top>
      <bottom style="thin"/>
    </border>
    <border>
      <left style="thin"/>
      <right style="medium"/>
      <top style="thin"/>
      <bottom style="thin"/>
    </border>
    <border>
      <left style="medium"/>
      <right style="medium"/>
      <top style="medium"/>
      <bottom style="medium"/>
    </border>
    <border>
      <left style="thin"/>
      <right style="medium"/>
      <top style="thin"/>
      <bottom style="medium"/>
    </border>
    <border>
      <left style="medium"/>
      <right>
        <color indexed="63"/>
      </right>
      <top style="medium"/>
      <bottom style="medium"/>
    </border>
    <border>
      <left style="thin"/>
      <right style="thin"/>
      <top style="medium"/>
      <bottom style="medium"/>
    </border>
    <border>
      <left style="thin"/>
      <right style="medium"/>
      <top style="medium"/>
      <bottom style="medium"/>
    </border>
    <border>
      <left>
        <color indexed="63"/>
      </left>
      <right style="thin"/>
      <top>
        <color indexed="63"/>
      </top>
      <bottom style="medium"/>
    </border>
    <border>
      <left style="thin"/>
      <right style="thin"/>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color indexed="63"/>
      </top>
      <bottom style="thin"/>
    </border>
    <border>
      <left style="thin"/>
      <right style="medium"/>
      <top style="medium"/>
      <bottom style="thin"/>
    </border>
    <border>
      <left style="medium"/>
      <right style="thin"/>
      <top style="thin"/>
      <bottom style="medium"/>
    </border>
    <border>
      <left style="medium"/>
      <right style="thin"/>
      <top style="medium"/>
      <bottom style="medium"/>
    </border>
    <border>
      <left style="medium"/>
      <right style="thin"/>
      <top/>
      <bottom style="hair"/>
    </border>
    <border>
      <left style="thin"/>
      <right style="thin"/>
      <top/>
      <bottom style="hair"/>
    </border>
    <border>
      <left style="thin"/>
      <right style="medium"/>
      <top/>
      <bottom style="hair"/>
    </border>
    <border>
      <left style="medium"/>
      <right style="thin"/>
      <top style="hair"/>
      <bottom style="hair"/>
    </border>
    <border>
      <left style="thin"/>
      <right style="thin"/>
      <top style="hair"/>
      <bottom style="hair"/>
    </border>
    <border>
      <left style="thin"/>
      <right style="medium"/>
      <top style="hair"/>
      <bottom style="hair"/>
    </border>
    <border>
      <left style="medium"/>
      <right style="thin"/>
      <top style="hair"/>
      <bottom>
        <color indexed="63"/>
      </bottom>
    </border>
    <border>
      <left style="thin"/>
      <right style="thin"/>
      <top style="hair"/>
      <bottom>
        <color indexed="63"/>
      </bottom>
    </border>
    <border>
      <left style="thin"/>
      <right style="medium"/>
      <top style="hair"/>
      <bottom>
        <color indexed="63"/>
      </bottom>
    </border>
    <border>
      <left style="thin"/>
      <right/>
      <top style="medium"/>
      <bottom/>
    </border>
    <border>
      <left style="medium"/>
      <right/>
      <top/>
      <bottom style="thin"/>
    </border>
    <border>
      <left/>
      <right style="medium"/>
      <top/>
      <bottom style="thin"/>
    </border>
    <border>
      <left style="medium"/>
      <right style="thin"/>
      <top/>
      <bottom/>
    </border>
    <border>
      <left style="thin"/>
      <right/>
      <top/>
      <bottom style="medium"/>
    </border>
    <border>
      <left style="medium"/>
      <right style="thin"/>
      <top>
        <color indexed="63"/>
      </top>
      <bottom style="medium"/>
    </border>
    <border>
      <left>
        <color indexed="63"/>
      </left>
      <right style="hair"/>
      <top style="hair"/>
      <bottom>
        <color indexed="63"/>
      </bottom>
    </border>
    <border>
      <left style="thin"/>
      <right style="thin"/>
      <top style="thin"/>
      <bottom style="double"/>
    </border>
    <border>
      <left style="thin"/>
      <right style="thin"/>
      <top>
        <color indexed="63"/>
      </top>
      <bottom style="medium"/>
    </border>
    <border>
      <left style="thin"/>
      <right>
        <color indexed="63"/>
      </right>
      <top style="medium"/>
      <bottom style="medium"/>
    </border>
    <border>
      <left style="thin"/>
      <right style="medium"/>
      <top/>
      <bottom/>
    </border>
    <border>
      <left style="thin"/>
      <right style="thin"/>
      <top style="medium"/>
      <bottom style="thin"/>
    </border>
    <border>
      <left style="thin"/>
      <right>
        <color indexed="63"/>
      </right>
      <top style="thin"/>
      <bottom style="medium"/>
    </border>
    <border>
      <left style="thin"/>
      <right style="medium"/>
      <top>
        <color indexed="63"/>
      </top>
      <bottom style="medium"/>
    </border>
    <border>
      <left style="medium"/>
      <right>
        <color indexed="63"/>
      </right>
      <top style="thin"/>
      <bottom style="thin"/>
    </border>
    <border>
      <left style="medium"/>
      <right>
        <color indexed="63"/>
      </right>
      <top style="thin"/>
      <bottom style="medium"/>
    </border>
    <border>
      <left style="medium"/>
      <right style="thin"/>
      <top style="thin"/>
      <bottom style="hair"/>
    </border>
    <border>
      <left>
        <color indexed="63"/>
      </left>
      <right>
        <color indexed="63"/>
      </right>
      <top style="thin"/>
      <bottom style="medium"/>
    </border>
    <border>
      <left style="thin">
        <color indexed="8"/>
      </left>
      <right style="thin">
        <color indexed="8"/>
      </right>
      <top>
        <color indexed="63"/>
      </top>
      <bottom style="thin">
        <color indexed="8"/>
      </bottom>
    </border>
    <border>
      <left/>
      <right style="thin">
        <color theme="0"/>
      </right>
      <top/>
      <bottom/>
    </border>
    <border>
      <left style="medium"/>
      <right/>
      <top style="medium"/>
      <bottom style="thin"/>
    </border>
    <border>
      <left style="medium"/>
      <right style="medium"/>
      <top style="medium"/>
      <bottom style="thin"/>
    </border>
    <border>
      <left style="medium"/>
      <right style="medium"/>
      <top style="thin"/>
      <bottom style="thin"/>
    </border>
    <border>
      <left style="medium"/>
      <right style="medium"/>
      <top style="thin"/>
      <bottom/>
    </border>
    <border>
      <left style="medium"/>
      <right style="medium"/>
      <top style="thin"/>
      <bottom style="medium"/>
    </border>
    <border>
      <left style="medium"/>
      <right style="medium"/>
      <top/>
      <bottom style="thin"/>
    </border>
    <border>
      <left style="medium"/>
      <right style="medium"/>
      <top/>
      <bottom style="medium"/>
    </border>
    <border>
      <left style="hair"/>
      <right style="hair"/>
      <top>
        <color indexed="63"/>
      </top>
      <bottom style="hair"/>
    </border>
    <border>
      <left style="hair"/>
      <right>
        <color indexed="63"/>
      </right>
      <top>
        <color indexed="63"/>
      </top>
      <bottom style="hair"/>
    </border>
    <border>
      <left>
        <color indexed="63"/>
      </left>
      <right style="medium"/>
      <top style="thin"/>
      <bottom style="thin"/>
    </border>
    <border>
      <left>
        <color indexed="63"/>
      </left>
      <right style="thin"/>
      <top style="thin"/>
      <bottom style="medium"/>
    </border>
    <border>
      <left>
        <color indexed="63"/>
      </left>
      <right style="medium"/>
      <top style="medium"/>
      <bottom style="medium"/>
    </border>
    <border>
      <left>
        <color indexed="63"/>
      </left>
      <right>
        <color indexed="63"/>
      </right>
      <top style="medium"/>
      <bottom style="medium"/>
    </border>
    <border>
      <left>
        <color indexed="63"/>
      </left>
      <right>
        <color indexed="63"/>
      </right>
      <top style="medium"/>
      <bottom style="thin"/>
    </border>
    <border>
      <left>
        <color indexed="63"/>
      </left>
      <right style="thin"/>
      <top style="medium"/>
      <bottom style="thin"/>
    </border>
    <border>
      <left>
        <color indexed="63"/>
      </left>
      <right style="thin"/>
      <top style="medium"/>
      <bottom style="medium"/>
    </border>
    <border>
      <left>
        <color indexed="63"/>
      </left>
      <right style="medium"/>
      <top style="medium"/>
      <bottom style="thin"/>
    </border>
    <border>
      <left>
        <color indexed="63"/>
      </left>
      <right style="medium"/>
      <top style="thin"/>
      <bottom style="medium"/>
    </border>
    <border>
      <left style="thin">
        <color indexed="8"/>
      </left>
      <right style="thin"/>
      <top style="thin">
        <color indexed="8"/>
      </top>
      <bottom style="thin">
        <color indexed="8"/>
      </bottom>
    </border>
    <border>
      <left style="thin"/>
      <right style="thin">
        <color indexed="8"/>
      </right>
      <top style="thin">
        <color indexed="8"/>
      </top>
      <bottom style="thin">
        <color indexed="8"/>
      </bottom>
    </border>
    <border>
      <left>
        <color indexed="63"/>
      </left>
      <right style="hair"/>
      <top style="thin"/>
      <bottom>
        <color indexed="63"/>
      </bottom>
    </border>
    <border>
      <left style="hair"/>
      <right>
        <color indexed="63"/>
      </right>
      <top style="thin"/>
      <bottom>
        <color indexed="63"/>
      </bottom>
    </border>
    <border>
      <left style="hair"/>
      <right>
        <color indexed="63"/>
      </right>
      <top style="thin"/>
      <bottom style="thin"/>
    </border>
    <border>
      <left>
        <color indexed="63"/>
      </left>
      <right style="hair"/>
      <top style="medium"/>
      <bottom style="thin"/>
    </border>
    <border>
      <left>
        <color indexed="63"/>
      </left>
      <right style="thin"/>
      <top style="medium"/>
      <bottom>
        <color indexed="63"/>
      </bottom>
    </border>
    <border>
      <left style="thin"/>
      <right style="thin"/>
      <top style="medium"/>
      <bottom>
        <color indexed="63"/>
      </bottom>
    </border>
    <border>
      <left style="medium"/>
      <right style="medium"/>
      <top style="medium"/>
      <bottom/>
    </border>
    <border>
      <left style="medium"/>
      <right style="medium"/>
      <top/>
      <bottom/>
    </border>
  </borders>
  <cellStyleXfs count="8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91" fontId="1" fillId="0" borderId="0">
      <alignment/>
      <protection/>
    </xf>
    <xf numFmtId="0" fontId="92" fillId="2" borderId="0" applyNumberFormat="0" applyBorder="0" applyAlignment="0" applyProtection="0"/>
    <xf numFmtId="0" fontId="92" fillId="3" borderId="0" applyNumberFormat="0" applyBorder="0" applyAlignment="0" applyProtection="0"/>
    <xf numFmtId="0" fontId="92" fillId="4" borderId="0" applyNumberFormat="0" applyBorder="0" applyAlignment="0" applyProtection="0"/>
    <xf numFmtId="0" fontId="92" fillId="5" borderId="0" applyNumberFormat="0" applyBorder="0" applyAlignment="0" applyProtection="0"/>
    <xf numFmtId="0" fontId="92" fillId="6" borderId="0" applyNumberFormat="0" applyBorder="0" applyAlignment="0" applyProtection="0"/>
    <xf numFmtId="0" fontId="92" fillId="7" borderId="0" applyNumberFormat="0" applyBorder="0" applyAlignment="0" applyProtection="0"/>
    <xf numFmtId="0" fontId="92" fillId="8" borderId="0" applyNumberFormat="0" applyBorder="0" applyAlignment="0" applyProtection="0"/>
    <xf numFmtId="0" fontId="92" fillId="9" borderId="0" applyNumberFormat="0" applyBorder="0" applyAlignment="0" applyProtection="0"/>
    <xf numFmtId="0" fontId="92" fillId="10" borderId="0" applyNumberFormat="0" applyBorder="0" applyAlignment="0" applyProtection="0"/>
    <xf numFmtId="0" fontId="92" fillId="11" borderId="0" applyNumberFormat="0" applyBorder="0" applyAlignment="0" applyProtection="0"/>
    <xf numFmtId="0" fontId="92" fillId="12" borderId="0" applyNumberFormat="0" applyBorder="0" applyAlignment="0" applyProtection="0"/>
    <xf numFmtId="0" fontId="92" fillId="13" borderId="0" applyNumberFormat="0" applyBorder="0" applyAlignment="0" applyProtection="0"/>
    <xf numFmtId="0" fontId="93" fillId="14" borderId="0" applyNumberFormat="0" applyBorder="0" applyAlignment="0" applyProtection="0"/>
    <xf numFmtId="0" fontId="93" fillId="15" borderId="0" applyNumberFormat="0" applyBorder="0" applyAlignment="0" applyProtection="0"/>
    <xf numFmtId="0" fontId="93" fillId="10" borderId="0" applyNumberFormat="0" applyBorder="0" applyAlignment="0" applyProtection="0"/>
    <xf numFmtId="0" fontId="93" fillId="16" borderId="0" applyNumberFormat="0" applyBorder="0" applyAlignment="0" applyProtection="0"/>
    <xf numFmtId="0" fontId="93" fillId="17" borderId="0" applyNumberFormat="0" applyBorder="0" applyAlignment="0" applyProtection="0"/>
    <xf numFmtId="0" fontId="93" fillId="18" borderId="0" applyNumberFormat="0" applyBorder="0" applyAlignment="0" applyProtection="0"/>
    <xf numFmtId="0" fontId="93" fillId="19" borderId="0" applyNumberFormat="0" applyBorder="0" applyAlignment="0" applyProtection="0"/>
    <xf numFmtId="0" fontId="93" fillId="20" borderId="0" applyNumberFormat="0" applyBorder="0" applyAlignment="0" applyProtection="0"/>
    <xf numFmtId="0" fontId="93" fillId="21" borderId="0" applyNumberFormat="0" applyBorder="0" applyAlignment="0" applyProtection="0"/>
    <xf numFmtId="0" fontId="93" fillId="22" borderId="0" applyNumberFormat="0" applyBorder="0" applyAlignment="0" applyProtection="0"/>
    <xf numFmtId="0" fontId="93" fillId="23" borderId="0" applyNumberFormat="0" applyBorder="0" applyAlignment="0" applyProtection="0"/>
    <xf numFmtId="0" fontId="93" fillId="24" borderId="0" applyNumberFormat="0" applyBorder="0" applyAlignment="0" applyProtection="0"/>
    <xf numFmtId="0" fontId="94" fillId="25" borderId="0" applyNumberFormat="0" applyBorder="0" applyAlignment="0" applyProtection="0"/>
    <xf numFmtId="0" fontId="95" fillId="26" borderId="1" applyNumberFormat="0" applyAlignment="0" applyProtection="0"/>
    <xf numFmtId="0" fontId="96"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177" fontId="1" fillId="0" borderId="0" applyFont="0" applyFill="0" applyBorder="0" applyAlignment="0" applyProtection="0"/>
    <xf numFmtId="4" fontId="1" fillId="0" borderId="0" applyFont="0" applyFill="0" applyBorder="0" applyAlignment="0" applyProtection="0"/>
    <xf numFmtId="0" fontId="97" fillId="0" borderId="0" applyNumberFormat="0" applyFill="0" applyBorder="0" applyAlignment="0" applyProtection="0"/>
    <xf numFmtId="0" fontId="5" fillId="0" borderId="0" applyNumberFormat="0" applyFill="0" applyBorder="0" applyAlignment="0" applyProtection="0"/>
    <xf numFmtId="0" fontId="98" fillId="28" borderId="0" applyNumberFormat="0" applyBorder="0" applyAlignment="0" applyProtection="0"/>
    <xf numFmtId="0" fontId="99" fillId="0" borderId="3" applyNumberFormat="0" applyFill="0" applyAlignment="0" applyProtection="0"/>
    <xf numFmtId="0" fontId="100" fillId="0" borderId="4" applyNumberFormat="0" applyFill="0" applyAlignment="0" applyProtection="0"/>
    <xf numFmtId="0" fontId="101" fillId="0" borderId="5" applyNumberFormat="0" applyFill="0" applyAlignment="0" applyProtection="0"/>
    <xf numFmtId="0" fontId="101" fillId="0" borderId="0" applyNumberFormat="0" applyFill="0" applyBorder="0" applyAlignment="0" applyProtection="0"/>
    <xf numFmtId="0" fontId="4" fillId="0" borderId="0" applyNumberFormat="0" applyFill="0" applyBorder="0" applyAlignment="0" applyProtection="0"/>
    <xf numFmtId="0" fontId="102" fillId="29" borderId="1" applyNumberFormat="0" applyAlignment="0" applyProtection="0"/>
    <xf numFmtId="0" fontId="103" fillId="0" borderId="6" applyNumberFormat="0" applyFill="0" applyAlignment="0" applyProtection="0"/>
    <xf numFmtId="192" fontId="1" fillId="0" borderId="0">
      <alignment horizontal="left"/>
      <protection/>
    </xf>
    <xf numFmtId="193" fontId="1" fillId="0" borderId="0">
      <alignment horizontal="left"/>
      <protection/>
    </xf>
    <xf numFmtId="194" fontId="1" fillId="0" borderId="0">
      <alignment horizontal="left"/>
      <protection/>
    </xf>
    <xf numFmtId="195" fontId="1" fillId="0" borderId="0">
      <alignment horizontal="left"/>
      <protection/>
    </xf>
    <xf numFmtId="0" fontId="104" fillId="3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92" fillId="0" borderId="0">
      <alignment/>
      <protection/>
    </xf>
    <xf numFmtId="0" fontId="0" fillId="31" borderId="7" applyNumberFormat="0" applyFont="0" applyAlignment="0" applyProtection="0"/>
    <xf numFmtId="0" fontId="105" fillId="26"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106" fillId="0" borderId="0" applyNumberFormat="0" applyFill="0" applyBorder="0" applyAlignment="0" applyProtection="0"/>
    <xf numFmtId="0" fontId="107" fillId="0" borderId="9" applyNumberFormat="0" applyFill="0" applyAlignment="0" applyProtection="0"/>
    <xf numFmtId="0" fontId="108" fillId="0" borderId="0" applyNumberFormat="0" applyFill="0" applyBorder="0" applyAlignment="0" applyProtection="0"/>
  </cellStyleXfs>
  <cellXfs count="1242">
    <xf numFmtId="0" fontId="0" fillId="0" borderId="0" xfId="0" applyAlignment="1">
      <alignment/>
    </xf>
    <xf numFmtId="0" fontId="0" fillId="0" borderId="0" xfId="0" applyBorder="1" applyAlignment="1">
      <alignment/>
    </xf>
    <xf numFmtId="0" fontId="0" fillId="0" borderId="0" xfId="0" applyAlignment="1" applyProtection="1">
      <alignment/>
      <protection/>
    </xf>
    <xf numFmtId="0" fontId="0" fillId="0" borderId="0" xfId="0" applyFill="1" applyBorder="1" applyAlignment="1" applyProtection="1">
      <alignment/>
      <protection/>
    </xf>
    <xf numFmtId="0" fontId="0" fillId="0" borderId="0" xfId="0" applyBorder="1" applyAlignment="1" applyProtection="1">
      <alignment/>
      <protection/>
    </xf>
    <xf numFmtId="0" fontId="0" fillId="0" borderId="0" xfId="0" applyFill="1" applyBorder="1" applyAlignment="1">
      <alignment/>
    </xf>
    <xf numFmtId="0" fontId="2" fillId="32" borderId="0" xfId="0" applyFont="1" applyFill="1" applyAlignment="1">
      <alignment/>
    </xf>
    <xf numFmtId="0" fontId="1" fillId="0" borderId="0" xfId="0" applyFont="1" applyAlignment="1">
      <alignment vertical="top"/>
    </xf>
    <xf numFmtId="0" fontId="0" fillId="0" borderId="0" xfId="0" applyFont="1" applyAlignment="1">
      <alignment vertical="center"/>
    </xf>
    <xf numFmtId="0" fontId="1" fillId="0" borderId="0" xfId="0" applyFont="1" applyAlignment="1">
      <alignment/>
    </xf>
    <xf numFmtId="0" fontId="0" fillId="32" borderId="0" xfId="0" applyFill="1" applyAlignment="1">
      <alignment/>
    </xf>
    <xf numFmtId="0" fontId="9" fillId="32" borderId="0" xfId="0" applyFont="1" applyFill="1" applyAlignment="1">
      <alignment vertical="center"/>
    </xf>
    <xf numFmtId="0" fontId="0" fillId="0" borderId="10" xfId="0" applyBorder="1" applyAlignment="1">
      <alignment/>
    </xf>
    <xf numFmtId="0" fontId="1" fillId="0" borderId="0" xfId="0" applyFont="1" applyBorder="1" applyAlignment="1">
      <alignment vertical="top"/>
    </xf>
    <xf numFmtId="0" fontId="0" fillId="0" borderId="11" xfId="0" applyBorder="1" applyAlignment="1">
      <alignment/>
    </xf>
    <xf numFmtId="0" fontId="0" fillId="0" borderId="12" xfId="0" applyBorder="1" applyAlignment="1">
      <alignment/>
    </xf>
    <xf numFmtId="0" fontId="1" fillId="0" borderId="13" xfId="0" applyFont="1" applyBorder="1" applyAlignment="1">
      <alignment/>
    </xf>
    <xf numFmtId="0" fontId="1" fillId="0" borderId="10" xfId="0" applyFont="1" applyBorder="1" applyAlignment="1">
      <alignment vertical="center"/>
    </xf>
    <xf numFmtId="0" fontId="11" fillId="0" borderId="0" xfId="0" applyFont="1" applyBorder="1" applyAlignment="1">
      <alignment vertical="center"/>
    </xf>
    <xf numFmtId="0" fontId="0" fillId="0" borderId="0" xfId="0" applyAlignment="1">
      <alignment vertical="center"/>
    </xf>
    <xf numFmtId="0" fontId="1" fillId="0" borderId="0" xfId="0" applyFont="1" applyBorder="1" applyAlignment="1">
      <alignment vertical="center" wrapText="1"/>
    </xf>
    <xf numFmtId="0" fontId="1" fillId="0" borderId="10" xfId="0" applyFont="1" applyBorder="1" applyAlignment="1">
      <alignment vertical="center" wrapText="1"/>
    </xf>
    <xf numFmtId="178" fontId="19" fillId="0" borderId="0" xfId="0" applyNumberFormat="1" applyFont="1" applyBorder="1" applyAlignment="1">
      <alignment horizontal="left" vertical="center" indent="1"/>
    </xf>
    <xf numFmtId="178" fontId="4" fillId="0" borderId="0" xfId="60" applyNumberFormat="1" applyBorder="1" applyAlignment="1" applyProtection="1">
      <alignment horizontal="left" vertical="center" indent="1"/>
      <protection/>
    </xf>
    <xf numFmtId="9" fontId="1" fillId="0" borderId="13" xfId="0" applyNumberFormat="1" applyFont="1" applyBorder="1" applyAlignment="1">
      <alignment/>
    </xf>
    <xf numFmtId="0" fontId="0" fillId="33" borderId="0" xfId="0" applyFill="1" applyAlignment="1">
      <alignment/>
    </xf>
    <xf numFmtId="180" fontId="0" fillId="33" borderId="0" xfId="0" applyNumberFormat="1" applyFill="1" applyAlignment="1">
      <alignment/>
    </xf>
    <xf numFmtId="0" fontId="0" fillId="33" borderId="0" xfId="0" applyFill="1" applyAlignment="1">
      <alignment horizontal="center"/>
    </xf>
    <xf numFmtId="0" fontId="0" fillId="33" borderId="14" xfId="0" applyFill="1" applyBorder="1" applyAlignment="1">
      <alignment/>
    </xf>
    <xf numFmtId="0" fontId="0" fillId="33" borderId="15" xfId="0" applyFill="1" applyBorder="1" applyAlignment="1">
      <alignment/>
    </xf>
    <xf numFmtId="0" fontId="0" fillId="33" borderId="0" xfId="0" applyNumberFormat="1" applyFill="1" applyAlignment="1">
      <alignment/>
    </xf>
    <xf numFmtId="0" fontId="0" fillId="33" borderId="16" xfId="0" applyFill="1" applyBorder="1" applyAlignment="1">
      <alignment/>
    </xf>
    <xf numFmtId="20" fontId="0" fillId="33" borderId="0" xfId="0" applyNumberFormat="1" applyFill="1" applyAlignment="1">
      <alignment horizontal="left" indent="1"/>
    </xf>
    <xf numFmtId="0" fontId="0" fillId="33" borderId="0" xfId="0" applyFill="1" applyAlignment="1">
      <alignment horizontal="left" indent="1"/>
    </xf>
    <xf numFmtId="0" fontId="0" fillId="33" borderId="0" xfId="0" applyFill="1" applyBorder="1" applyAlignment="1" applyProtection="1">
      <alignment/>
      <protection/>
    </xf>
    <xf numFmtId="0" fontId="0" fillId="0" borderId="0" xfId="0" applyFill="1" applyAlignment="1">
      <alignment/>
    </xf>
    <xf numFmtId="0" fontId="27" fillId="33" borderId="0" xfId="0" applyFont="1" applyFill="1" applyAlignment="1" applyProtection="1">
      <alignment/>
      <protection/>
    </xf>
    <xf numFmtId="0" fontId="1" fillId="0" borderId="17" xfId="0" applyFont="1" applyBorder="1" applyAlignment="1">
      <alignment vertical="top"/>
    </xf>
    <xf numFmtId="0" fontId="1" fillId="0" borderId="10" xfId="0" applyFont="1" applyBorder="1" applyAlignment="1">
      <alignment vertical="top"/>
    </xf>
    <xf numFmtId="0" fontId="1" fillId="0" borderId="10" xfId="0" applyFont="1" applyBorder="1" applyAlignment="1">
      <alignment horizontal="left" vertical="center"/>
    </xf>
    <xf numFmtId="0" fontId="0" fillId="0" borderId="0" xfId="0" applyFill="1" applyAlignment="1">
      <alignment vertical="top"/>
    </xf>
    <xf numFmtId="0" fontId="7" fillId="0" borderId="0" xfId="0" applyFont="1" applyFill="1" applyAlignment="1">
      <alignment/>
    </xf>
    <xf numFmtId="0" fontId="1" fillId="0" borderId="0" xfId="0" applyFont="1" applyFill="1" applyAlignment="1">
      <alignment/>
    </xf>
    <xf numFmtId="0" fontId="2" fillId="0" borderId="0" xfId="0" applyFont="1" applyFill="1" applyAlignment="1">
      <alignment/>
    </xf>
    <xf numFmtId="44" fontId="0" fillId="33" borderId="0" xfId="48" applyFont="1" applyFill="1" applyAlignment="1">
      <alignment/>
    </xf>
    <xf numFmtId="9" fontId="0" fillId="33" borderId="0" xfId="76" applyFont="1" applyFill="1" applyAlignment="1">
      <alignment/>
    </xf>
    <xf numFmtId="0" fontId="3" fillId="0" borderId="0" xfId="0" applyFont="1" applyFill="1" applyBorder="1" applyAlignment="1" applyProtection="1">
      <alignment horizontal="left" indent="3"/>
      <protection/>
    </xf>
    <xf numFmtId="0" fontId="0" fillId="33" borderId="0" xfId="0" applyFill="1" applyAlignment="1">
      <alignment vertical="top"/>
    </xf>
    <xf numFmtId="0" fontId="0" fillId="0" borderId="0" xfId="0" applyAlignment="1">
      <alignment vertical="top"/>
    </xf>
    <xf numFmtId="0" fontId="0" fillId="0" borderId="0" xfId="0" applyAlignment="1" applyProtection="1">
      <alignment vertical="top"/>
      <protection/>
    </xf>
    <xf numFmtId="0" fontId="0" fillId="0" borderId="0" xfId="0" applyFill="1" applyBorder="1" applyAlignment="1" applyProtection="1">
      <alignment/>
      <protection locked="0"/>
    </xf>
    <xf numFmtId="0" fontId="2" fillId="32" borderId="0" xfId="0" applyFont="1" applyFill="1" applyAlignment="1" applyProtection="1">
      <alignment/>
      <protection/>
    </xf>
    <xf numFmtId="0" fontId="19" fillId="0" borderId="0" xfId="0" applyFont="1" applyBorder="1" applyAlignment="1" applyProtection="1">
      <alignment/>
      <protection/>
    </xf>
    <xf numFmtId="0" fontId="2" fillId="0" borderId="0" xfId="0" applyFont="1" applyFill="1" applyAlignment="1" applyProtection="1">
      <alignment/>
      <protection/>
    </xf>
    <xf numFmtId="178" fontId="19" fillId="0" borderId="0" xfId="0" applyNumberFormat="1" applyFont="1" applyBorder="1" applyAlignment="1" applyProtection="1">
      <alignment horizontal="left" vertical="center" indent="1"/>
      <protection/>
    </xf>
    <xf numFmtId="0" fontId="0" fillId="0" borderId="0" xfId="0" applyFont="1" applyAlignment="1" applyProtection="1">
      <alignment vertical="center"/>
      <protection/>
    </xf>
    <xf numFmtId="0" fontId="3" fillId="0" borderId="0" xfId="0" applyFont="1" applyBorder="1" applyAlignment="1" applyProtection="1">
      <alignment horizontal="center"/>
      <protection locked="0"/>
    </xf>
    <xf numFmtId="0" fontId="0" fillId="0" borderId="18" xfId="0" applyFill="1" applyBorder="1" applyAlignment="1" applyProtection="1">
      <alignment horizontal="center"/>
      <protection locked="0"/>
    </xf>
    <xf numFmtId="0" fontId="0" fillId="0" borderId="14" xfId="0" applyFill="1" applyBorder="1" applyAlignment="1" applyProtection="1">
      <alignment horizontal="center"/>
      <protection locked="0"/>
    </xf>
    <xf numFmtId="172" fontId="0" fillId="0" borderId="14" xfId="0" applyNumberFormat="1" applyFill="1" applyBorder="1" applyAlignment="1" applyProtection="1">
      <alignment horizontal="center"/>
      <protection locked="0"/>
    </xf>
    <xf numFmtId="0" fontId="0" fillId="0" borderId="19" xfId="0" applyBorder="1" applyAlignment="1" applyProtection="1">
      <alignment/>
      <protection locked="0"/>
    </xf>
    <xf numFmtId="0" fontId="29" fillId="4" borderId="0" xfId="0" applyFont="1" applyFill="1" applyAlignment="1" applyProtection="1">
      <alignment horizontal="left"/>
      <protection locked="0"/>
    </xf>
    <xf numFmtId="0" fontId="32" fillId="34" borderId="0" xfId="0" applyFont="1" applyFill="1" applyBorder="1" applyAlignment="1" applyProtection="1">
      <alignment/>
      <protection locked="0"/>
    </xf>
    <xf numFmtId="0" fontId="28" fillId="4" borderId="0" xfId="0" applyFont="1" applyFill="1" applyAlignment="1" applyProtection="1">
      <alignment horizontal="center"/>
      <protection locked="0"/>
    </xf>
    <xf numFmtId="0" fontId="3" fillId="0" borderId="0" xfId="0" applyFont="1" applyAlignment="1" applyProtection="1">
      <alignment horizontal="center"/>
      <protection locked="0"/>
    </xf>
    <xf numFmtId="174" fontId="0" fillId="0" borderId="20" xfId="48" applyNumberFormat="1" applyFont="1" applyBorder="1" applyAlignment="1" applyProtection="1">
      <alignment vertical="center"/>
      <protection locked="0"/>
    </xf>
    <xf numFmtId="174" fontId="0" fillId="0" borderId="21" xfId="48" applyNumberFormat="1" applyFont="1" applyBorder="1" applyAlignment="1" applyProtection="1">
      <alignment vertical="center"/>
      <protection locked="0"/>
    </xf>
    <xf numFmtId="174" fontId="0" fillId="4" borderId="21" xfId="48" applyNumberFormat="1" applyFont="1" applyFill="1" applyBorder="1" applyAlignment="1" applyProtection="1">
      <alignment vertical="center"/>
      <protection locked="0"/>
    </xf>
    <xf numFmtId="175" fontId="0" fillId="0" borderId="21" xfId="43" applyNumberFormat="1" applyFont="1" applyBorder="1" applyAlignment="1" applyProtection="1">
      <alignment vertical="center"/>
      <protection locked="0"/>
    </xf>
    <xf numFmtId="174" fontId="0" fillId="0" borderId="22" xfId="48" applyNumberFormat="1" applyFont="1" applyBorder="1" applyAlignment="1" applyProtection="1">
      <alignment vertical="center"/>
      <protection locked="0"/>
    </xf>
    <xf numFmtId="0" fontId="0" fillId="0" borderId="0" xfId="0" applyAlignment="1" applyProtection="1">
      <alignment/>
      <protection locked="0"/>
    </xf>
    <xf numFmtId="0" fontId="23" fillId="35" borderId="0" xfId="0" applyFont="1" applyFill="1" applyAlignment="1" applyProtection="1">
      <alignment/>
      <protection locked="0"/>
    </xf>
    <xf numFmtId="0" fontId="0" fillId="0" borderId="19" xfId="0" applyBorder="1" applyAlignment="1" applyProtection="1">
      <alignment horizontal="center"/>
      <protection locked="0"/>
    </xf>
    <xf numFmtId="0" fontId="3" fillId="0" borderId="0" xfId="0" applyFont="1" applyAlignment="1" applyProtection="1">
      <alignment horizontal="center" vertical="center"/>
      <protection locked="0"/>
    </xf>
    <xf numFmtId="167" fontId="0" fillId="0" borderId="0" xfId="0" applyNumberFormat="1" applyFont="1" applyAlignment="1" applyProtection="1">
      <alignment horizontal="center" vertical="center"/>
      <protection locked="0"/>
    </xf>
    <xf numFmtId="167" fontId="0" fillId="0" borderId="0" xfId="0" applyNumberFormat="1" applyFont="1" applyFill="1" applyAlignment="1" applyProtection="1">
      <alignment horizontal="center" vertical="center"/>
      <protection locked="0"/>
    </xf>
    <xf numFmtId="0" fontId="0" fillId="0" borderId="0" xfId="0" applyFont="1" applyAlignment="1" applyProtection="1">
      <alignment vertical="center"/>
      <protection locked="0"/>
    </xf>
    <xf numFmtId="176" fontId="0" fillId="36" borderId="0" xfId="43" applyNumberFormat="1" applyFont="1" applyFill="1" applyAlignment="1" applyProtection="1">
      <alignment horizontal="right"/>
      <protection locked="0"/>
    </xf>
    <xf numFmtId="167" fontId="0" fillId="36" borderId="0" xfId="0" applyNumberFormat="1" applyFont="1" applyFill="1" applyAlignment="1" applyProtection="1">
      <alignment horizontal="right" vertical="center"/>
      <protection locked="0"/>
    </xf>
    <xf numFmtId="0" fontId="0" fillId="0" borderId="0" xfId="0" applyAlignment="1" applyProtection="1">
      <alignment vertical="center"/>
      <protection locked="0"/>
    </xf>
    <xf numFmtId="174" fontId="0" fillId="36" borderId="0" xfId="48" applyNumberFormat="1" applyFont="1" applyFill="1" applyAlignment="1" applyProtection="1">
      <alignment/>
      <protection locked="0"/>
    </xf>
    <xf numFmtId="0" fontId="3" fillId="0" borderId="0" xfId="0" applyFont="1" applyFill="1" applyAlignment="1" applyProtection="1">
      <alignment horizontal="left"/>
      <protection locked="0"/>
    </xf>
    <xf numFmtId="0" fontId="3" fillId="0" borderId="0" xfId="0" applyFont="1" applyFill="1" applyAlignment="1" applyProtection="1">
      <alignment horizontal="center"/>
      <protection locked="0"/>
    </xf>
    <xf numFmtId="0" fontId="0" fillId="0" borderId="0" xfId="0" applyFont="1" applyAlignment="1" applyProtection="1">
      <alignment/>
      <protection locked="0"/>
    </xf>
    <xf numFmtId="0" fontId="0" fillId="4" borderId="0" xfId="0" applyFont="1" applyFill="1" applyAlignment="1" applyProtection="1">
      <alignment/>
      <protection locked="0"/>
    </xf>
    <xf numFmtId="0" fontId="28" fillId="0" borderId="0" xfId="0" applyFont="1" applyAlignment="1" applyProtection="1">
      <alignment horizontal="right" indent="1"/>
      <protection locked="0"/>
    </xf>
    <xf numFmtId="0" fontId="0" fillId="0" borderId="23" xfId="0" applyBorder="1" applyAlignment="1" applyProtection="1">
      <alignment/>
      <protection locked="0"/>
    </xf>
    <xf numFmtId="0" fontId="0" fillId="36" borderId="0" xfId="0" applyFont="1" applyFill="1" applyAlignment="1" applyProtection="1">
      <alignment/>
      <protection locked="0"/>
    </xf>
    <xf numFmtId="0" fontId="6" fillId="0" borderId="0" xfId="0" applyFont="1" applyAlignment="1" applyProtection="1">
      <alignment horizontal="right" indent="1"/>
      <protection locked="0"/>
    </xf>
    <xf numFmtId="0" fontId="30" fillId="0" borderId="0" xfId="0" applyFont="1" applyAlignment="1" applyProtection="1">
      <alignment horizontal="right" indent="1"/>
      <protection locked="0"/>
    </xf>
    <xf numFmtId="0" fontId="0" fillId="4" borderId="0" xfId="0" applyFill="1" applyBorder="1" applyAlignment="1" applyProtection="1">
      <alignment horizontal="center"/>
      <protection locked="0"/>
    </xf>
    <xf numFmtId="0" fontId="29" fillId="4" borderId="0" xfId="0" applyFont="1" applyFill="1" applyAlignment="1" applyProtection="1">
      <alignment horizontal="center"/>
      <protection locked="0"/>
    </xf>
    <xf numFmtId="0" fontId="0" fillId="36" borderId="0" xfId="0" applyFill="1" applyAlignment="1" applyProtection="1">
      <alignment horizontal="center"/>
      <protection locked="0"/>
    </xf>
    <xf numFmtId="0" fontId="0" fillId="0" borderId="0" xfId="0" applyFill="1" applyAlignment="1" applyProtection="1">
      <alignment/>
      <protection locked="0"/>
    </xf>
    <xf numFmtId="0" fontId="0" fillId="37" borderId="0" xfId="0" applyFill="1" applyAlignment="1" applyProtection="1">
      <alignment horizontal="center"/>
      <protection locked="0"/>
    </xf>
    <xf numFmtId="0" fontId="17" fillId="38" borderId="0" xfId="0" applyFont="1" applyFill="1" applyAlignment="1" applyProtection="1">
      <alignment horizontal="center"/>
      <protection locked="0"/>
    </xf>
    <xf numFmtId="1" fontId="0" fillId="4" borderId="0" xfId="0" applyNumberFormat="1" applyFont="1" applyFill="1" applyAlignment="1" applyProtection="1">
      <alignment horizontal="left"/>
      <protection locked="0"/>
    </xf>
    <xf numFmtId="0" fontId="0" fillId="39" borderId="0" xfId="0" applyFill="1" applyAlignment="1" applyProtection="1">
      <alignment horizontal="center"/>
      <protection locked="0"/>
    </xf>
    <xf numFmtId="0" fontId="0" fillId="4" borderId="0" xfId="0" applyFont="1" applyFill="1" applyAlignment="1" applyProtection="1">
      <alignment horizontal="left"/>
      <protection locked="0"/>
    </xf>
    <xf numFmtId="0" fontId="23" fillId="35" borderId="0" xfId="0" applyFont="1" applyFill="1" applyAlignment="1" applyProtection="1">
      <alignment horizontal="center"/>
      <protection locked="0"/>
    </xf>
    <xf numFmtId="178" fontId="0" fillId="4" borderId="0" xfId="0" applyNumberFormat="1" applyFont="1" applyFill="1" applyAlignment="1" applyProtection="1">
      <alignment/>
      <protection locked="0"/>
    </xf>
    <xf numFmtId="179" fontId="0" fillId="0" borderId="0" xfId="0" applyNumberFormat="1" applyFont="1" applyFill="1" applyAlignment="1" applyProtection="1">
      <alignment horizontal="left"/>
      <protection locked="0"/>
    </xf>
    <xf numFmtId="179" fontId="0" fillId="0" borderId="0" xfId="0" applyNumberFormat="1" applyAlignment="1" applyProtection="1">
      <alignment/>
      <protection locked="0"/>
    </xf>
    <xf numFmtId="173" fontId="0" fillId="36" borderId="0" xfId="0" applyNumberFormat="1" applyFont="1" applyFill="1" applyAlignment="1" applyProtection="1">
      <alignment horizontal="left"/>
      <protection locked="0"/>
    </xf>
    <xf numFmtId="0" fontId="3" fillId="0" borderId="0" xfId="0" applyFont="1" applyFill="1" applyAlignment="1" applyProtection="1">
      <alignment/>
      <protection locked="0"/>
    </xf>
    <xf numFmtId="0" fontId="17" fillId="0" borderId="0" xfId="0" applyFont="1" applyFill="1" applyAlignment="1" applyProtection="1">
      <alignment horizontal="left"/>
      <protection locked="0"/>
    </xf>
    <xf numFmtId="0" fontId="23" fillId="0" borderId="0" xfId="0" applyFont="1" applyFill="1" applyAlignment="1" applyProtection="1">
      <alignment/>
      <protection locked="0"/>
    </xf>
    <xf numFmtId="0" fontId="0" fillId="4" borderId="24" xfId="0" applyFill="1" applyBorder="1" applyAlignment="1" applyProtection="1">
      <alignment/>
      <protection locked="0"/>
    </xf>
    <xf numFmtId="0" fontId="17" fillId="4" borderId="0" xfId="0" applyFont="1" applyFill="1" applyAlignment="1" applyProtection="1">
      <alignment/>
      <protection locked="0"/>
    </xf>
    <xf numFmtId="0" fontId="0" fillId="0" borderId="0" xfId="0" applyFont="1" applyAlignment="1" applyProtection="1">
      <alignment horizontal="left"/>
      <protection locked="0"/>
    </xf>
    <xf numFmtId="0" fontId="15" fillId="0" borderId="0" xfId="0" applyFont="1" applyAlignment="1" applyProtection="1">
      <alignment/>
      <protection locked="0"/>
    </xf>
    <xf numFmtId="0" fontId="17" fillId="0" borderId="0" xfId="0" applyFont="1" applyAlignment="1" applyProtection="1">
      <alignment/>
      <protection locked="0"/>
    </xf>
    <xf numFmtId="0" fontId="23" fillId="0" borderId="0" xfId="0" applyFont="1" applyAlignment="1" applyProtection="1">
      <alignment/>
      <protection locked="0"/>
    </xf>
    <xf numFmtId="0" fontId="17" fillId="0" borderId="0" xfId="0" applyFont="1" applyFill="1" applyAlignment="1" applyProtection="1">
      <alignment/>
      <protection locked="0"/>
    </xf>
    <xf numFmtId="0" fontId="3" fillId="0" borderId="0" xfId="0" applyFont="1" applyAlignment="1" applyProtection="1">
      <alignment/>
      <protection locked="0"/>
    </xf>
    <xf numFmtId="44" fontId="0" fillId="4" borderId="0" xfId="48" applyFont="1" applyFill="1" applyAlignment="1" applyProtection="1">
      <alignment/>
      <protection locked="0"/>
    </xf>
    <xf numFmtId="9" fontId="0" fillId="4" borderId="0" xfId="76" applyFont="1" applyFill="1" applyAlignment="1" applyProtection="1">
      <alignment/>
      <protection locked="0"/>
    </xf>
    <xf numFmtId="174" fontId="0" fillId="4" borderId="0" xfId="48" applyNumberFormat="1" applyFont="1" applyFill="1" applyAlignment="1" applyProtection="1">
      <alignment/>
      <protection locked="0"/>
    </xf>
    <xf numFmtId="0" fontId="0" fillId="0" borderId="0" xfId="0" applyAlignment="1" applyProtection="1">
      <alignment horizontal="center"/>
      <protection locked="0"/>
    </xf>
    <xf numFmtId="3" fontId="0" fillId="4" borderId="0" xfId="0" applyNumberFormat="1" applyFont="1" applyFill="1" applyBorder="1" applyAlignment="1" applyProtection="1">
      <alignment horizontal="right"/>
      <protection locked="0"/>
    </xf>
    <xf numFmtId="0" fontId="0" fillId="4" borderId="24" xfId="0" applyFont="1" applyFill="1" applyBorder="1" applyAlignment="1" applyProtection="1">
      <alignment/>
      <protection locked="0"/>
    </xf>
    <xf numFmtId="0" fontId="0" fillId="0" borderId="24" xfId="0" applyBorder="1" applyAlignment="1" applyProtection="1">
      <alignment/>
      <protection locked="0"/>
    </xf>
    <xf numFmtId="0" fontId="0" fillId="0" borderId="0" xfId="0" applyBorder="1" applyAlignment="1" applyProtection="1">
      <alignment/>
      <protection locked="0"/>
    </xf>
    <xf numFmtId="14" fontId="0" fillId="0" borderId="0" xfId="0" applyNumberFormat="1" applyAlignment="1" applyProtection="1">
      <alignment/>
      <protection locked="0"/>
    </xf>
    <xf numFmtId="43" fontId="0" fillId="0" borderId="0" xfId="43" applyFont="1" applyAlignment="1" applyProtection="1">
      <alignment/>
      <protection locked="0"/>
    </xf>
    <xf numFmtId="43" fontId="0" fillId="0" borderId="0" xfId="0" applyNumberFormat="1" applyAlignment="1" applyProtection="1">
      <alignment/>
      <protection locked="0"/>
    </xf>
    <xf numFmtId="1" fontId="0" fillId="36" borderId="0" xfId="0" applyNumberFormat="1" applyFont="1" applyFill="1" applyBorder="1" applyAlignment="1" applyProtection="1">
      <alignment horizontal="right"/>
      <protection locked="0"/>
    </xf>
    <xf numFmtId="3" fontId="0" fillId="36" borderId="24" xfId="0" applyNumberFormat="1" applyFont="1" applyFill="1" applyBorder="1" applyAlignment="1" applyProtection="1">
      <alignment/>
      <protection locked="0"/>
    </xf>
    <xf numFmtId="0" fontId="0" fillId="36" borderId="24" xfId="0" applyFill="1" applyBorder="1" applyAlignment="1" applyProtection="1">
      <alignment/>
      <protection locked="0"/>
    </xf>
    <xf numFmtId="3" fontId="0" fillId="36" borderId="24" xfId="0" applyNumberFormat="1" applyFont="1" applyFill="1" applyBorder="1" applyAlignment="1" applyProtection="1">
      <alignment horizontal="right"/>
      <protection locked="0"/>
    </xf>
    <xf numFmtId="14" fontId="0" fillId="0" borderId="0" xfId="0" applyNumberFormat="1" applyBorder="1" applyAlignment="1" applyProtection="1">
      <alignment/>
      <protection locked="0"/>
    </xf>
    <xf numFmtId="3" fontId="0" fillId="36" borderId="0" xfId="0" applyNumberFormat="1" applyFont="1" applyFill="1" applyBorder="1" applyAlignment="1" applyProtection="1">
      <alignment horizontal="right"/>
      <protection locked="0"/>
    </xf>
    <xf numFmtId="174" fontId="0" fillId="36" borderId="0" xfId="48" applyNumberFormat="1" applyFont="1" applyFill="1" applyBorder="1" applyAlignment="1" applyProtection="1">
      <alignment horizontal="right"/>
      <protection locked="0"/>
    </xf>
    <xf numFmtId="174" fontId="0" fillId="36" borderId="24" xfId="48" applyNumberFormat="1" applyFont="1" applyFill="1" applyBorder="1" applyAlignment="1" applyProtection="1">
      <alignment/>
      <protection locked="0"/>
    </xf>
    <xf numFmtId="174" fontId="0" fillId="36" borderId="0" xfId="48" applyNumberFormat="1" applyFont="1" applyFill="1" applyBorder="1" applyAlignment="1" applyProtection="1">
      <alignment/>
      <protection locked="0"/>
    </xf>
    <xf numFmtId="3" fontId="0" fillId="0" borderId="0" xfId="0" applyNumberFormat="1" applyFont="1" applyFill="1" applyBorder="1" applyAlignment="1" applyProtection="1">
      <alignment/>
      <protection locked="0"/>
    </xf>
    <xf numFmtId="3" fontId="0" fillId="0" borderId="0" xfId="0" applyNumberFormat="1" applyFont="1" applyFill="1" applyBorder="1" applyAlignment="1" applyProtection="1">
      <alignment horizontal="right"/>
      <protection locked="0"/>
    </xf>
    <xf numFmtId="167" fontId="0" fillId="0" borderId="0" xfId="0" applyNumberFormat="1" applyFont="1" applyFill="1" applyAlignment="1" applyProtection="1">
      <alignment/>
      <protection locked="0"/>
    </xf>
    <xf numFmtId="0" fontId="29" fillId="0" borderId="0" xfId="0" applyFont="1" applyFill="1" applyAlignment="1" applyProtection="1">
      <alignment horizontal="left"/>
      <protection locked="0"/>
    </xf>
    <xf numFmtId="44" fontId="30" fillId="0" borderId="0" xfId="48" applyFont="1" applyFill="1" applyAlignment="1" applyProtection="1">
      <alignment/>
      <protection locked="0"/>
    </xf>
    <xf numFmtId="167" fontId="0" fillId="4" borderId="0" xfId="0" applyNumberFormat="1" applyFont="1" applyFill="1" applyAlignment="1" applyProtection="1">
      <alignment/>
      <protection locked="0"/>
    </xf>
    <xf numFmtId="167" fontId="0" fillId="36" borderId="0" xfId="0" applyNumberFormat="1" applyFont="1" applyFill="1" applyAlignment="1" applyProtection="1">
      <alignment/>
      <protection locked="0"/>
    </xf>
    <xf numFmtId="174" fontId="0" fillId="4" borderId="0" xfId="48" applyNumberFormat="1" applyFont="1" applyFill="1" applyBorder="1" applyAlignment="1" applyProtection="1">
      <alignment horizontal="right"/>
      <protection locked="0"/>
    </xf>
    <xf numFmtId="177" fontId="0" fillId="36" borderId="0" xfId="0" applyNumberFormat="1" applyFont="1" applyFill="1" applyBorder="1" applyAlignment="1" applyProtection="1">
      <alignment horizontal="right"/>
      <protection locked="0"/>
    </xf>
    <xf numFmtId="0" fontId="0" fillId="4" borderId="0" xfId="0" applyFont="1" applyFill="1" applyAlignment="1" applyProtection="1">
      <alignment/>
      <protection locked="0"/>
    </xf>
    <xf numFmtId="0" fontId="0" fillId="0" borderId="25" xfId="0" applyFont="1" applyBorder="1" applyAlignment="1" applyProtection="1">
      <alignment vertical="top" wrapText="1"/>
      <protection locked="0"/>
    </xf>
    <xf numFmtId="0" fontId="31" fillId="0" borderId="0" xfId="0" applyFont="1" applyAlignment="1" applyProtection="1">
      <alignment/>
      <protection locked="0"/>
    </xf>
    <xf numFmtId="174" fontId="0" fillId="0" borderId="0" xfId="48" applyNumberFormat="1" applyFont="1" applyAlignment="1" applyProtection="1">
      <alignment/>
      <protection locked="0"/>
    </xf>
    <xf numFmtId="0" fontId="0" fillId="0" borderId="0" xfId="0" applyFont="1" applyFill="1" applyAlignment="1" applyProtection="1">
      <alignment/>
      <protection locked="0"/>
    </xf>
    <xf numFmtId="0" fontId="3" fillId="0" borderId="0" xfId="0" applyFont="1" applyAlignment="1" applyProtection="1">
      <alignment horizontal="left"/>
      <protection locked="0"/>
    </xf>
    <xf numFmtId="0" fontId="0" fillId="0" borderId="0" xfId="0" applyAlignment="1" applyProtection="1">
      <alignment horizontal="left"/>
      <protection locked="0"/>
    </xf>
    <xf numFmtId="0" fontId="0" fillId="0" borderId="0" xfId="0" applyAlignment="1" applyProtection="1">
      <alignment horizontal="left" vertical="center"/>
      <protection locked="0"/>
    </xf>
    <xf numFmtId="0" fontId="0" fillId="0" borderId="19" xfId="0" applyBorder="1" applyAlignment="1" applyProtection="1">
      <alignment horizontal="left"/>
      <protection locked="0"/>
    </xf>
    <xf numFmtId="0" fontId="0" fillId="0" borderId="22" xfId="0" applyBorder="1" applyAlignment="1" applyProtection="1">
      <alignment horizontal="center"/>
      <protection locked="0"/>
    </xf>
    <xf numFmtId="0" fontId="0" fillId="0" borderId="19" xfId="0" applyBorder="1" applyAlignment="1" applyProtection="1">
      <alignment horizontal="center" vertical="center"/>
      <protection locked="0"/>
    </xf>
    <xf numFmtId="3" fontId="0" fillId="0" borderId="0" xfId="0" applyNumberFormat="1" applyAlignment="1" applyProtection="1">
      <alignment/>
      <protection locked="0"/>
    </xf>
    <xf numFmtId="9" fontId="0" fillId="0" borderId="21" xfId="0" applyNumberFormat="1" applyBorder="1" applyAlignment="1" applyProtection="1">
      <alignment horizontal="right" vertical="center"/>
      <protection locked="0"/>
    </xf>
    <xf numFmtId="170" fontId="0" fillId="0" borderId="0" xfId="76" applyNumberFormat="1" applyFont="1" applyAlignment="1" applyProtection="1">
      <alignment horizontal="right" vertical="center"/>
      <protection locked="0"/>
    </xf>
    <xf numFmtId="44" fontId="0" fillId="0" borderId="0" xfId="48" applyFont="1" applyAlignment="1" applyProtection="1">
      <alignment horizontal="left" vertical="center"/>
      <protection locked="0"/>
    </xf>
    <xf numFmtId="174" fontId="0" fillId="0" borderId="0" xfId="48" applyNumberFormat="1" applyFont="1" applyAlignment="1" applyProtection="1">
      <alignment vertical="center"/>
      <protection locked="0"/>
    </xf>
    <xf numFmtId="174" fontId="0" fillId="0" borderId="21" xfId="48" applyNumberFormat="1" applyFont="1" applyBorder="1" applyAlignment="1" applyProtection="1">
      <alignment horizontal="left" vertical="center"/>
      <protection locked="0"/>
    </xf>
    <xf numFmtId="0" fontId="20" fillId="0" borderId="0" xfId="0" applyFont="1" applyAlignment="1" applyProtection="1">
      <alignment horizontal="left" vertical="center"/>
      <protection locked="0"/>
    </xf>
    <xf numFmtId="0" fontId="20" fillId="0" borderId="0" xfId="0" applyFont="1" applyAlignment="1" applyProtection="1">
      <alignment vertical="center"/>
      <protection locked="0"/>
    </xf>
    <xf numFmtId="0" fontId="0" fillId="0" borderId="26" xfId="0" applyFont="1" applyBorder="1" applyAlignment="1" applyProtection="1">
      <alignment vertical="center"/>
      <protection locked="0"/>
    </xf>
    <xf numFmtId="0" fontId="0" fillId="0" borderId="27" xfId="0" applyBorder="1" applyAlignment="1" applyProtection="1">
      <alignment vertical="center"/>
      <protection locked="0"/>
    </xf>
    <xf numFmtId="0" fontId="0" fillId="0" borderId="24" xfId="0" applyFont="1" applyBorder="1" applyAlignment="1" applyProtection="1">
      <alignment vertical="center"/>
      <protection locked="0"/>
    </xf>
    <xf numFmtId="0" fontId="0" fillId="0" borderId="0" xfId="0" applyBorder="1" applyAlignment="1" applyProtection="1">
      <alignment vertical="center"/>
      <protection locked="0"/>
    </xf>
    <xf numFmtId="0" fontId="0" fillId="0" borderId="0" xfId="0" applyAlignment="1" applyProtection="1">
      <alignment horizontal="center" vertical="center"/>
      <protection locked="0"/>
    </xf>
    <xf numFmtId="0" fontId="0" fillId="0" borderId="24" xfId="0" applyBorder="1" applyAlignment="1" applyProtection="1">
      <alignment vertical="center"/>
      <protection locked="0"/>
    </xf>
    <xf numFmtId="0" fontId="0" fillId="0" borderId="28" xfId="0" applyBorder="1" applyAlignment="1" applyProtection="1">
      <alignment horizontal="center" vertical="center"/>
      <protection locked="0"/>
    </xf>
    <xf numFmtId="0" fontId="0" fillId="0" borderId="26" xfId="0" applyBorder="1" applyAlignment="1" applyProtection="1">
      <alignment horizontal="center" vertical="center"/>
      <protection locked="0"/>
    </xf>
    <xf numFmtId="0" fontId="0" fillId="0" borderId="27" xfId="0" applyBorder="1" applyAlignment="1" applyProtection="1">
      <alignment horizontal="center" vertical="center"/>
      <protection locked="0"/>
    </xf>
    <xf numFmtId="0" fontId="0" fillId="0" borderId="20" xfId="0" applyBorder="1" applyAlignment="1" applyProtection="1">
      <alignment horizontal="center" vertical="center"/>
      <protection locked="0"/>
    </xf>
    <xf numFmtId="0" fontId="0" fillId="0" borderId="29" xfId="0" applyBorder="1" applyAlignment="1" applyProtection="1">
      <alignment horizontal="center" vertical="center"/>
      <protection locked="0"/>
    </xf>
    <xf numFmtId="0" fontId="0" fillId="0" borderId="24" xfId="0"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21" xfId="0" applyBorder="1" applyAlignment="1" applyProtection="1">
      <alignment horizontal="center" vertical="center"/>
      <protection locked="0"/>
    </xf>
    <xf numFmtId="0" fontId="0" fillId="0" borderId="30" xfId="0" applyBorder="1" applyAlignment="1" applyProtection="1">
      <alignment horizontal="center" vertical="center"/>
      <protection locked="0"/>
    </xf>
    <xf numFmtId="0" fontId="0" fillId="0" borderId="31" xfId="0" applyBorder="1" applyAlignment="1" applyProtection="1">
      <alignment horizontal="center" vertical="center"/>
      <protection locked="0"/>
    </xf>
    <xf numFmtId="0" fontId="0" fillId="0" borderId="22" xfId="0" applyBorder="1" applyAlignment="1" applyProtection="1">
      <alignment horizontal="center" vertical="center"/>
      <protection locked="0"/>
    </xf>
    <xf numFmtId="0" fontId="0" fillId="38" borderId="0" xfId="0" applyFill="1" applyAlignment="1" applyProtection="1">
      <alignment horizontal="center" vertical="center"/>
      <protection locked="0"/>
    </xf>
    <xf numFmtId="0" fontId="0" fillId="0" borderId="31" xfId="0" applyBorder="1" applyAlignment="1" applyProtection="1">
      <alignment vertical="center"/>
      <protection locked="0"/>
    </xf>
    <xf numFmtId="0" fontId="0" fillId="0" borderId="19" xfId="0" applyBorder="1" applyAlignment="1" applyProtection="1">
      <alignment vertical="center"/>
      <protection locked="0"/>
    </xf>
    <xf numFmtId="0" fontId="3" fillId="0" borderId="19" xfId="0" applyFont="1" applyBorder="1" applyAlignment="1" applyProtection="1">
      <alignment vertical="center"/>
      <protection locked="0"/>
    </xf>
    <xf numFmtId="0" fontId="0" fillId="0" borderId="0" xfId="0" applyFill="1" applyAlignment="1" applyProtection="1">
      <alignment vertical="center"/>
      <protection locked="0"/>
    </xf>
    <xf numFmtId="0" fontId="20" fillId="0" borderId="0" xfId="0" applyFont="1" applyAlignment="1" applyProtection="1">
      <alignment/>
      <protection locked="0"/>
    </xf>
    <xf numFmtId="0" fontId="0" fillId="0" borderId="32" xfId="0" applyFill="1" applyBorder="1" applyAlignment="1" applyProtection="1">
      <alignment vertical="center"/>
      <protection locked="0"/>
    </xf>
    <xf numFmtId="0" fontId="0" fillId="0" borderId="33" xfId="0" applyBorder="1" applyAlignment="1" applyProtection="1">
      <alignment/>
      <protection locked="0"/>
    </xf>
    <xf numFmtId="0" fontId="0" fillId="0" borderId="0" xfId="0" applyFont="1" applyBorder="1" applyAlignment="1" applyProtection="1">
      <alignment/>
      <protection locked="0"/>
    </xf>
    <xf numFmtId="0" fontId="0" fillId="0" borderId="34" xfId="0" applyBorder="1" applyAlignment="1" applyProtection="1">
      <alignment/>
      <protection locked="0"/>
    </xf>
    <xf numFmtId="0" fontId="0" fillId="0" borderId="33" xfId="0" applyFill="1" applyBorder="1" applyAlignment="1" applyProtection="1">
      <alignment vertical="top"/>
      <protection locked="0"/>
    </xf>
    <xf numFmtId="0" fontId="0" fillId="0" borderId="25" xfId="0" applyBorder="1" applyAlignment="1" applyProtection="1">
      <alignment/>
      <protection locked="0"/>
    </xf>
    <xf numFmtId="0" fontId="0" fillId="0" borderId="25" xfId="0" applyBorder="1" applyAlignment="1" applyProtection="1">
      <alignment horizontal="center"/>
      <protection locked="0"/>
    </xf>
    <xf numFmtId="0" fontId="0" fillId="0" borderId="0" xfId="0" applyBorder="1" applyAlignment="1" applyProtection="1">
      <alignment horizontal="center"/>
      <protection locked="0"/>
    </xf>
    <xf numFmtId="0" fontId="0" fillId="0" borderId="33" xfId="0" applyFill="1" applyBorder="1" applyAlignment="1" applyProtection="1">
      <alignment/>
      <protection locked="0"/>
    </xf>
    <xf numFmtId="0" fontId="0" fillId="0" borderId="33" xfId="0" applyFont="1" applyBorder="1" applyAlignment="1" applyProtection="1">
      <alignment/>
      <protection locked="0"/>
    </xf>
    <xf numFmtId="0" fontId="0" fillId="0" borderId="33" xfId="0" applyFont="1" applyFill="1" applyBorder="1" applyAlignment="1" applyProtection="1">
      <alignment/>
      <protection locked="0"/>
    </xf>
    <xf numFmtId="0" fontId="12" fillId="0" borderId="25" xfId="0" applyFont="1" applyBorder="1" applyAlignment="1" applyProtection="1">
      <alignment/>
      <protection locked="0"/>
    </xf>
    <xf numFmtId="0" fontId="0" fillId="0" borderId="25" xfId="0" applyFill="1" applyBorder="1" applyAlignment="1" applyProtection="1">
      <alignment/>
      <protection locked="0"/>
    </xf>
    <xf numFmtId="0" fontId="3" fillId="0" borderId="0" xfId="0" applyFont="1" applyBorder="1" applyAlignment="1" applyProtection="1">
      <alignment/>
      <protection locked="0"/>
    </xf>
    <xf numFmtId="0" fontId="13" fillId="0" borderId="0" xfId="0" applyFont="1" applyBorder="1" applyAlignment="1" applyProtection="1">
      <alignment/>
      <protection locked="0"/>
    </xf>
    <xf numFmtId="0" fontId="0" fillId="0" borderId="25" xfId="0" applyFont="1" applyBorder="1" applyAlignment="1" applyProtection="1">
      <alignment/>
      <protection locked="0"/>
    </xf>
    <xf numFmtId="0" fontId="0" fillId="0" borderId="25" xfId="0" applyFont="1" applyFill="1" applyBorder="1" applyAlignment="1" applyProtection="1">
      <alignment/>
      <protection locked="0"/>
    </xf>
    <xf numFmtId="174" fontId="0" fillId="0" borderId="0" xfId="48" applyNumberFormat="1" applyFont="1" applyAlignment="1" applyProtection="1">
      <alignment/>
      <protection locked="0"/>
    </xf>
    <xf numFmtId="174" fontId="0" fillId="4" borderId="0" xfId="48" applyNumberFormat="1" applyFont="1" applyFill="1" applyBorder="1" applyAlignment="1" applyProtection="1">
      <alignment/>
      <protection locked="0"/>
    </xf>
    <xf numFmtId="0" fontId="0" fillId="0" borderId="35" xfId="0" applyBorder="1" applyAlignment="1" applyProtection="1">
      <alignment/>
      <protection locked="0"/>
    </xf>
    <xf numFmtId="0" fontId="0" fillId="0" borderId="36" xfId="0" applyBorder="1" applyAlignment="1" applyProtection="1">
      <alignment/>
      <protection locked="0"/>
    </xf>
    <xf numFmtId="0" fontId="0" fillId="0" borderId="37" xfId="0" applyBorder="1" applyAlignment="1" applyProtection="1">
      <alignment/>
      <protection locked="0"/>
    </xf>
    <xf numFmtId="0" fontId="7" fillId="0" borderId="0" xfId="0" applyFont="1" applyFill="1" applyAlignment="1" applyProtection="1">
      <alignment/>
      <protection locked="0"/>
    </xf>
    <xf numFmtId="0" fontId="0" fillId="33" borderId="0" xfId="0" applyFill="1" applyAlignment="1" applyProtection="1">
      <alignment/>
      <protection locked="0"/>
    </xf>
    <xf numFmtId="0" fontId="0" fillId="33" borderId="0" xfId="0" applyFill="1" applyAlignment="1" applyProtection="1">
      <alignment horizontal="center"/>
      <protection locked="0"/>
    </xf>
    <xf numFmtId="0" fontId="0" fillId="33" borderId="14" xfId="0" applyFill="1" applyBorder="1" applyAlignment="1" applyProtection="1">
      <alignment/>
      <protection locked="0"/>
    </xf>
    <xf numFmtId="0" fontId="0" fillId="33" borderId="15" xfId="0" applyFill="1" applyBorder="1" applyAlignment="1" applyProtection="1">
      <alignment/>
      <protection locked="0"/>
    </xf>
    <xf numFmtId="0" fontId="0" fillId="33" borderId="16" xfId="0" applyFill="1" applyBorder="1" applyAlignment="1" applyProtection="1">
      <alignment/>
      <protection locked="0"/>
    </xf>
    <xf numFmtId="44" fontId="10" fillId="0" borderId="11" xfId="48" applyFont="1" applyBorder="1" applyAlignment="1" applyProtection="1">
      <alignment vertical="center"/>
      <protection/>
    </xf>
    <xf numFmtId="44" fontId="19" fillId="0" borderId="11" xfId="48" applyFont="1" applyBorder="1" applyAlignment="1" applyProtection="1">
      <alignment vertical="center"/>
      <protection/>
    </xf>
    <xf numFmtId="44" fontId="19" fillId="0" borderId="11" xfId="48" applyFont="1" applyFill="1" applyBorder="1" applyAlignment="1" applyProtection="1">
      <alignment vertical="center"/>
      <protection/>
    </xf>
    <xf numFmtId="44" fontId="19" fillId="0" borderId="38" xfId="48" applyFont="1" applyFill="1" applyBorder="1" applyAlignment="1" applyProtection="1">
      <alignment vertical="center"/>
      <protection/>
    </xf>
    <xf numFmtId="0" fontId="1" fillId="0" borderId="0" xfId="0" applyFont="1" applyBorder="1" applyAlignment="1" applyProtection="1">
      <alignment vertical="center" wrapText="1"/>
      <protection/>
    </xf>
    <xf numFmtId="15" fontId="0" fillId="0" borderId="0" xfId="0" applyNumberFormat="1" applyAlignment="1" applyProtection="1">
      <alignment/>
      <protection locked="0"/>
    </xf>
    <xf numFmtId="3" fontId="0" fillId="0" borderId="24" xfId="0" applyNumberFormat="1" applyFont="1" applyFill="1" applyBorder="1" applyAlignment="1" applyProtection="1">
      <alignment/>
      <protection locked="0"/>
    </xf>
    <xf numFmtId="0" fontId="0" fillId="0" borderId="24" xfId="0" applyFill="1" applyBorder="1" applyAlignment="1" applyProtection="1">
      <alignment/>
      <protection locked="0"/>
    </xf>
    <xf numFmtId="169" fontId="0" fillId="0" borderId="14" xfId="48" applyNumberFormat="1" applyFont="1" applyFill="1" applyBorder="1" applyAlignment="1" applyProtection="1">
      <alignment horizontal="center"/>
      <protection locked="0"/>
    </xf>
    <xf numFmtId="1" fontId="0" fillId="0" borderId="0" xfId="0" applyNumberFormat="1" applyFont="1" applyAlignment="1">
      <alignment/>
    </xf>
    <xf numFmtId="0" fontId="0" fillId="0" borderId="33" xfId="0" applyFont="1" applyBorder="1" applyAlignment="1">
      <alignment/>
    </xf>
    <xf numFmtId="9" fontId="0" fillId="0" borderId="39" xfId="0" applyNumberFormat="1" applyFont="1" applyBorder="1" applyAlignment="1">
      <alignment/>
    </xf>
    <xf numFmtId="0" fontId="0" fillId="0" borderId="40" xfId="0" applyFont="1" applyBorder="1" applyAlignment="1">
      <alignment/>
    </xf>
    <xf numFmtId="174" fontId="0" fillId="0" borderId="40" xfId="48" applyNumberFormat="1" applyFont="1" applyBorder="1" applyAlignment="1">
      <alignment/>
    </xf>
    <xf numFmtId="0" fontId="0" fillId="0" borderId="0" xfId="0" applyFont="1" applyAlignment="1">
      <alignment/>
    </xf>
    <xf numFmtId="0" fontId="0" fillId="40" borderId="23" xfId="0" applyFont="1" applyFill="1" applyBorder="1" applyAlignment="1">
      <alignment/>
    </xf>
    <xf numFmtId="0" fontId="0" fillId="0" borderId="23" xfId="0" applyFont="1" applyBorder="1" applyAlignment="1">
      <alignment/>
    </xf>
    <xf numFmtId="174" fontId="0" fillId="0" borderId="23" xfId="48" applyNumberFormat="1" applyFont="1" applyBorder="1" applyAlignment="1">
      <alignment/>
    </xf>
    <xf numFmtId="174" fontId="0" fillId="0" borderId="14" xfId="48" applyNumberFormat="1" applyFont="1" applyBorder="1" applyAlignment="1">
      <alignment/>
    </xf>
    <xf numFmtId="176" fontId="0" fillId="0" borderId="28" xfId="0" applyNumberFormat="1" applyFont="1" applyBorder="1" applyAlignment="1">
      <alignment/>
    </xf>
    <xf numFmtId="0" fontId="0" fillId="0" borderId="14" xfId="0" applyFont="1" applyBorder="1" applyAlignment="1">
      <alignment/>
    </xf>
    <xf numFmtId="43" fontId="0" fillId="41" borderId="41" xfId="43" applyNumberFormat="1" applyFont="1" applyFill="1" applyBorder="1" applyAlignment="1">
      <alignment/>
    </xf>
    <xf numFmtId="0" fontId="0" fillId="0" borderId="16" xfId="0" applyFont="1" applyBorder="1" applyAlignment="1">
      <alignment/>
    </xf>
    <xf numFmtId="0" fontId="0" fillId="35" borderId="23" xfId="0" applyFont="1" applyFill="1" applyBorder="1" applyAlignment="1">
      <alignment/>
    </xf>
    <xf numFmtId="44" fontId="0" fillId="0" borderId="23" xfId="48" applyFont="1" applyBorder="1" applyAlignment="1">
      <alignment/>
    </xf>
    <xf numFmtId="174" fontId="0" fillId="41" borderId="23" xfId="0" applyNumberFormat="1" applyFont="1" applyFill="1" applyBorder="1" applyAlignment="1">
      <alignment/>
    </xf>
    <xf numFmtId="180" fontId="0" fillId="0" borderId="23" xfId="48" applyNumberFormat="1" applyFont="1" applyBorder="1" applyAlignment="1">
      <alignment/>
    </xf>
    <xf numFmtId="0" fontId="34" fillId="0" borderId="0" xfId="0" applyFont="1" applyAlignment="1">
      <alignment horizontal="left" wrapText="1" indent="1"/>
    </xf>
    <xf numFmtId="0" fontId="35" fillId="0" borderId="0" xfId="0" applyFont="1" applyAlignment="1">
      <alignment vertical="top" wrapText="1"/>
    </xf>
    <xf numFmtId="0" fontId="34" fillId="0" borderId="0" xfId="0" applyFont="1" applyAlignment="1">
      <alignment horizontal="left" vertical="top" wrapText="1" indent="1"/>
    </xf>
    <xf numFmtId="0" fontId="0" fillId="0" borderId="15" xfId="0" applyFont="1" applyBorder="1" applyAlignment="1">
      <alignment/>
    </xf>
    <xf numFmtId="0" fontId="0" fillId="0" borderId="16" xfId="0" applyFont="1" applyFill="1" applyBorder="1" applyAlignment="1">
      <alignment/>
    </xf>
    <xf numFmtId="44" fontId="0" fillId="0" borderId="39" xfId="48" applyBorder="1" applyAlignment="1">
      <alignment/>
    </xf>
    <xf numFmtId="44" fontId="0" fillId="0" borderId="40" xfId="48" applyBorder="1" applyAlignment="1">
      <alignment/>
    </xf>
    <xf numFmtId="44" fontId="0" fillId="0" borderId="42" xfId="48" applyBorder="1" applyAlignment="1">
      <alignment/>
    </xf>
    <xf numFmtId="0" fontId="3" fillId="38" borderId="43" xfId="0" applyFont="1" applyFill="1" applyBorder="1" applyAlignment="1" applyProtection="1">
      <alignment/>
      <protection locked="0"/>
    </xf>
    <xf numFmtId="0" fontId="3" fillId="38" borderId="44" xfId="0" applyFont="1" applyFill="1" applyBorder="1" applyAlignment="1" applyProtection="1">
      <alignment/>
      <protection locked="0"/>
    </xf>
    <xf numFmtId="0" fontId="3" fillId="38" borderId="45" xfId="0" applyFont="1" applyFill="1" applyBorder="1" applyAlignment="1" applyProtection="1">
      <alignment/>
      <protection locked="0"/>
    </xf>
    <xf numFmtId="44" fontId="0" fillId="41" borderId="23" xfId="48" applyFont="1" applyFill="1" applyBorder="1" applyAlignment="1">
      <alignment/>
    </xf>
    <xf numFmtId="174" fontId="0" fillId="0" borderId="23" xfId="48" applyNumberFormat="1" applyFont="1" applyBorder="1" applyAlignment="1" applyProtection="1">
      <alignment/>
      <protection locked="0"/>
    </xf>
    <xf numFmtId="8" fontId="0" fillId="0" borderId="23" xfId="0" applyNumberFormat="1" applyBorder="1" applyAlignment="1" applyProtection="1">
      <alignment/>
      <protection locked="0"/>
    </xf>
    <xf numFmtId="43" fontId="0" fillId="0" borderId="23" xfId="43" applyFont="1" applyBorder="1" applyAlignment="1" applyProtection="1">
      <alignment/>
      <protection locked="0"/>
    </xf>
    <xf numFmtId="43" fontId="0" fillId="0" borderId="23" xfId="43" applyFont="1" applyFill="1" applyBorder="1" applyAlignment="1" applyProtection="1">
      <alignment/>
      <protection locked="0"/>
    </xf>
    <xf numFmtId="43" fontId="0" fillId="0" borderId="23" xfId="43" applyFont="1" applyBorder="1" applyAlignment="1" applyProtection="1">
      <alignment/>
      <protection locked="0"/>
    </xf>
    <xf numFmtId="43" fontId="0" fillId="0" borderId="23" xfId="43" applyFont="1" applyFill="1" applyBorder="1" applyAlignment="1" applyProtection="1">
      <alignment/>
      <protection locked="0"/>
    </xf>
    <xf numFmtId="174" fontId="0" fillId="0" borderId="23" xfId="48" applyNumberFormat="1" applyFont="1" applyBorder="1" applyAlignment="1" applyProtection="1">
      <alignment horizontal="right"/>
      <protection locked="0"/>
    </xf>
    <xf numFmtId="176" fontId="0" fillId="0" borderId="23" xfId="43" applyNumberFormat="1" applyFont="1" applyBorder="1" applyAlignment="1" applyProtection="1">
      <alignment horizontal="right"/>
      <protection locked="0"/>
    </xf>
    <xf numFmtId="44" fontId="0" fillId="0" borderId="23" xfId="48" applyFont="1" applyBorder="1" applyAlignment="1">
      <alignment horizontal="right"/>
    </xf>
    <xf numFmtId="0" fontId="0" fillId="0" borderId="23" xfId="0" applyBorder="1" applyAlignment="1" applyProtection="1">
      <alignment horizontal="right"/>
      <protection locked="0"/>
    </xf>
    <xf numFmtId="175" fontId="0" fillId="0" borderId="23" xfId="43" applyNumberFormat="1" applyFont="1" applyBorder="1" applyAlignment="1" applyProtection="1">
      <alignment horizontal="right"/>
      <protection locked="0"/>
    </xf>
    <xf numFmtId="9" fontId="0" fillId="0" borderId="23" xfId="76" applyFont="1" applyBorder="1" applyAlignment="1" applyProtection="1">
      <alignment horizontal="right"/>
      <protection locked="0"/>
    </xf>
    <xf numFmtId="8" fontId="0" fillId="0" borderId="23" xfId="0" applyNumberFormat="1" applyBorder="1" applyAlignment="1" applyProtection="1">
      <alignment horizontal="right"/>
      <protection locked="0"/>
    </xf>
    <xf numFmtId="43" fontId="0" fillId="0" borderId="23" xfId="0" applyNumberFormat="1" applyBorder="1" applyAlignment="1" applyProtection="1">
      <alignment horizontal="right"/>
      <protection locked="0"/>
    </xf>
    <xf numFmtId="0" fontId="15" fillId="0" borderId="0" xfId="0" applyFont="1" applyAlignment="1">
      <alignment horizontal="right"/>
    </xf>
    <xf numFmtId="0" fontId="15" fillId="0" borderId="0" xfId="0" applyFont="1" applyBorder="1" applyAlignment="1" applyProtection="1">
      <alignment/>
      <protection locked="0"/>
    </xf>
    <xf numFmtId="43" fontId="0" fillId="0" borderId="33" xfId="43" applyFont="1" applyBorder="1" applyAlignment="1" applyProtection="1">
      <alignment/>
      <protection locked="0"/>
    </xf>
    <xf numFmtId="0" fontId="31" fillId="0" borderId="25" xfId="0" applyFont="1" applyBorder="1" applyAlignment="1" applyProtection="1">
      <alignment/>
      <protection locked="0"/>
    </xf>
    <xf numFmtId="0" fontId="0" fillId="0" borderId="22" xfId="0" applyFont="1" applyFill="1" applyBorder="1" applyAlignment="1">
      <alignment/>
    </xf>
    <xf numFmtId="0" fontId="0" fillId="0" borderId="46" xfId="0" applyFont="1" applyFill="1" applyBorder="1" applyAlignment="1">
      <alignment/>
    </xf>
    <xf numFmtId="0" fontId="0" fillId="0" borderId="30" xfId="0" applyFont="1" applyBorder="1" applyAlignment="1">
      <alignment horizontal="center"/>
    </xf>
    <xf numFmtId="0" fontId="0" fillId="0" borderId="23" xfId="0" applyFont="1" applyBorder="1" applyAlignment="1">
      <alignment horizontal="center"/>
    </xf>
    <xf numFmtId="0" fontId="0" fillId="0" borderId="47" xfId="0" applyFont="1" applyBorder="1" applyAlignment="1">
      <alignment horizontal="center"/>
    </xf>
    <xf numFmtId="0" fontId="13" fillId="0" borderId="0" xfId="0" applyFont="1" applyBorder="1" applyAlignment="1" applyProtection="1" quotePrefix="1">
      <alignment/>
      <protection locked="0"/>
    </xf>
    <xf numFmtId="0" fontId="13" fillId="0" borderId="0" xfId="0" applyFont="1" applyAlignment="1">
      <alignment/>
    </xf>
    <xf numFmtId="0" fontId="0" fillId="33" borderId="0" xfId="0" applyFill="1" applyAlignment="1" applyProtection="1">
      <alignment vertical="center"/>
      <protection locked="0"/>
    </xf>
    <xf numFmtId="0" fontId="0" fillId="33" borderId="25" xfId="0" applyFill="1" applyBorder="1" applyAlignment="1" applyProtection="1">
      <alignment/>
      <protection locked="0"/>
    </xf>
    <xf numFmtId="0" fontId="0" fillId="33" borderId="0" xfId="0" applyFill="1" applyBorder="1" applyAlignment="1" applyProtection="1">
      <alignment/>
      <protection locked="0"/>
    </xf>
    <xf numFmtId="0" fontId="15" fillId="33" borderId="0" xfId="0" applyFont="1" applyFill="1" applyAlignment="1" applyProtection="1">
      <alignment/>
      <protection locked="0"/>
    </xf>
    <xf numFmtId="0" fontId="36" fillId="0" borderId="0" xfId="0" applyFont="1" applyAlignment="1">
      <alignment/>
    </xf>
    <xf numFmtId="0" fontId="0" fillId="0" borderId="36" xfId="0" applyFont="1" applyFill="1" applyBorder="1" applyAlignment="1">
      <alignment/>
    </xf>
    <xf numFmtId="44" fontId="0" fillId="0" borderId="23" xfId="48" applyFont="1" applyFill="1" applyBorder="1" applyAlignment="1" applyProtection="1">
      <alignment horizontal="right"/>
      <protection locked="0"/>
    </xf>
    <xf numFmtId="0" fontId="0" fillId="40" borderId="23" xfId="0" applyFont="1" applyFill="1" applyBorder="1" applyAlignment="1">
      <alignment horizontal="center"/>
    </xf>
    <xf numFmtId="44" fontId="0" fillId="0" borderId="23" xfId="48" applyFont="1" applyFill="1" applyBorder="1" applyAlignment="1">
      <alignment horizontal="right"/>
    </xf>
    <xf numFmtId="0" fontId="0" fillId="39" borderId="48" xfId="0" applyFont="1" applyFill="1" applyBorder="1" applyAlignment="1" applyProtection="1">
      <alignment/>
      <protection locked="0"/>
    </xf>
    <xf numFmtId="0" fontId="0" fillId="39" borderId="49" xfId="0" applyFill="1" applyBorder="1" applyAlignment="1" applyProtection="1">
      <alignment/>
      <protection locked="0"/>
    </xf>
    <xf numFmtId="0" fontId="0" fillId="39" borderId="50" xfId="0" applyFill="1" applyBorder="1" applyAlignment="1" applyProtection="1">
      <alignment/>
      <protection locked="0"/>
    </xf>
    <xf numFmtId="0" fontId="0" fillId="39" borderId="25" xfId="0" applyFont="1" applyFill="1" applyBorder="1" applyAlignment="1" applyProtection="1">
      <alignment/>
      <protection locked="0"/>
    </xf>
    <xf numFmtId="0" fontId="0" fillId="39" borderId="0" xfId="0" applyFill="1" applyBorder="1" applyAlignment="1" applyProtection="1">
      <alignment/>
      <protection locked="0"/>
    </xf>
    <xf numFmtId="0" fontId="0" fillId="39" borderId="34" xfId="0" applyFill="1" applyBorder="1" applyAlignment="1" applyProtection="1">
      <alignment/>
      <protection locked="0"/>
    </xf>
    <xf numFmtId="0" fontId="0" fillId="39" borderId="35" xfId="0" applyFont="1" applyFill="1" applyBorder="1" applyAlignment="1" applyProtection="1">
      <alignment/>
      <protection locked="0"/>
    </xf>
    <xf numFmtId="0" fontId="0" fillId="39" borderId="36" xfId="0" applyFill="1" applyBorder="1" applyAlignment="1" applyProtection="1">
      <alignment/>
      <protection locked="0"/>
    </xf>
    <xf numFmtId="0" fontId="0" fillId="39" borderId="37" xfId="0" applyFill="1" applyBorder="1" applyAlignment="1" applyProtection="1">
      <alignment/>
      <protection locked="0"/>
    </xf>
    <xf numFmtId="0" fontId="23" fillId="35" borderId="0" xfId="0" applyFont="1" applyFill="1" applyBorder="1" applyAlignment="1" applyProtection="1">
      <alignment/>
      <protection locked="0"/>
    </xf>
    <xf numFmtId="0" fontId="0" fillId="4" borderId="0" xfId="0" applyFill="1" applyBorder="1" applyAlignment="1" applyProtection="1">
      <alignment/>
      <protection locked="0"/>
    </xf>
    <xf numFmtId="9" fontId="6" fillId="38" borderId="0" xfId="76" applyFont="1" applyFill="1" applyBorder="1" applyAlignment="1" applyProtection="1">
      <alignment/>
      <protection locked="0"/>
    </xf>
    <xf numFmtId="44" fontId="6" fillId="38" borderId="0" xfId="48" applyFont="1" applyFill="1" applyBorder="1" applyAlignment="1" applyProtection="1">
      <alignment/>
      <protection locked="0"/>
    </xf>
    <xf numFmtId="0" fontId="0" fillId="0" borderId="0" xfId="0" applyFill="1" applyAlignment="1" applyProtection="1">
      <alignment horizontal="left" vertical="center"/>
      <protection locked="0"/>
    </xf>
    <xf numFmtId="184" fontId="6" fillId="0" borderId="0" xfId="43" applyNumberFormat="1" applyFont="1" applyFill="1" applyAlignment="1" applyProtection="1">
      <alignment horizontal="right"/>
      <protection locked="0"/>
    </xf>
    <xf numFmtId="0" fontId="0" fillId="0" borderId="0" xfId="0" applyAlignment="1" applyProtection="1">
      <alignment vertical="top"/>
      <protection locked="0"/>
    </xf>
    <xf numFmtId="0" fontId="0" fillId="0" borderId="0" xfId="0" applyAlignment="1" applyProtection="1">
      <alignment/>
      <protection locked="0"/>
    </xf>
    <xf numFmtId="0" fontId="0" fillId="0" borderId="0" xfId="0" applyAlignment="1">
      <alignment/>
    </xf>
    <xf numFmtId="0" fontId="0" fillId="33" borderId="0" xfId="0" applyFill="1" applyBorder="1" applyAlignment="1">
      <alignment/>
    </xf>
    <xf numFmtId="20" fontId="0" fillId="33" borderId="0" xfId="0" applyNumberFormat="1" applyFill="1" applyBorder="1" applyAlignment="1">
      <alignment horizontal="left" indent="1"/>
    </xf>
    <xf numFmtId="0" fontId="0" fillId="33" borderId="0" xfId="0" applyFill="1" applyBorder="1" applyAlignment="1">
      <alignment horizontal="left" indent="1"/>
    </xf>
    <xf numFmtId="180" fontId="0" fillId="33" borderId="0" xfId="0" applyNumberFormat="1" applyFill="1" applyBorder="1" applyAlignment="1">
      <alignment/>
    </xf>
    <xf numFmtId="44" fontId="0" fillId="33" borderId="0" xfId="48" applyFont="1" applyFill="1" applyBorder="1" applyAlignment="1">
      <alignment/>
    </xf>
    <xf numFmtId="9" fontId="0" fillId="33" borderId="0" xfId="76" applyFont="1" applyFill="1" applyBorder="1" applyAlignment="1">
      <alignment/>
    </xf>
    <xf numFmtId="0" fontId="37" fillId="0" borderId="0" xfId="0" applyFont="1" applyAlignment="1">
      <alignment/>
    </xf>
    <xf numFmtId="0" fontId="38" fillId="0" borderId="0" xfId="0" applyFont="1" applyAlignment="1">
      <alignment vertical="top"/>
    </xf>
    <xf numFmtId="0" fontId="0" fillId="37" borderId="0" xfId="0" applyFill="1" applyAlignment="1">
      <alignment/>
    </xf>
    <xf numFmtId="0" fontId="37" fillId="37" borderId="0" xfId="0" applyFont="1" applyFill="1" applyAlignment="1">
      <alignment horizontal="left"/>
    </xf>
    <xf numFmtId="0" fontId="39" fillId="0" borderId="0" xfId="0" applyFont="1" applyAlignment="1">
      <alignment vertical="top" wrapText="1"/>
    </xf>
    <xf numFmtId="0" fontId="8" fillId="37" borderId="0" xfId="0" applyFont="1" applyFill="1" applyAlignment="1">
      <alignment/>
    </xf>
    <xf numFmtId="190" fontId="6" fillId="10" borderId="0" xfId="43" applyNumberFormat="1" applyFont="1" applyFill="1" applyAlignment="1" applyProtection="1">
      <alignment horizontal="right"/>
      <protection locked="0"/>
    </xf>
    <xf numFmtId="0" fontId="7" fillId="0" borderId="0" xfId="0" applyFont="1" applyAlignment="1" applyProtection="1">
      <alignment/>
      <protection locked="0"/>
    </xf>
    <xf numFmtId="0" fontId="7" fillId="0" borderId="0" xfId="0" applyFont="1" applyFill="1" applyBorder="1" applyAlignment="1" applyProtection="1">
      <alignment/>
      <protection locked="0"/>
    </xf>
    <xf numFmtId="0" fontId="7" fillId="0" borderId="0" xfId="0" applyFont="1" applyFill="1" applyAlignment="1" applyProtection="1">
      <alignment/>
      <protection locked="0"/>
    </xf>
    <xf numFmtId="0" fontId="7" fillId="0" borderId="0" xfId="0" applyFont="1" applyAlignment="1">
      <alignment/>
    </xf>
    <xf numFmtId="0" fontId="7" fillId="0" borderId="0" xfId="0" applyFont="1" applyFill="1" applyAlignment="1">
      <alignment/>
    </xf>
    <xf numFmtId="0" fontId="7" fillId="33" borderId="0" xfId="0" applyFont="1" applyFill="1" applyAlignment="1">
      <alignment/>
    </xf>
    <xf numFmtId="0" fontId="7" fillId="0" borderId="0" xfId="0" applyFont="1" applyAlignment="1" applyProtection="1">
      <alignment/>
      <protection/>
    </xf>
    <xf numFmtId="0" fontId="7" fillId="0" borderId="0" xfId="0" applyFont="1" applyFill="1" applyBorder="1" applyAlignment="1" applyProtection="1">
      <alignment/>
      <protection/>
    </xf>
    <xf numFmtId="0" fontId="7" fillId="0" borderId="0" xfId="0" applyFont="1" applyFill="1" applyAlignment="1" applyProtection="1">
      <alignment vertical="top"/>
      <protection locked="0"/>
    </xf>
    <xf numFmtId="0" fontId="0" fillId="33" borderId="0" xfId="0" applyFont="1" applyFill="1" applyAlignment="1" applyProtection="1">
      <alignment/>
      <protection locked="0"/>
    </xf>
    <xf numFmtId="0" fontId="7" fillId="0" borderId="0" xfId="0" applyFont="1" applyAlignment="1">
      <alignment vertical="center"/>
    </xf>
    <xf numFmtId="14" fontId="7" fillId="0" borderId="0" xfId="0" applyNumberFormat="1" applyFont="1" applyBorder="1" applyAlignment="1" applyProtection="1">
      <alignment/>
      <protection locked="0"/>
    </xf>
    <xf numFmtId="4" fontId="3" fillId="37" borderId="0" xfId="69" applyNumberFormat="1" applyFont="1" applyFill="1" applyBorder="1" applyAlignment="1" applyProtection="1">
      <alignment horizontal="left"/>
      <protection locked="0"/>
    </xf>
    <xf numFmtId="0" fontId="0" fillId="0" borderId="33" xfId="71" applyFont="1" applyBorder="1" applyProtection="1">
      <alignment/>
      <protection locked="0"/>
    </xf>
    <xf numFmtId="0" fontId="23" fillId="35" borderId="0" xfId="69" applyFont="1" applyFill="1" applyBorder="1" applyProtection="1">
      <alignment/>
      <protection locked="0"/>
    </xf>
    <xf numFmtId="0" fontId="0" fillId="0" borderId="0" xfId="0" applyNumberFormat="1" applyAlignment="1" applyProtection="1">
      <alignment horizontal="left"/>
      <protection locked="0"/>
    </xf>
    <xf numFmtId="167" fontId="0" fillId="36" borderId="0" xfId="48" applyNumberFormat="1" applyFont="1" applyFill="1" applyBorder="1" applyAlignment="1" applyProtection="1">
      <alignment horizontal="right"/>
      <protection locked="0"/>
    </xf>
    <xf numFmtId="168" fontId="0" fillId="36" borderId="24" xfId="48" applyNumberFormat="1" applyFont="1" applyFill="1" applyBorder="1" applyAlignment="1" applyProtection="1">
      <alignment horizontal="right"/>
      <protection locked="0"/>
    </xf>
    <xf numFmtId="168" fontId="6" fillId="38" borderId="24" xfId="48" applyNumberFormat="1" applyFont="1" applyFill="1" applyBorder="1" applyAlignment="1" applyProtection="1">
      <alignment/>
      <protection locked="0"/>
    </xf>
    <xf numFmtId="168" fontId="0" fillId="36" borderId="24" xfId="48" applyNumberFormat="1" applyFont="1" applyFill="1" applyBorder="1" applyAlignment="1" applyProtection="1">
      <alignment/>
      <protection locked="0"/>
    </xf>
    <xf numFmtId="168" fontId="0" fillId="36" borderId="24" xfId="48" applyNumberFormat="1" applyFont="1" applyFill="1" applyBorder="1" applyAlignment="1" applyProtection="1">
      <alignment/>
      <protection locked="0"/>
    </xf>
    <xf numFmtId="167" fontId="17" fillId="0" borderId="0" xfId="48" applyNumberFormat="1" applyFont="1" applyFill="1" applyAlignment="1" applyProtection="1">
      <alignment horizontal="right"/>
      <protection locked="0"/>
    </xf>
    <xf numFmtId="167" fontId="0" fillId="36" borderId="0" xfId="0" applyNumberFormat="1" applyFont="1" applyFill="1" applyBorder="1" applyAlignment="1" applyProtection="1">
      <alignment horizontal="right"/>
      <protection locked="0"/>
    </xf>
    <xf numFmtId="0" fontId="0" fillId="0" borderId="0" xfId="69" applyFont="1" applyProtection="1">
      <alignment/>
      <protection locked="0"/>
    </xf>
    <xf numFmtId="197" fontId="7" fillId="36" borderId="0" xfId="45" applyNumberFormat="1" applyFont="1" applyFill="1" applyBorder="1" applyAlignment="1" applyProtection="1">
      <alignment horizontal="right"/>
      <protection locked="0"/>
    </xf>
    <xf numFmtId="0" fontId="40" fillId="35" borderId="0" xfId="69" applyFont="1" applyFill="1" applyProtection="1">
      <alignment/>
      <protection locked="0"/>
    </xf>
    <xf numFmtId="164" fontId="17" fillId="0" borderId="0" xfId="43" applyNumberFormat="1" applyFont="1" applyFill="1" applyAlignment="1" applyProtection="1">
      <alignment horizontal="right"/>
      <protection locked="0"/>
    </xf>
    <xf numFmtId="167" fontId="0" fillId="0" borderId="0" xfId="0" applyNumberFormat="1" applyAlignment="1" applyProtection="1">
      <alignment vertical="center"/>
      <protection locked="0"/>
    </xf>
    <xf numFmtId="167" fontId="0" fillId="33" borderId="0" xfId="50" applyNumberFormat="1" applyFont="1" applyFill="1" applyBorder="1" applyAlignment="1" applyProtection="1">
      <alignment horizontal="right"/>
      <protection locked="0"/>
    </xf>
    <xf numFmtId="4" fontId="0" fillId="41" borderId="0" xfId="69" applyNumberFormat="1" applyFont="1" applyFill="1" applyBorder="1" applyAlignment="1" applyProtection="1">
      <alignment horizontal="left"/>
      <protection locked="0"/>
    </xf>
    <xf numFmtId="0" fontId="0" fillId="33" borderId="0" xfId="69" applyFill="1" applyBorder="1" applyProtection="1">
      <alignment/>
      <protection/>
    </xf>
    <xf numFmtId="0" fontId="0" fillId="0" borderId="0" xfId="69" applyFill="1" applyBorder="1" applyProtection="1">
      <alignment/>
      <protection/>
    </xf>
    <xf numFmtId="0" fontId="0" fillId="33" borderId="0" xfId="69" applyFill="1" applyBorder="1">
      <alignment/>
      <protection/>
    </xf>
    <xf numFmtId="0" fontId="0" fillId="0" borderId="0" xfId="69" applyFill="1" applyBorder="1">
      <alignment/>
      <protection/>
    </xf>
    <xf numFmtId="0" fontId="37" fillId="0" borderId="0" xfId="69" applyFont="1" applyFill="1" applyBorder="1" applyProtection="1">
      <alignment/>
      <protection/>
    </xf>
    <xf numFmtId="0" fontId="0" fillId="33" borderId="0" xfId="69" applyFont="1" applyFill="1" applyBorder="1" applyProtection="1">
      <alignment/>
      <protection/>
    </xf>
    <xf numFmtId="0" fontId="3" fillId="0" borderId="0" xfId="69" applyFont="1" applyFill="1" applyBorder="1" applyAlignment="1" applyProtection="1">
      <alignment horizontal="left" indent="4"/>
      <protection/>
    </xf>
    <xf numFmtId="0" fontId="3" fillId="0" borderId="0" xfId="69" applyFont="1" applyFill="1" applyBorder="1" applyProtection="1">
      <alignment/>
      <protection/>
    </xf>
    <xf numFmtId="14" fontId="0" fillId="33" borderId="0" xfId="69" applyNumberFormat="1" applyFont="1" applyFill="1" applyBorder="1" applyProtection="1">
      <alignment/>
      <protection/>
    </xf>
    <xf numFmtId="0" fontId="0" fillId="33" borderId="0" xfId="69" applyFill="1" applyProtection="1">
      <alignment/>
      <protection/>
    </xf>
    <xf numFmtId="0" fontId="0" fillId="33" borderId="0" xfId="69" applyFont="1" applyFill="1" applyProtection="1">
      <alignment/>
      <protection/>
    </xf>
    <xf numFmtId="0" fontId="0" fillId="0" borderId="0" xfId="69" applyProtection="1">
      <alignment/>
      <protection/>
    </xf>
    <xf numFmtId="0" fontId="2" fillId="32" borderId="0" xfId="69" applyFont="1" applyFill="1" applyBorder="1" applyAlignment="1" applyProtection="1">
      <alignment vertical="center"/>
      <protection/>
    </xf>
    <xf numFmtId="0" fontId="2" fillId="32" borderId="0" xfId="69" applyFont="1" applyFill="1" applyBorder="1" applyProtection="1">
      <alignment/>
      <protection/>
    </xf>
    <xf numFmtId="14" fontId="0" fillId="33" borderId="0" xfId="69" applyNumberFormat="1" applyFill="1" applyProtection="1">
      <alignment/>
      <protection/>
    </xf>
    <xf numFmtId="0" fontId="3" fillId="0" borderId="0" xfId="69" applyFont="1" applyBorder="1" applyProtection="1">
      <alignment/>
      <protection/>
    </xf>
    <xf numFmtId="0" fontId="3" fillId="0" borderId="0" xfId="69" applyFont="1" applyFill="1" applyBorder="1" applyAlignment="1" applyProtection="1">
      <alignment vertical="center"/>
      <protection/>
    </xf>
    <xf numFmtId="0" fontId="0" fillId="0" borderId="0" xfId="69" applyBorder="1" applyProtection="1">
      <alignment/>
      <protection/>
    </xf>
    <xf numFmtId="0" fontId="0" fillId="0" borderId="0" xfId="69" applyBorder="1" applyAlignment="1" applyProtection="1">
      <alignment vertical="center"/>
      <protection/>
    </xf>
    <xf numFmtId="0" fontId="0" fillId="0" borderId="0" xfId="69" applyBorder="1" applyAlignment="1" applyProtection="1">
      <alignment horizontal="right" vertical="center"/>
      <protection/>
    </xf>
    <xf numFmtId="0" fontId="0" fillId="0" borderId="0" xfId="69" applyFill="1" applyBorder="1" applyProtection="1">
      <alignment/>
      <protection locked="0"/>
    </xf>
    <xf numFmtId="0" fontId="14" fillId="0" borderId="0" xfId="69" applyFont="1" applyFill="1" applyBorder="1" applyProtection="1">
      <alignment/>
      <protection locked="0"/>
    </xf>
    <xf numFmtId="0" fontId="14" fillId="0" borderId="0" xfId="69" applyFont="1" applyFill="1" applyBorder="1" applyProtection="1">
      <alignment/>
      <protection/>
    </xf>
    <xf numFmtId="0" fontId="1" fillId="0" borderId="0" xfId="69" applyFont="1" applyFill="1" applyBorder="1" applyAlignment="1" applyProtection="1">
      <alignment vertical="top" wrapText="1"/>
      <protection/>
    </xf>
    <xf numFmtId="0" fontId="0" fillId="0" borderId="0" xfId="69" applyFill="1" applyBorder="1" applyAlignment="1" applyProtection="1">
      <alignment vertical="center"/>
      <protection/>
    </xf>
    <xf numFmtId="0" fontId="0" fillId="0" borderId="0" xfId="69" applyFont="1" applyFill="1" applyBorder="1" applyAlignment="1" applyProtection="1">
      <alignment vertical="center"/>
      <protection/>
    </xf>
    <xf numFmtId="0" fontId="27" fillId="33" borderId="0" xfId="69" applyFont="1" applyFill="1" applyProtection="1">
      <alignment/>
      <protection/>
    </xf>
    <xf numFmtId="0" fontId="0" fillId="0" borderId="0" xfId="69" applyFont="1" applyBorder="1" applyAlignment="1" applyProtection="1">
      <alignment vertical="center"/>
      <protection/>
    </xf>
    <xf numFmtId="164" fontId="14" fillId="4" borderId="23" xfId="69" applyNumberFormat="1" applyFont="1" applyFill="1" applyBorder="1" applyAlignment="1" applyProtection="1">
      <alignment horizontal="center"/>
      <protection locked="0"/>
    </xf>
    <xf numFmtId="2" fontId="0" fillId="0" borderId="0" xfId="69" applyNumberFormat="1" applyFill="1" applyBorder="1" applyProtection="1">
      <alignment/>
      <protection/>
    </xf>
    <xf numFmtId="0" fontId="0" fillId="0" borderId="0" xfId="69" applyFill="1" applyBorder="1" applyAlignment="1" applyProtection="1">
      <alignment horizontal="right" vertical="center"/>
      <protection/>
    </xf>
    <xf numFmtId="167" fontId="14" fillId="0" borderId="0" xfId="69" applyNumberFormat="1" applyFont="1" applyFill="1" applyBorder="1" applyAlignment="1" applyProtection="1">
      <alignment horizontal="center"/>
      <protection/>
    </xf>
    <xf numFmtId="167" fontId="14" fillId="0" borderId="19" xfId="69" applyNumberFormat="1" applyFont="1" applyFill="1" applyBorder="1" applyAlignment="1" applyProtection="1">
      <alignment horizontal="center"/>
      <protection/>
    </xf>
    <xf numFmtId="167" fontId="0" fillId="0" borderId="0" xfId="69" applyNumberFormat="1" applyFill="1" applyBorder="1" applyAlignment="1" applyProtection="1">
      <alignment horizontal="center" vertical="center"/>
      <protection/>
    </xf>
    <xf numFmtId="0" fontId="3" fillId="0" borderId="0" xfId="69" applyFont="1" applyBorder="1" applyAlignment="1" applyProtection="1">
      <alignment horizontal="right"/>
      <protection/>
    </xf>
    <xf numFmtId="0" fontId="0" fillId="0" borderId="0" xfId="69" applyFont="1" applyBorder="1" applyAlignment="1" applyProtection="1">
      <alignment horizontal="right" vertical="center"/>
      <protection/>
    </xf>
    <xf numFmtId="0" fontId="14" fillId="42" borderId="23" xfId="69" applyFont="1" applyFill="1" applyBorder="1" applyAlignment="1" applyProtection="1">
      <alignment horizontal="center"/>
      <protection locked="0"/>
    </xf>
    <xf numFmtId="0" fontId="2" fillId="0" borderId="0" xfId="69" applyFont="1" applyFill="1" applyBorder="1" applyProtection="1">
      <alignment/>
      <protection/>
    </xf>
    <xf numFmtId="0" fontId="0" fillId="0" borderId="0" xfId="69" applyBorder="1" applyAlignment="1" applyProtection="1">
      <alignment horizontal="right"/>
      <protection/>
    </xf>
    <xf numFmtId="1" fontId="14" fillId="0" borderId="0" xfId="69" applyNumberFormat="1" applyFont="1" applyFill="1" applyBorder="1" applyAlignment="1" applyProtection="1">
      <alignment horizontal="left" indent="2"/>
      <protection/>
    </xf>
    <xf numFmtId="0" fontId="0" fillId="0" borderId="0" xfId="69" applyFont="1" applyFill="1" applyBorder="1" applyProtection="1">
      <alignment/>
      <protection/>
    </xf>
    <xf numFmtId="0" fontId="0" fillId="0" borderId="0" xfId="69" applyFont="1" applyBorder="1" applyAlignment="1" applyProtection="1">
      <alignment horizontal="left"/>
      <protection/>
    </xf>
    <xf numFmtId="1" fontId="14" fillId="0" borderId="0" xfId="69" applyNumberFormat="1" applyFont="1" applyFill="1" applyBorder="1" applyAlignment="1" applyProtection="1">
      <alignment horizontal="center"/>
      <protection/>
    </xf>
    <xf numFmtId="0" fontId="0" fillId="0" borderId="0" xfId="69" applyFont="1" applyBorder="1" applyAlignment="1" applyProtection="1">
      <alignment horizontal="right"/>
      <protection/>
    </xf>
    <xf numFmtId="176" fontId="14" fillId="0" borderId="0" xfId="45" applyNumberFormat="1" applyFont="1" applyFill="1" applyBorder="1" applyAlignment="1" applyProtection="1">
      <alignment horizontal="center"/>
      <protection/>
    </xf>
    <xf numFmtId="1" fontId="13" fillId="0" borderId="0" xfId="69" applyNumberFormat="1" applyFont="1" applyFill="1" applyBorder="1" applyAlignment="1" applyProtection="1">
      <alignment horizontal="center"/>
      <protection/>
    </xf>
    <xf numFmtId="0" fontId="3" fillId="0" borderId="0" xfId="69" applyFont="1" applyBorder="1" applyAlignment="1" applyProtection="1">
      <alignment/>
      <protection/>
    </xf>
    <xf numFmtId="0" fontId="3" fillId="0" borderId="36" xfId="69" applyFont="1" applyBorder="1" applyAlignment="1" applyProtection="1">
      <alignment horizontal="center"/>
      <protection/>
    </xf>
    <xf numFmtId="0" fontId="3" fillId="0" borderId="0" xfId="69" applyFont="1" applyBorder="1" applyAlignment="1" applyProtection="1">
      <alignment horizontal="center"/>
      <protection/>
    </xf>
    <xf numFmtId="0" fontId="3" fillId="0" borderId="36" xfId="69" applyFont="1" applyBorder="1" applyAlignment="1" applyProtection="1">
      <alignment/>
      <protection/>
    </xf>
    <xf numFmtId="0" fontId="18" fillId="33" borderId="0" xfId="69" applyFont="1" applyFill="1" applyBorder="1" applyProtection="1">
      <alignment/>
      <protection/>
    </xf>
    <xf numFmtId="0" fontId="18" fillId="33" borderId="0" xfId="69" applyFont="1" applyFill="1" applyBorder="1">
      <alignment/>
      <protection/>
    </xf>
    <xf numFmtId="9" fontId="6" fillId="42" borderId="51" xfId="77" applyNumberFormat="1" applyFont="1" applyFill="1" applyBorder="1" applyAlignment="1" applyProtection="1">
      <alignment horizontal="center"/>
      <protection locked="0"/>
    </xf>
    <xf numFmtId="9" fontId="6" fillId="42" borderId="30" xfId="69" applyNumberFormat="1" applyFont="1" applyFill="1" applyBorder="1" applyAlignment="1" applyProtection="1">
      <alignment horizontal="center"/>
      <protection locked="0"/>
    </xf>
    <xf numFmtId="3" fontId="3" fillId="0" borderId="39" xfId="69" applyNumberFormat="1" applyFont="1" applyBorder="1" applyAlignment="1" applyProtection="1">
      <alignment horizontal="center"/>
      <protection/>
    </xf>
    <xf numFmtId="1" fontId="3" fillId="0" borderId="0" xfId="69" applyNumberFormat="1" applyFont="1" applyBorder="1" applyAlignment="1" applyProtection="1">
      <alignment horizontal="center"/>
      <protection/>
    </xf>
    <xf numFmtId="3" fontId="0" fillId="0" borderId="52" xfId="69" applyNumberFormat="1" applyBorder="1" applyAlignment="1" applyProtection="1">
      <alignment horizontal="right"/>
      <protection/>
    </xf>
    <xf numFmtId="3" fontId="0" fillId="0" borderId="0" xfId="69" applyNumberFormat="1" applyBorder="1" applyAlignment="1" applyProtection="1">
      <alignment horizontal="right"/>
      <protection/>
    </xf>
    <xf numFmtId="9" fontId="0" fillId="0" borderId="32" xfId="77" applyFont="1" applyBorder="1" applyAlignment="1" applyProtection="1">
      <alignment horizontal="center"/>
      <protection/>
    </xf>
    <xf numFmtId="9" fontId="6" fillId="42" borderId="33" xfId="77" applyNumberFormat="1" applyFont="1" applyFill="1" applyBorder="1" applyAlignment="1" applyProtection="1">
      <alignment horizontal="center"/>
      <protection locked="0"/>
    </xf>
    <xf numFmtId="3" fontId="0" fillId="0" borderId="40" xfId="69" applyNumberFormat="1" applyBorder="1" applyAlignment="1" applyProtection="1">
      <alignment horizontal="right"/>
      <protection/>
    </xf>
    <xf numFmtId="9" fontId="0" fillId="0" borderId="51" xfId="77" applyFont="1" applyBorder="1" applyAlignment="1" applyProtection="1">
      <alignment horizontal="center"/>
      <protection/>
    </xf>
    <xf numFmtId="9" fontId="6" fillId="42" borderId="53" xfId="77" applyNumberFormat="1" applyFont="1" applyFill="1" applyBorder="1" applyAlignment="1" applyProtection="1">
      <alignment horizontal="center"/>
      <protection locked="0"/>
    </xf>
    <xf numFmtId="9" fontId="24" fillId="0" borderId="47" xfId="69" applyNumberFormat="1" applyFont="1" applyFill="1" applyBorder="1" applyAlignment="1" applyProtection="1">
      <alignment horizontal="center"/>
      <protection/>
    </xf>
    <xf numFmtId="3" fontId="25" fillId="0" borderId="42" xfId="69" applyNumberFormat="1" applyFont="1" applyFill="1" applyBorder="1" applyAlignment="1" applyProtection="1">
      <alignment horizontal="center"/>
      <protection/>
    </xf>
    <xf numFmtId="3" fontId="26" fillId="0" borderId="42" xfId="69" applyNumberFormat="1" applyFont="1" applyBorder="1" applyAlignment="1" applyProtection="1">
      <alignment horizontal="right"/>
      <protection/>
    </xf>
    <xf numFmtId="3" fontId="26" fillId="0" borderId="0" xfId="69" applyNumberFormat="1" applyFont="1" applyBorder="1" applyAlignment="1" applyProtection="1">
      <alignment horizontal="right"/>
      <protection/>
    </xf>
    <xf numFmtId="9" fontId="26" fillId="0" borderId="53" xfId="77" applyFont="1" applyBorder="1" applyAlignment="1" applyProtection="1">
      <alignment horizontal="center"/>
      <protection/>
    </xf>
    <xf numFmtId="9" fontId="3" fillId="0" borderId="49" xfId="69" applyNumberFormat="1" applyFont="1" applyBorder="1" applyAlignment="1" applyProtection="1">
      <alignment horizontal="center"/>
      <protection/>
    </xf>
    <xf numFmtId="0" fontId="0" fillId="0" borderId="49" xfId="69" applyBorder="1" applyProtection="1">
      <alignment/>
      <protection/>
    </xf>
    <xf numFmtId="0" fontId="3" fillId="0" borderId="49" xfId="69" applyFont="1" applyBorder="1" applyAlignment="1" applyProtection="1">
      <alignment horizontal="right"/>
      <protection/>
    </xf>
    <xf numFmtId="3" fontId="3" fillId="0" borderId="49" xfId="69" applyNumberFormat="1" applyFont="1" applyBorder="1" applyAlignment="1" applyProtection="1">
      <alignment horizontal="right"/>
      <protection/>
    </xf>
    <xf numFmtId="3" fontId="3" fillId="0" borderId="0" xfId="69" applyNumberFormat="1" applyFont="1" applyBorder="1" applyAlignment="1" applyProtection="1">
      <alignment horizontal="right"/>
      <protection/>
    </xf>
    <xf numFmtId="0" fontId="27" fillId="33" borderId="0" xfId="69" applyFont="1" applyFill="1" applyAlignment="1" applyProtection="1">
      <alignment vertical="center"/>
      <protection/>
    </xf>
    <xf numFmtId="3" fontId="3" fillId="0" borderId="0" xfId="69" applyNumberFormat="1" applyFont="1" applyBorder="1" applyAlignment="1" applyProtection="1">
      <alignment horizontal="center"/>
      <protection/>
    </xf>
    <xf numFmtId="0" fontId="27" fillId="33" borderId="0" xfId="69" applyFont="1" applyFill="1" applyAlignment="1" applyProtection="1">
      <alignment vertical="top"/>
      <protection/>
    </xf>
    <xf numFmtId="0" fontId="3" fillId="0" borderId="0" xfId="69" applyFont="1" applyFill="1" applyBorder="1" applyAlignment="1" applyProtection="1">
      <alignment horizontal="right"/>
      <protection/>
    </xf>
    <xf numFmtId="0" fontId="12" fillId="0" borderId="0" xfId="69" applyFont="1" applyFill="1" applyBorder="1" applyProtection="1">
      <alignment/>
      <protection/>
    </xf>
    <xf numFmtId="0" fontId="0" fillId="0" borderId="0" xfId="69" applyFont="1" applyFill="1" applyBorder="1" applyAlignment="1" applyProtection="1">
      <alignment horizontal="right"/>
      <protection/>
    </xf>
    <xf numFmtId="0" fontId="26" fillId="0" borderId="0" xfId="69" applyFont="1" applyFill="1" applyBorder="1" applyProtection="1">
      <alignment/>
      <protection/>
    </xf>
    <xf numFmtId="0" fontId="50" fillId="0" borderId="0" xfId="69" applyFont="1" applyProtection="1">
      <alignment/>
      <protection/>
    </xf>
    <xf numFmtId="0" fontId="18" fillId="33" borderId="0" xfId="69" applyFont="1" applyFill="1" applyBorder="1" applyProtection="1">
      <alignment/>
      <protection/>
    </xf>
    <xf numFmtId="0" fontId="3" fillId="33" borderId="0" xfId="69" applyFont="1" applyFill="1" applyBorder="1" applyProtection="1">
      <alignment/>
      <protection/>
    </xf>
    <xf numFmtId="0" fontId="3" fillId="33" borderId="0" xfId="69" applyFont="1" applyFill="1" applyBorder="1" applyAlignment="1" applyProtection="1">
      <alignment horizontal="right"/>
      <protection/>
    </xf>
    <xf numFmtId="3" fontId="3" fillId="33" borderId="0" xfId="69" applyNumberFormat="1" applyFont="1" applyFill="1" applyBorder="1" applyProtection="1">
      <alignment/>
      <protection/>
    </xf>
    <xf numFmtId="167" fontId="3" fillId="33" borderId="0" xfId="69" applyNumberFormat="1" applyFont="1" applyFill="1" applyBorder="1" applyProtection="1">
      <alignment/>
      <protection/>
    </xf>
    <xf numFmtId="170" fontId="3" fillId="33" borderId="0" xfId="77" applyNumberFormat="1" applyFont="1" applyFill="1" applyBorder="1" applyAlignment="1" applyProtection="1">
      <alignment/>
      <protection/>
    </xf>
    <xf numFmtId="164" fontId="3" fillId="33" borderId="0" xfId="69" applyNumberFormat="1" applyFont="1" applyFill="1" applyBorder="1" applyProtection="1">
      <alignment/>
      <protection/>
    </xf>
    <xf numFmtId="171" fontId="3" fillId="33" borderId="0" xfId="69" applyNumberFormat="1" applyFont="1" applyFill="1" applyBorder="1" applyProtection="1">
      <alignment/>
      <protection/>
    </xf>
    <xf numFmtId="0" fontId="3" fillId="33" borderId="0" xfId="69" applyFont="1" applyFill="1" applyBorder="1" applyProtection="1" quotePrefix="1">
      <alignment/>
      <protection/>
    </xf>
    <xf numFmtId="0" fontId="51" fillId="33" borderId="0" xfId="69" applyFont="1" applyFill="1" applyBorder="1" applyAlignment="1" applyProtection="1">
      <alignment horizontal="right"/>
      <protection/>
    </xf>
    <xf numFmtId="177" fontId="51" fillId="33" borderId="0" xfId="69" applyNumberFormat="1" applyFont="1" applyFill="1" applyBorder="1" applyAlignment="1" applyProtection="1">
      <alignment horizontal="center"/>
      <protection/>
    </xf>
    <xf numFmtId="9" fontId="18" fillId="33" borderId="0" xfId="69" applyNumberFormat="1" applyFont="1" applyFill="1" applyBorder="1" applyProtection="1">
      <alignment/>
      <protection/>
    </xf>
    <xf numFmtId="0" fontId="0" fillId="0" borderId="0" xfId="72" applyFont="1">
      <alignment/>
      <protection/>
    </xf>
    <xf numFmtId="0" fontId="3" fillId="0" borderId="0" xfId="69" applyFont="1">
      <alignment/>
      <protection/>
    </xf>
    <xf numFmtId="0" fontId="0" fillId="0" borderId="0" xfId="69">
      <alignment/>
      <protection/>
    </xf>
    <xf numFmtId="0" fontId="0" fillId="0" borderId="0" xfId="69" applyFont="1">
      <alignment/>
      <protection/>
    </xf>
    <xf numFmtId="0" fontId="0" fillId="37" borderId="0" xfId="69" applyFill="1">
      <alignment/>
      <protection/>
    </xf>
    <xf numFmtId="3" fontId="0" fillId="0" borderId="0" xfId="69" applyNumberFormat="1">
      <alignment/>
      <protection/>
    </xf>
    <xf numFmtId="9" fontId="0" fillId="4" borderId="0" xfId="77" applyFont="1" applyFill="1" applyAlignment="1">
      <alignment/>
    </xf>
    <xf numFmtId="170" fontId="0" fillId="37" borderId="0" xfId="77" applyNumberFormat="1" applyFont="1" applyFill="1" applyAlignment="1">
      <alignment/>
    </xf>
    <xf numFmtId="1" fontId="0" fillId="0" borderId="0" xfId="69" applyNumberFormat="1">
      <alignment/>
      <protection/>
    </xf>
    <xf numFmtId="164" fontId="0" fillId="4" borderId="0" xfId="77" applyNumberFormat="1" applyFont="1" applyFill="1" applyAlignment="1">
      <alignment/>
    </xf>
    <xf numFmtId="9" fontId="0" fillId="4" borderId="0" xfId="77" applyNumberFormat="1" applyFont="1" applyFill="1" applyAlignment="1">
      <alignment/>
    </xf>
    <xf numFmtId="0" fontId="0" fillId="0" borderId="0" xfId="72" applyFont="1" applyAlignment="1">
      <alignment horizontal="right"/>
      <protection/>
    </xf>
    <xf numFmtId="9" fontId="0" fillId="37" borderId="0" xfId="77" applyNumberFormat="1" applyFont="1" applyFill="1" applyAlignment="1">
      <alignment/>
    </xf>
    <xf numFmtId="0" fontId="0" fillId="37" borderId="0" xfId="77" applyNumberFormat="1" applyFont="1" applyFill="1" applyAlignment="1">
      <alignment/>
    </xf>
    <xf numFmtId="0" fontId="0" fillId="4" borderId="0" xfId="77" applyNumberFormat="1" applyFont="1" applyFill="1" applyAlignment="1">
      <alignment/>
    </xf>
    <xf numFmtId="2" fontId="0" fillId="37" borderId="0" xfId="77" applyNumberFormat="1" applyFont="1" applyFill="1" applyAlignment="1">
      <alignment/>
    </xf>
    <xf numFmtId="0" fontId="0" fillId="0" borderId="54" xfId="72" applyFont="1" applyBorder="1" applyAlignment="1">
      <alignment horizontal="center" wrapText="1"/>
      <protection/>
    </xf>
    <xf numFmtId="0" fontId="0" fillId="0" borderId="44" xfId="72" applyFont="1" applyBorder="1" applyAlignment="1">
      <alignment horizontal="center" wrapText="1"/>
      <protection/>
    </xf>
    <xf numFmtId="0" fontId="0" fillId="0" borderId="44" xfId="72" applyFont="1" applyBorder="1" applyAlignment="1">
      <alignment wrapText="1"/>
      <protection/>
    </xf>
    <xf numFmtId="0" fontId="0" fillId="0" borderId="45" xfId="72" applyFont="1" applyBorder="1" applyAlignment="1">
      <alignment wrapText="1"/>
      <protection/>
    </xf>
    <xf numFmtId="0" fontId="0" fillId="0" borderId="0" xfId="72" applyFont="1" applyAlignment="1">
      <alignment wrapText="1"/>
      <protection/>
    </xf>
    <xf numFmtId="0" fontId="0" fillId="0" borderId="55" xfId="72" applyFont="1" applyBorder="1">
      <alignment/>
      <protection/>
    </xf>
    <xf numFmtId="3" fontId="0" fillId="0" borderId="56" xfId="72" applyNumberFormat="1" applyFont="1" applyBorder="1">
      <alignment/>
      <protection/>
    </xf>
    <xf numFmtId="9" fontId="0" fillId="0" borderId="56" xfId="72" applyNumberFormat="1" applyFont="1" applyBorder="1">
      <alignment/>
      <protection/>
    </xf>
    <xf numFmtId="170" fontId="0" fillId="0" borderId="56" xfId="72" applyNumberFormat="1" applyFont="1" applyBorder="1">
      <alignment/>
      <protection/>
    </xf>
    <xf numFmtId="2" fontId="0" fillId="0" borderId="57" xfId="72" applyNumberFormat="1" applyFont="1" applyBorder="1">
      <alignment/>
      <protection/>
    </xf>
    <xf numFmtId="1" fontId="0" fillId="0" borderId="57" xfId="72" applyNumberFormat="1" applyFont="1" applyBorder="1">
      <alignment/>
      <protection/>
    </xf>
    <xf numFmtId="0" fontId="0" fillId="0" borderId="58" xfId="72" applyFont="1" applyBorder="1">
      <alignment/>
      <protection/>
    </xf>
    <xf numFmtId="3" fontId="0" fillId="0" borderId="59" xfId="72" applyNumberFormat="1" applyFont="1" applyBorder="1">
      <alignment/>
      <protection/>
    </xf>
    <xf numFmtId="9" fontId="0" fillId="0" borderId="59" xfId="72" applyNumberFormat="1" applyFont="1" applyBorder="1">
      <alignment/>
      <protection/>
    </xf>
    <xf numFmtId="2" fontId="0" fillId="0" borderId="60" xfId="72" applyNumberFormat="1" applyFont="1" applyBorder="1">
      <alignment/>
      <protection/>
    </xf>
    <xf numFmtId="0" fontId="0" fillId="0" borderId="61" xfId="72" applyFont="1" applyBorder="1">
      <alignment/>
      <protection/>
    </xf>
    <xf numFmtId="3" fontId="0" fillId="0" borderId="62" xfId="72" applyNumberFormat="1" applyFont="1" applyBorder="1">
      <alignment/>
      <protection/>
    </xf>
    <xf numFmtId="9" fontId="0" fillId="0" borderId="62" xfId="72" applyNumberFormat="1" applyFont="1" applyBorder="1">
      <alignment/>
      <protection/>
    </xf>
    <xf numFmtId="2" fontId="0" fillId="0" borderId="63" xfId="72" applyNumberFormat="1" applyFont="1" applyBorder="1">
      <alignment/>
      <protection/>
    </xf>
    <xf numFmtId="0" fontId="0" fillId="0" borderId="54" xfId="72" applyFont="1" applyBorder="1">
      <alignment/>
      <protection/>
    </xf>
    <xf numFmtId="3" fontId="0" fillId="0" borderId="44" xfId="72" applyNumberFormat="1" applyFont="1" applyBorder="1">
      <alignment/>
      <protection/>
    </xf>
    <xf numFmtId="9" fontId="0" fillId="0" borderId="44" xfId="72" applyNumberFormat="1" applyFont="1" applyBorder="1">
      <alignment/>
      <protection/>
    </xf>
    <xf numFmtId="0" fontId="0" fillId="0" borderId="44" xfId="72" applyFont="1" applyBorder="1">
      <alignment/>
      <protection/>
    </xf>
    <xf numFmtId="2" fontId="0" fillId="0" borderId="45" xfId="72" applyNumberFormat="1" applyFont="1" applyBorder="1">
      <alignment/>
      <protection/>
    </xf>
    <xf numFmtId="176" fontId="0" fillId="0" borderId="45" xfId="45" applyNumberFormat="1" applyFont="1" applyBorder="1" applyAlignment="1">
      <alignment/>
    </xf>
    <xf numFmtId="176" fontId="0" fillId="0" borderId="0" xfId="72" applyNumberFormat="1" applyFont="1">
      <alignment/>
      <protection/>
    </xf>
    <xf numFmtId="0" fontId="0" fillId="33" borderId="0" xfId="69" applyFill="1">
      <alignment/>
      <protection/>
    </xf>
    <xf numFmtId="0" fontId="0" fillId="0" borderId="0" xfId="69" applyFill="1" applyProtection="1">
      <alignment/>
      <protection/>
    </xf>
    <xf numFmtId="0" fontId="42" fillId="0" borderId="0" xfId="69" applyFont="1" applyProtection="1">
      <alignment/>
      <protection/>
    </xf>
    <xf numFmtId="0" fontId="43" fillId="0" borderId="0" xfId="69" applyFont="1" applyProtection="1">
      <alignment/>
      <protection/>
    </xf>
    <xf numFmtId="0" fontId="1" fillId="0" borderId="0" xfId="69" applyFont="1" applyAlignment="1" applyProtection="1">
      <alignment horizontal="right"/>
      <protection/>
    </xf>
    <xf numFmtId="0" fontId="0" fillId="0" borderId="0" xfId="69" applyFont="1" applyProtection="1">
      <alignment/>
      <protection/>
    </xf>
    <xf numFmtId="14" fontId="0" fillId="0" borderId="0" xfId="69" applyNumberFormat="1" applyFont="1" applyFill="1" applyBorder="1" applyAlignment="1" applyProtection="1">
      <alignment/>
      <protection/>
    </xf>
    <xf numFmtId="0" fontId="2" fillId="32" borderId="0" xfId="28" applyFont="1" applyFill="1" applyBorder="1" applyAlignment="1" applyProtection="1">
      <alignment vertical="center"/>
      <protection/>
    </xf>
    <xf numFmtId="0" fontId="0" fillId="33" borderId="0" xfId="69" applyFill="1" applyProtection="1">
      <alignment/>
      <protection locked="0"/>
    </xf>
    <xf numFmtId="0" fontId="0" fillId="33" borderId="0" xfId="69" applyFill="1" applyBorder="1" applyProtection="1">
      <alignment/>
      <protection locked="0"/>
    </xf>
    <xf numFmtId="0" fontId="0" fillId="0" borderId="0" xfId="69" applyBorder="1">
      <alignment/>
      <protection/>
    </xf>
    <xf numFmtId="0" fontId="0" fillId="33" borderId="48" xfId="69" applyFill="1" applyBorder="1" applyProtection="1">
      <alignment/>
      <protection locked="0"/>
    </xf>
    <xf numFmtId="0" fontId="0" fillId="33" borderId="49" xfId="69" applyFill="1" applyBorder="1" applyProtection="1">
      <alignment/>
      <protection locked="0"/>
    </xf>
    <xf numFmtId="0" fontId="0" fillId="33" borderId="50" xfId="69" applyFill="1" applyBorder="1" applyProtection="1">
      <alignment/>
      <protection locked="0"/>
    </xf>
    <xf numFmtId="0" fontId="0" fillId="0" borderId="0" xfId="69" applyFont="1" applyAlignment="1" applyProtection="1">
      <alignment horizontal="left"/>
      <protection/>
    </xf>
    <xf numFmtId="0" fontId="0" fillId="33" borderId="25" xfId="69" applyFill="1" applyBorder="1" applyProtection="1">
      <alignment/>
      <protection locked="0"/>
    </xf>
    <xf numFmtId="0" fontId="0" fillId="33" borderId="34" xfId="69" applyFill="1" applyBorder="1" applyProtection="1">
      <alignment/>
      <protection locked="0"/>
    </xf>
    <xf numFmtId="0" fontId="0" fillId="33" borderId="35" xfId="69" applyFill="1" applyBorder="1" applyProtection="1">
      <alignment/>
      <protection locked="0"/>
    </xf>
    <xf numFmtId="0" fontId="0" fillId="33" borderId="36" xfId="69" applyFill="1" applyBorder="1" applyProtection="1">
      <alignment/>
      <protection locked="0"/>
    </xf>
    <xf numFmtId="0" fontId="0" fillId="33" borderId="37" xfId="69" applyFill="1" applyBorder="1" applyProtection="1">
      <alignment/>
      <protection locked="0"/>
    </xf>
    <xf numFmtId="0" fontId="0" fillId="33" borderId="0" xfId="69" applyFill="1" applyBorder="1" applyAlignment="1" applyProtection="1">
      <alignment horizontal="center"/>
      <protection locked="0"/>
    </xf>
    <xf numFmtId="1" fontId="0" fillId="33" borderId="34" xfId="69" applyNumberFormat="1" applyFill="1" applyBorder="1" applyAlignment="1" applyProtection="1">
      <alignment horizontal="center"/>
      <protection locked="0"/>
    </xf>
    <xf numFmtId="0" fontId="0" fillId="0" borderId="0" xfId="69" applyFont="1" applyAlignment="1" applyProtection="1">
      <alignment horizontal="right"/>
      <protection/>
    </xf>
    <xf numFmtId="3" fontId="0" fillId="33" borderId="0" xfId="69" applyNumberFormat="1" applyFill="1" applyProtection="1">
      <alignment/>
      <protection/>
    </xf>
    <xf numFmtId="0" fontId="0" fillId="33" borderId="48" xfId="69" applyFill="1" applyBorder="1">
      <alignment/>
      <protection/>
    </xf>
    <xf numFmtId="0" fontId="0" fillId="33" borderId="49" xfId="69" applyFill="1" applyBorder="1">
      <alignment/>
      <protection/>
    </xf>
    <xf numFmtId="2" fontId="0" fillId="33" borderId="49" xfId="69" applyNumberFormat="1" applyFill="1" applyBorder="1">
      <alignment/>
      <protection/>
    </xf>
    <xf numFmtId="43" fontId="0" fillId="33" borderId="0" xfId="69" applyNumberFormat="1" applyFill="1" applyBorder="1" applyProtection="1">
      <alignment/>
      <protection locked="0"/>
    </xf>
    <xf numFmtId="2" fontId="0" fillId="33" borderId="0" xfId="69" applyNumberFormat="1" applyFill="1" applyBorder="1" applyProtection="1">
      <alignment/>
      <protection locked="0"/>
    </xf>
    <xf numFmtId="0" fontId="0" fillId="33" borderId="0" xfId="69" applyFill="1" applyAlignment="1" applyProtection="1">
      <alignment wrapText="1"/>
      <protection/>
    </xf>
    <xf numFmtId="0" fontId="0" fillId="33" borderId="0" xfId="69" applyFill="1" applyAlignment="1" applyProtection="1">
      <alignment wrapText="1"/>
      <protection locked="0"/>
    </xf>
    <xf numFmtId="43" fontId="0" fillId="33" borderId="0" xfId="69" applyNumberFormat="1" applyFill="1" applyBorder="1" applyAlignment="1" applyProtection="1">
      <alignment wrapText="1"/>
      <protection locked="0"/>
    </xf>
    <xf numFmtId="0" fontId="0" fillId="33" borderId="34" xfId="69" applyFill="1" applyBorder="1" applyAlignment="1" applyProtection="1">
      <alignment wrapText="1"/>
      <protection locked="0"/>
    </xf>
    <xf numFmtId="43" fontId="0" fillId="33" borderId="36" xfId="69" applyNumberFormat="1" applyFill="1" applyBorder="1" applyProtection="1">
      <alignment/>
      <protection locked="0"/>
    </xf>
    <xf numFmtId="0" fontId="0" fillId="33" borderId="0" xfId="69" applyFill="1" applyAlignment="1">
      <alignment wrapText="1"/>
      <protection/>
    </xf>
    <xf numFmtId="0" fontId="0" fillId="33" borderId="25" xfId="69" applyFill="1" applyBorder="1" applyAlignment="1" applyProtection="1">
      <alignment wrapText="1"/>
      <protection locked="0"/>
    </xf>
    <xf numFmtId="0" fontId="0" fillId="33" borderId="35" xfId="69" applyFill="1" applyBorder="1" applyAlignment="1" applyProtection="1">
      <alignment wrapText="1"/>
      <protection locked="0"/>
    </xf>
    <xf numFmtId="0" fontId="0" fillId="33" borderId="36" xfId="69" applyFill="1" applyBorder="1" applyAlignment="1" applyProtection="1">
      <alignment horizontal="center" wrapText="1"/>
      <protection locked="0"/>
    </xf>
    <xf numFmtId="1" fontId="0" fillId="33" borderId="37" xfId="69" applyNumberFormat="1" applyFill="1" applyBorder="1" applyAlignment="1" applyProtection="1">
      <alignment horizontal="center" wrapText="1"/>
      <protection locked="0"/>
    </xf>
    <xf numFmtId="1" fontId="0" fillId="33" borderId="0" xfId="69" applyNumberFormat="1" applyFill="1" applyBorder="1" applyProtection="1">
      <alignment/>
      <protection locked="0"/>
    </xf>
    <xf numFmtId="0" fontId="52" fillId="33" borderId="0" xfId="69" applyFont="1" applyFill="1" applyBorder="1" applyProtection="1">
      <alignment/>
      <protection locked="0"/>
    </xf>
    <xf numFmtId="165" fontId="0" fillId="33" borderId="0" xfId="69" applyNumberFormat="1" applyFill="1" applyBorder="1" applyProtection="1">
      <alignment/>
      <protection locked="0"/>
    </xf>
    <xf numFmtId="165" fontId="0" fillId="33" borderId="36" xfId="69" applyNumberFormat="1" applyFill="1" applyBorder="1" applyProtection="1">
      <alignment/>
      <protection locked="0"/>
    </xf>
    <xf numFmtId="164" fontId="0" fillId="33" borderId="50" xfId="69" applyNumberFormat="1" applyFill="1" applyBorder="1">
      <alignment/>
      <protection/>
    </xf>
    <xf numFmtId="0" fontId="0" fillId="33" borderId="25" xfId="69" applyFill="1" applyBorder="1">
      <alignment/>
      <protection/>
    </xf>
    <xf numFmtId="0" fontId="0" fillId="33" borderId="34" xfId="69" applyFill="1" applyBorder="1">
      <alignment/>
      <protection/>
    </xf>
    <xf numFmtId="0" fontId="0" fillId="33" borderId="35" xfId="69" applyFill="1" applyBorder="1">
      <alignment/>
      <protection/>
    </xf>
    <xf numFmtId="0" fontId="0" fillId="33" borderId="36" xfId="69" applyFill="1" applyBorder="1">
      <alignment/>
      <protection/>
    </xf>
    <xf numFmtId="166" fontId="0" fillId="33" borderId="37" xfId="69" applyNumberFormat="1" applyFill="1" applyBorder="1">
      <alignment/>
      <protection/>
    </xf>
    <xf numFmtId="0" fontId="0" fillId="0" borderId="0" xfId="69" applyAlignment="1" applyProtection="1">
      <alignment horizontal="right"/>
      <protection/>
    </xf>
    <xf numFmtId="204" fontId="0" fillId="37" borderId="0" xfId="50" applyNumberFormat="1" applyFont="1" applyFill="1" applyBorder="1" applyAlignment="1" applyProtection="1">
      <alignment/>
      <protection/>
    </xf>
    <xf numFmtId="174" fontId="0" fillId="0" borderId="0" xfId="50" applyNumberFormat="1" applyFont="1" applyBorder="1" applyAlignment="1" applyProtection="1">
      <alignment horizontal="left"/>
      <protection/>
    </xf>
    <xf numFmtId="0" fontId="0" fillId="33" borderId="0" xfId="69" applyFont="1" applyFill="1" applyProtection="1">
      <alignment/>
      <protection locked="0"/>
    </xf>
    <xf numFmtId="0" fontId="31" fillId="0" borderId="0" xfId="69" applyFont="1">
      <alignment/>
      <protection/>
    </xf>
    <xf numFmtId="0" fontId="0" fillId="0" borderId="0" xfId="69" applyAlignment="1">
      <alignment horizontal="center"/>
      <protection/>
    </xf>
    <xf numFmtId="0" fontId="0" fillId="0" borderId="19" xfId="69" applyBorder="1" applyAlignment="1">
      <alignment horizontal="center"/>
      <protection/>
    </xf>
    <xf numFmtId="43" fontId="0" fillId="0" borderId="0" xfId="45" applyFont="1" applyAlignment="1">
      <alignment/>
    </xf>
    <xf numFmtId="0" fontId="0" fillId="0" borderId="0" xfId="69" quotePrefix="1">
      <alignment/>
      <protection/>
    </xf>
    <xf numFmtId="9" fontId="0" fillId="0" borderId="0" xfId="77" applyFont="1" applyAlignment="1">
      <alignment/>
    </xf>
    <xf numFmtId="43" fontId="0" fillId="0" borderId="0" xfId="69" applyNumberFormat="1">
      <alignment/>
      <protection/>
    </xf>
    <xf numFmtId="11" fontId="0" fillId="0" borderId="0" xfId="45" applyNumberFormat="1" applyFont="1" applyAlignment="1">
      <alignment/>
    </xf>
    <xf numFmtId="2" fontId="0" fillId="0" borderId="0" xfId="69" applyNumberFormat="1" applyBorder="1">
      <alignment/>
      <protection/>
    </xf>
    <xf numFmtId="0" fontId="0" fillId="0" borderId="48" xfId="69" applyBorder="1">
      <alignment/>
      <protection/>
    </xf>
    <xf numFmtId="0" fontId="0" fillId="0" borderId="64" xfId="69" applyBorder="1">
      <alignment/>
      <protection/>
    </xf>
    <xf numFmtId="0" fontId="0" fillId="0" borderId="49" xfId="69" applyBorder="1">
      <alignment/>
      <protection/>
    </xf>
    <xf numFmtId="0" fontId="0" fillId="0" borderId="50" xfId="69" applyBorder="1">
      <alignment/>
      <protection/>
    </xf>
    <xf numFmtId="0" fontId="0" fillId="0" borderId="25" xfId="69" applyBorder="1">
      <alignment/>
      <protection/>
    </xf>
    <xf numFmtId="0" fontId="0" fillId="0" borderId="24" xfId="69" applyBorder="1">
      <alignment/>
      <protection/>
    </xf>
    <xf numFmtId="0" fontId="0" fillId="0" borderId="34" xfId="69" applyBorder="1">
      <alignment/>
      <protection/>
    </xf>
    <xf numFmtId="0" fontId="0" fillId="0" borderId="65" xfId="69" applyBorder="1">
      <alignment/>
      <protection/>
    </xf>
    <xf numFmtId="0" fontId="0" fillId="0" borderId="31" xfId="69" applyBorder="1">
      <alignment/>
      <protection/>
    </xf>
    <xf numFmtId="0" fontId="0" fillId="0" borderId="19" xfId="69" applyBorder="1">
      <alignment/>
      <protection/>
    </xf>
    <xf numFmtId="0" fontId="0" fillId="0" borderId="66" xfId="69" applyBorder="1">
      <alignment/>
      <protection/>
    </xf>
    <xf numFmtId="4" fontId="0" fillId="0" borderId="24" xfId="69" applyNumberFormat="1" applyBorder="1">
      <alignment/>
      <protection/>
    </xf>
    <xf numFmtId="4" fontId="0" fillId="0" borderId="0" xfId="69" applyNumberFormat="1" applyBorder="1">
      <alignment/>
      <protection/>
    </xf>
    <xf numFmtId="4" fontId="0" fillId="0" borderId="0" xfId="69" applyNumberFormat="1" applyFill="1" applyBorder="1">
      <alignment/>
      <protection/>
    </xf>
    <xf numFmtId="4" fontId="0" fillId="0" borderId="34" xfId="69" applyNumberFormat="1" applyBorder="1">
      <alignment/>
      <protection/>
    </xf>
    <xf numFmtId="0" fontId="0" fillId="0" borderId="67" xfId="69" applyBorder="1">
      <alignment/>
      <protection/>
    </xf>
    <xf numFmtId="0" fontId="0" fillId="0" borderId="35" xfId="69" applyBorder="1">
      <alignment/>
      <protection/>
    </xf>
    <xf numFmtId="0" fontId="0" fillId="0" borderId="68" xfId="69" applyBorder="1">
      <alignment/>
      <protection/>
    </xf>
    <xf numFmtId="0" fontId="0" fillId="0" borderId="36" xfId="69" applyBorder="1">
      <alignment/>
      <protection/>
    </xf>
    <xf numFmtId="0" fontId="0" fillId="0" borderId="37" xfId="69" applyBorder="1">
      <alignment/>
      <protection/>
    </xf>
    <xf numFmtId="0" fontId="0" fillId="0" borderId="48" xfId="69" applyFill="1" applyBorder="1">
      <alignment/>
      <protection/>
    </xf>
    <xf numFmtId="0" fontId="0" fillId="0" borderId="64" xfId="69" applyFill="1" applyBorder="1">
      <alignment/>
      <protection/>
    </xf>
    <xf numFmtId="0" fontId="0" fillId="0" borderId="49" xfId="69" applyFill="1" applyBorder="1">
      <alignment/>
      <protection/>
    </xf>
    <xf numFmtId="0" fontId="0" fillId="0" borderId="50" xfId="69" applyFill="1" applyBorder="1">
      <alignment/>
      <protection/>
    </xf>
    <xf numFmtId="4" fontId="0" fillId="0" borderId="34" xfId="69" applyNumberFormat="1" applyFill="1" applyBorder="1">
      <alignment/>
      <protection/>
    </xf>
    <xf numFmtId="0" fontId="0" fillId="0" borderId="25" xfId="69" applyFill="1" applyBorder="1">
      <alignment/>
      <protection/>
    </xf>
    <xf numFmtId="0" fontId="0" fillId="0" borderId="24" xfId="69" applyFill="1" applyBorder="1">
      <alignment/>
      <protection/>
    </xf>
    <xf numFmtId="0" fontId="0" fillId="0" borderId="34" xfId="69" applyFill="1" applyBorder="1">
      <alignment/>
      <protection/>
    </xf>
    <xf numFmtId="0" fontId="0" fillId="0" borderId="35" xfId="69" applyFill="1" applyBorder="1">
      <alignment/>
      <protection/>
    </xf>
    <xf numFmtId="0" fontId="0" fillId="0" borderId="68" xfId="69" applyFill="1" applyBorder="1">
      <alignment/>
      <protection/>
    </xf>
    <xf numFmtId="0" fontId="0" fillId="0" borderId="36" xfId="69" applyFill="1" applyBorder="1">
      <alignment/>
      <protection/>
    </xf>
    <xf numFmtId="0" fontId="0" fillId="0" borderId="37" xfId="69" applyFill="1" applyBorder="1">
      <alignment/>
      <protection/>
    </xf>
    <xf numFmtId="0" fontId="0" fillId="0" borderId="69" xfId="69" applyBorder="1">
      <alignment/>
      <protection/>
    </xf>
    <xf numFmtId="4" fontId="0" fillId="0" borderId="36" xfId="69" applyNumberFormat="1" applyFill="1" applyBorder="1">
      <alignment/>
      <protection/>
    </xf>
    <xf numFmtId="4" fontId="0" fillId="0" borderId="36" xfId="69" applyNumberFormat="1" applyBorder="1">
      <alignment/>
      <protection/>
    </xf>
    <xf numFmtId="4" fontId="0" fillId="0" borderId="37" xfId="69" applyNumberFormat="1" applyFill="1" applyBorder="1">
      <alignment/>
      <protection/>
    </xf>
    <xf numFmtId="166" fontId="0" fillId="0" borderId="0" xfId="69" applyNumberFormat="1">
      <alignment/>
      <protection/>
    </xf>
    <xf numFmtId="0" fontId="0" fillId="0" borderId="0" xfId="69" applyAlignment="1">
      <alignment wrapText="1"/>
      <protection/>
    </xf>
    <xf numFmtId="0" fontId="3" fillId="0" borderId="0" xfId="69" applyFont="1" applyAlignment="1">
      <alignment wrapText="1"/>
      <protection/>
    </xf>
    <xf numFmtId="0" fontId="0" fillId="0" borderId="0" xfId="69" applyBorder="1" applyAlignment="1">
      <alignment horizontal="center"/>
      <protection/>
    </xf>
    <xf numFmtId="0" fontId="0" fillId="0" borderId="0" xfId="69" applyFont="1" applyBorder="1" applyAlignment="1">
      <alignment horizontal="center"/>
      <protection/>
    </xf>
    <xf numFmtId="176" fontId="0" fillId="0" borderId="0" xfId="45" applyNumberFormat="1" applyFont="1" applyAlignment="1">
      <alignment horizontal="center"/>
    </xf>
    <xf numFmtId="0" fontId="0" fillId="0" borderId="0" xfId="69" applyFill="1" applyBorder="1" applyAlignment="1">
      <alignment horizontal="center"/>
      <protection/>
    </xf>
    <xf numFmtId="39" fontId="0" fillId="0" borderId="0" xfId="45" applyNumberFormat="1" applyFont="1" applyAlignment="1">
      <alignment horizontal="center"/>
    </xf>
    <xf numFmtId="0" fontId="0" fillId="0" borderId="26" xfId="69" applyBorder="1">
      <alignment/>
      <protection/>
    </xf>
    <xf numFmtId="0" fontId="0" fillId="0" borderId="20" xfId="69" applyBorder="1">
      <alignment/>
      <protection/>
    </xf>
    <xf numFmtId="0" fontId="0" fillId="0" borderId="21" xfId="69" applyBorder="1">
      <alignment/>
      <protection/>
    </xf>
    <xf numFmtId="0" fontId="0" fillId="0" borderId="22" xfId="69" applyBorder="1">
      <alignment/>
      <protection/>
    </xf>
    <xf numFmtId="176" fontId="26" fillId="0" borderId="0" xfId="45" applyNumberFormat="1" applyFont="1" applyAlignment="1">
      <alignment horizontal="center"/>
    </xf>
    <xf numFmtId="0" fontId="26" fillId="0" borderId="0" xfId="69" applyFont="1">
      <alignment/>
      <protection/>
    </xf>
    <xf numFmtId="176" fontId="3" fillId="0" borderId="0" xfId="45" applyNumberFormat="1" applyFont="1" applyAlignment="1">
      <alignment horizontal="center"/>
    </xf>
    <xf numFmtId="176" fontId="0" fillId="0" borderId="0" xfId="45" applyNumberFormat="1" applyFont="1" applyAlignment="1">
      <alignment horizontal="center"/>
    </xf>
    <xf numFmtId="0" fontId="0" fillId="0" borderId="19" xfId="69" applyFont="1" applyBorder="1">
      <alignment/>
      <protection/>
    </xf>
    <xf numFmtId="171" fontId="29" fillId="4" borderId="0" xfId="0" applyNumberFormat="1" applyFont="1" applyFill="1" applyBorder="1" applyAlignment="1" applyProtection="1">
      <alignment horizontal="right"/>
      <protection locked="0"/>
    </xf>
    <xf numFmtId="3" fontId="0" fillId="36" borderId="0" xfId="0" applyNumberFormat="1" applyFont="1" applyFill="1" applyBorder="1" applyAlignment="1" applyProtection="1">
      <alignment horizontal="right"/>
      <protection locked="0"/>
    </xf>
    <xf numFmtId="167" fontId="0" fillId="4" borderId="0" xfId="69" applyNumberFormat="1" applyFont="1" applyFill="1" applyProtection="1">
      <alignment/>
      <protection locked="0"/>
    </xf>
    <xf numFmtId="0" fontId="23" fillId="35" borderId="0" xfId="69" applyFont="1" applyFill="1" applyProtection="1">
      <alignment/>
      <protection locked="0"/>
    </xf>
    <xf numFmtId="0" fontId="3" fillId="0" borderId="0" xfId="69" applyFont="1" applyFill="1" applyBorder="1" applyAlignment="1" applyProtection="1">
      <alignment horizontal="center" wrapText="1"/>
      <protection/>
    </xf>
    <xf numFmtId="0" fontId="0" fillId="0" borderId="29" xfId="0" applyBorder="1" applyAlignment="1" applyProtection="1">
      <alignment/>
      <protection locked="0"/>
    </xf>
    <xf numFmtId="2" fontId="0" fillId="0" borderId="0" xfId="0" applyNumberFormat="1" applyBorder="1" applyAlignment="1" applyProtection="1">
      <alignment horizontal="center"/>
      <protection locked="0"/>
    </xf>
    <xf numFmtId="0" fontId="0" fillId="0" borderId="10" xfId="0" applyBorder="1" applyAlignment="1">
      <alignment vertical="top"/>
    </xf>
    <xf numFmtId="0" fontId="0" fillId="0" borderId="70" xfId="0" applyBorder="1" applyAlignment="1">
      <alignment vertical="top"/>
    </xf>
    <xf numFmtId="0" fontId="32" fillId="33" borderId="0" xfId="69" applyFont="1" applyFill="1" applyBorder="1" applyProtection="1">
      <alignment/>
      <protection/>
    </xf>
    <xf numFmtId="0" fontId="38" fillId="0" borderId="36" xfId="69" applyFont="1" applyBorder="1" applyAlignment="1" applyProtection="1">
      <alignment/>
      <protection/>
    </xf>
    <xf numFmtId="0" fontId="38" fillId="0" borderId="36" xfId="69" applyFont="1" applyBorder="1" applyAlignment="1" applyProtection="1">
      <alignment horizontal="left"/>
      <protection/>
    </xf>
    <xf numFmtId="1" fontId="0" fillId="0" borderId="0" xfId="69" applyNumberFormat="1" applyFont="1" applyBorder="1" applyAlignment="1" applyProtection="1">
      <alignment horizontal="center"/>
      <protection/>
    </xf>
    <xf numFmtId="0" fontId="0" fillId="0" borderId="0" xfId="0" applyBorder="1" applyAlignment="1">
      <alignment vertical="center"/>
    </xf>
    <xf numFmtId="0" fontId="0" fillId="0" borderId="21" xfId="0" applyBorder="1" applyAlignment="1">
      <alignment vertical="center"/>
    </xf>
    <xf numFmtId="0" fontId="51" fillId="33" borderId="0" xfId="69" applyFont="1" applyFill="1" applyBorder="1" applyProtection="1">
      <alignment/>
      <protection/>
    </xf>
    <xf numFmtId="177" fontId="51" fillId="33" borderId="0" xfId="69" applyNumberFormat="1" applyFont="1" applyFill="1" applyBorder="1" applyAlignment="1" applyProtection="1">
      <alignment horizontal="right"/>
      <protection/>
    </xf>
    <xf numFmtId="164" fontId="18" fillId="33" borderId="0" xfId="69" applyNumberFormat="1" applyFont="1" applyFill="1" applyBorder="1" applyProtection="1">
      <alignment/>
      <protection/>
    </xf>
    <xf numFmtId="0" fontId="53" fillId="33" borderId="0" xfId="69" applyFont="1" applyFill="1" applyBorder="1" applyProtection="1">
      <alignment/>
      <protection/>
    </xf>
    <xf numFmtId="43" fontId="18" fillId="33" borderId="0" xfId="69" applyNumberFormat="1" applyFont="1" applyFill="1" applyBorder="1" applyProtection="1">
      <alignment/>
      <protection/>
    </xf>
    <xf numFmtId="0" fontId="11" fillId="0" borderId="71" xfId="69" applyFont="1" applyBorder="1" applyAlignment="1" applyProtection="1">
      <alignment horizontal="center" vertical="center"/>
      <protection/>
    </xf>
    <xf numFmtId="0" fontId="3" fillId="0" borderId="0" xfId="69" applyFont="1" applyFill="1" applyBorder="1" applyAlignment="1" applyProtection="1">
      <alignment horizontal="right" vertical="center"/>
      <protection/>
    </xf>
    <xf numFmtId="0" fontId="3" fillId="0" borderId="0" xfId="69" applyFont="1" applyFill="1" applyBorder="1" applyAlignment="1" applyProtection="1">
      <alignment horizontal="left" vertical="center"/>
      <protection/>
    </xf>
    <xf numFmtId="0" fontId="0" fillId="33" borderId="0" xfId="69" applyFill="1" applyAlignment="1">
      <alignment vertical="center"/>
      <protection/>
    </xf>
    <xf numFmtId="0" fontId="0" fillId="0" borderId="0" xfId="69" applyAlignment="1" applyProtection="1">
      <alignment vertical="center"/>
      <protection/>
    </xf>
    <xf numFmtId="0" fontId="37" fillId="37" borderId="0" xfId="70" applyFont="1" applyFill="1" applyAlignment="1" applyProtection="1">
      <alignment vertical="center"/>
      <protection/>
    </xf>
    <xf numFmtId="0" fontId="0" fillId="0" borderId="0" xfId="69" applyFill="1" applyAlignment="1" applyProtection="1">
      <alignment vertical="center"/>
      <protection/>
    </xf>
    <xf numFmtId="0" fontId="0" fillId="33" borderId="0" xfId="69" applyFill="1" applyAlignment="1" applyProtection="1">
      <alignment vertical="center"/>
      <protection/>
    </xf>
    <xf numFmtId="0" fontId="0" fillId="0" borderId="0" xfId="69" applyAlignment="1">
      <alignment vertical="center"/>
      <protection/>
    </xf>
    <xf numFmtId="0" fontId="0" fillId="0" borderId="0" xfId="69" applyFont="1" applyAlignment="1" applyProtection="1">
      <alignment vertical="center"/>
      <protection/>
    </xf>
    <xf numFmtId="14" fontId="0" fillId="0" borderId="0" xfId="69" applyNumberFormat="1" applyFont="1" applyFill="1" applyBorder="1" applyAlignment="1" applyProtection="1">
      <alignment vertical="center"/>
      <protection/>
    </xf>
    <xf numFmtId="0" fontId="3" fillId="0" borderId="69" xfId="69" applyFont="1" applyBorder="1" applyAlignment="1" applyProtection="1">
      <alignment horizontal="center" vertical="center"/>
      <protection/>
    </xf>
    <xf numFmtId="0" fontId="3" fillId="0" borderId="72" xfId="69" applyFont="1" applyBorder="1" applyAlignment="1" applyProtection="1">
      <alignment horizontal="center" vertical="center"/>
      <protection/>
    </xf>
    <xf numFmtId="0" fontId="3" fillId="0" borderId="45" xfId="69" applyFont="1" applyBorder="1" applyAlignment="1" applyProtection="1">
      <alignment horizontal="center" vertical="center"/>
      <protection/>
    </xf>
    <xf numFmtId="0" fontId="3" fillId="0" borderId="0" xfId="69" applyFont="1" applyBorder="1" applyAlignment="1" applyProtection="1">
      <alignment horizontal="center" vertical="center"/>
      <protection/>
    </xf>
    <xf numFmtId="0" fontId="3" fillId="0" borderId="54" xfId="69" applyFont="1" applyBorder="1" applyAlignment="1" applyProtection="1">
      <alignment horizontal="center" vertical="center"/>
      <protection/>
    </xf>
    <xf numFmtId="0" fontId="0" fillId="0" borderId="0" xfId="69" applyFont="1" applyBorder="1" applyAlignment="1" applyProtection="1">
      <alignment horizontal="center"/>
      <protection/>
    </xf>
    <xf numFmtId="0" fontId="0" fillId="0" borderId="0" xfId="69" applyFont="1" applyBorder="1" applyProtection="1">
      <alignment/>
      <protection/>
    </xf>
    <xf numFmtId="0" fontId="0" fillId="0" borderId="0" xfId="69" applyFont="1" applyFill="1" applyAlignment="1" applyProtection="1">
      <alignment horizontal="center" vertical="center" wrapText="1"/>
      <protection/>
    </xf>
    <xf numFmtId="0" fontId="0" fillId="0" borderId="0" xfId="69" applyFont="1" applyFill="1" applyProtection="1">
      <alignment/>
      <protection/>
    </xf>
    <xf numFmtId="0" fontId="0" fillId="33" borderId="0" xfId="0" applyFill="1" applyAlignment="1">
      <alignment vertical="center"/>
    </xf>
    <xf numFmtId="0" fontId="0" fillId="0" borderId="0" xfId="0" applyAlignment="1" applyProtection="1">
      <alignment vertical="center"/>
      <protection/>
    </xf>
    <xf numFmtId="0" fontId="8" fillId="0" borderId="0" xfId="0" applyFont="1" applyFill="1" applyBorder="1" applyAlignment="1" applyProtection="1">
      <alignment vertical="center"/>
      <protection/>
    </xf>
    <xf numFmtId="20" fontId="0" fillId="33" borderId="0" xfId="0" applyNumberFormat="1" applyFill="1" applyAlignment="1">
      <alignment horizontal="left" vertical="center"/>
    </xf>
    <xf numFmtId="0" fontId="3" fillId="0" borderId="0" xfId="0" applyFont="1" applyFill="1" applyBorder="1" applyAlignment="1" applyProtection="1">
      <alignment horizontal="right" vertical="center"/>
      <protection/>
    </xf>
    <xf numFmtId="0" fontId="26" fillId="33" borderId="0" xfId="69" applyFont="1" applyFill="1" applyBorder="1" applyProtection="1">
      <alignment/>
      <protection/>
    </xf>
    <xf numFmtId="3" fontId="3" fillId="0" borderId="0" xfId="69" applyNumberFormat="1" applyFont="1" applyBorder="1" applyAlignment="1" applyProtection="1">
      <alignment horizontal="right" vertical="center"/>
      <protection/>
    </xf>
    <xf numFmtId="164" fontId="3" fillId="0" borderId="0" xfId="69" applyNumberFormat="1" applyFont="1" applyBorder="1" applyAlignment="1" applyProtection="1">
      <alignment vertical="center"/>
      <protection/>
    </xf>
    <xf numFmtId="0" fontId="0" fillId="0" borderId="0" xfId="69" applyFont="1" applyAlignment="1" applyProtection="1">
      <alignment horizontal="left" vertical="center"/>
      <protection/>
    </xf>
    <xf numFmtId="3" fontId="3" fillId="0" borderId="19" xfId="69" applyNumberFormat="1" applyFont="1" applyBorder="1" applyAlignment="1" applyProtection="1">
      <alignment horizontal="right" vertical="center"/>
      <protection/>
    </xf>
    <xf numFmtId="42" fontId="0" fillId="37" borderId="0" xfId="50" applyNumberFormat="1" applyFont="1" applyFill="1" applyBorder="1" applyAlignment="1" applyProtection="1">
      <alignment vertical="center"/>
      <protection/>
    </xf>
    <xf numFmtId="164" fontId="3" fillId="0" borderId="0" xfId="77" applyNumberFormat="1" applyFont="1" applyBorder="1" applyAlignment="1" applyProtection="1">
      <alignment vertical="center"/>
      <protection/>
    </xf>
    <xf numFmtId="0" fontId="1" fillId="0" borderId="0" xfId="45" applyNumberFormat="1" applyFont="1" applyFill="1" applyBorder="1" applyAlignment="1" applyProtection="1">
      <alignment horizontal="left" vertical="center"/>
      <protection/>
    </xf>
    <xf numFmtId="0" fontId="54" fillId="0" borderId="0" xfId="69" applyFont="1" applyAlignment="1">
      <alignment vertical="center"/>
      <protection/>
    </xf>
    <xf numFmtId="0" fontId="54" fillId="0" borderId="0" xfId="69" applyFont="1" applyAlignment="1">
      <alignment/>
      <protection/>
    </xf>
    <xf numFmtId="0" fontId="47" fillId="32" borderId="0" xfId="28" applyFont="1" applyFill="1" applyBorder="1" applyAlignment="1" applyProtection="1">
      <alignment vertical="center"/>
      <protection/>
    </xf>
    <xf numFmtId="0" fontId="0" fillId="0" borderId="0" xfId="69" applyFont="1" applyAlignment="1" applyProtection="1">
      <alignment horizontal="center"/>
      <protection/>
    </xf>
    <xf numFmtId="0" fontId="0" fillId="0" borderId="0" xfId="69" applyFont="1" applyAlignment="1" applyProtection="1">
      <alignment vertical="top"/>
      <protection/>
    </xf>
    <xf numFmtId="0" fontId="0" fillId="0" borderId="0" xfId="69" applyFont="1" applyBorder="1">
      <alignment/>
      <protection/>
    </xf>
    <xf numFmtId="0" fontId="0" fillId="0" borderId="0" xfId="45" applyNumberFormat="1" applyFont="1" applyFill="1" applyBorder="1" applyAlignment="1" applyProtection="1">
      <alignment horizontal="center"/>
      <protection/>
    </xf>
    <xf numFmtId="0" fontId="0" fillId="0" borderId="0" xfId="69" applyFont="1" applyFill="1" applyAlignment="1" applyProtection="1">
      <alignment wrapText="1"/>
      <protection/>
    </xf>
    <xf numFmtId="0" fontId="3" fillId="0" borderId="54" xfId="69" applyFont="1" applyBorder="1" applyAlignment="1" applyProtection="1">
      <alignment horizontal="center" vertical="center" wrapText="1"/>
      <protection/>
    </xf>
    <xf numFmtId="0" fontId="3" fillId="0" borderId="44" xfId="69" applyFont="1" applyBorder="1" applyAlignment="1" applyProtection="1">
      <alignment horizontal="center" vertical="center" wrapText="1"/>
      <protection/>
    </xf>
    <xf numFmtId="0" fontId="3" fillId="0" borderId="73" xfId="69" applyFont="1" applyBorder="1" applyAlignment="1" applyProtection="1">
      <alignment horizontal="center" vertical="center" wrapText="1"/>
      <protection/>
    </xf>
    <xf numFmtId="0" fontId="3" fillId="0" borderId="45" xfId="69" applyFont="1" applyBorder="1" applyAlignment="1" applyProtection="1">
      <alignment horizontal="center" vertical="center" wrapText="1"/>
      <protection/>
    </xf>
    <xf numFmtId="0" fontId="3" fillId="0" borderId="48" xfId="69" applyFont="1" applyBorder="1" applyAlignment="1" applyProtection="1">
      <alignment horizontal="center" vertical="center" wrapText="1"/>
      <protection/>
    </xf>
    <xf numFmtId="0" fontId="3" fillId="0" borderId="64" xfId="69" applyFont="1" applyBorder="1" applyAlignment="1" applyProtection="1">
      <alignment horizontal="center" vertical="center" wrapText="1"/>
      <protection/>
    </xf>
    <xf numFmtId="0" fontId="3" fillId="0" borderId="74" xfId="69" applyFont="1" applyBorder="1" applyAlignment="1" applyProtection="1">
      <alignment horizontal="center" vertical="center" wrapText="1"/>
      <protection/>
    </xf>
    <xf numFmtId="0" fontId="3" fillId="0" borderId="32" xfId="69" applyFont="1" applyBorder="1" applyAlignment="1" applyProtection="1">
      <alignment horizontal="center" vertical="center" wrapText="1"/>
      <protection/>
    </xf>
    <xf numFmtId="0" fontId="3" fillId="0" borderId="75" xfId="69" applyFont="1" applyBorder="1" applyAlignment="1" applyProtection="1">
      <alignment horizontal="center" vertical="center" wrapText="1"/>
      <protection/>
    </xf>
    <xf numFmtId="0" fontId="3" fillId="0" borderId="52" xfId="69" applyFont="1" applyBorder="1" applyAlignment="1" applyProtection="1">
      <alignment horizontal="center" vertical="center" wrapText="1"/>
      <protection/>
    </xf>
    <xf numFmtId="9" fontId="0" fillId="0" borderId="51" xfId="77" applyFont="1" applyFill="1" applyBorder="1" applyAlignment="1" applyProtection="1">
      <alignment horizontal="center"/>
      <protection/>
    </xf>
    <xf numFmtId="9" fontId="0" fillId="0" borderId="31" xfId="77" applyFont="1" applyFill="1" applyBorder="1" applyAlignment="1" applyProtection="1">
      <alignment horizontal="center"/>
      <protection/>
    </xf>
    <xf numFmtId="3" fontId="0" fillId="0" borderId="75" xfId="69" applyNumberFormat="1" applyFont="1" applyFill="1" applyBorder="1" applyAlignment="1" applyProtection="1">
      <alignment horizontal="center"/>
      <protection/>
    </xf>
    <xf numFmtId="3" fontId="0" fillId="0" borderId="39" xfId="69" applyNumberFormat="1" applyFont="1" applyFill="1" applyBorder="1" applyAlignment="1" applyProtection="1">
      <alignment horizontal="center"/>
      <protection/>
    </xf>
    <xf numFmtId="9" fontId="0" fillId="0" borderId="32" xfId="77" applyNumberFormat="1" applyFont="1" applyFill="1" applyBorder="1" applyAlignment="1" applyProtection="1">
      <alignment horizontal="center"/>
      <protection/>
    </xf>
    <xf numFmtId="164" fontId="0" fillId="0" borderId="75" xfId="69" applyNumberFormat="1" applyFont="1" applyFill="1" applyBorder="1" applyAlignment="1" applyProtection="1">
      <alignment horizontal="center"/>
      <protection/>
    </xf>
    <xf numFmtId="3" fontId="0" fillId="0" borderId="52" xfId="69" applyNumberFormat="1" applyFont="1" applyFill="1" applyBorder="1" applyAlignment="1" applyProtection="1">
      <alignment horizontal="center"/>
      <protection/>
    </xf>
    <xf numFmtId="9" fontId="0" fillId="0" borderId="33" xfId="77" applyNumberFormat="1" applyFont="1" applyFill="1" applyBorder="1" applyAlignment="1" applyProtection="1">
      <alignment horizontal="center"/>
      <protection/>
    </xf>
    <xf numFmtId="164" fontId="0" fillId="0" borderId="23" xfId="69" applyNumberFormat="1" applyFont="1" applyFill="1" applyBorder="1" applyAlignment="1" applyProtection="1">
      <alignment horizontal="center"/>
      <protection/>
    </xf>
    <xf numFmtId="3" fontId="0" fillId="0" borderId="40" xfId="69" applyNumberFormat="1" applyFont="1" applyFill="1" applyBorder="1" applyAlignment="1" applyProtection="1">
      <alignment horizontal="center"/>
      <protection/>
    </xf>
    <xf numFmtId="9" fontId="0" fillId="0" borderId="33" xfId="77" applyFont="1" applyFill="1" applyBorder="1" applyAlignment="1" applyProtection="1">
      <alignment horizontal="center"/>
      <protection/>
    </xf>
    <xf numFmtId="9" fontId="0" fillId="0" borderId="14" xfId="77" applyFont="1" applyFill="1" applyBorder="1" applyAlignment="1" applyProtection="1">
      <alignment horizontal="center"/>
      <protection/>
    </xf>
    <xf numFmtId="3" fontId="0" fillId="0" borderId="23" xfId="69" applyNumberFormat="1" applyFont="1" applyFill="1" applyBorder="1" applyAlignment="1" applyProtection="1">
      <alignment horizontal="center"/>
      <protection/>
    </xf>
    <xf numFmtId="9" fontId="0" fillId="0" borderId="53" xfId="77" applyFont="1" applyFill="1" applyBorder="1" applyAlignment="1" applyProtection="1">
      <alignment horizontal="center"/>
      <protection/>
    </xf>
    <xf numFmtId="9" fontId="0" fillId="0" borderId="76" xfId="77" applyFont="1" applyFill="1" applyBorder="1" applyAlignment="1" applyProtection="1">
      <alignment horizontal="center"/>
      <protection/>
    </xf>
    <xf numFmtId="3" fontId="0" fillId="0" borderId="47" xfId="69" applyNumberFormat="1" applyFont="1" applyFill="1" applyBorder="1" applyAlignment="1" applyProtection="1">
      <alignment horizontal="center"/>
      <protection/>
    </xf>
    <xf numFmtId="3" fontId="0" fillId="0" borderId="77" xfId="69" applyNumberFormat="1" applyFont="1" applyFill="1" applyBorder="1" applyAlignment="1" applyProtection="1">
      <alignment horizontal="center"/>
      <protection/>
    </xf>
    <xf numFmtId="9" fontId="0" fillId="0" borderId="53" xfId="77" applyNumberFormat="1" applyFont="1" applyFill="1" applyBorder="1" applyAlignment="1" applyProtection="1">
      <alignment horizontal="center"/>
      <protection/>
    </xf>
    <xf numFmtId="164" fontId="0" fillId="0" borderId="47" xfId="69" applyNumberFormat="1" applyFont="1" applyFill="1" applyBorder="1" applyAlignment="1" applyProtection="1">
      <alignment horizontal="center"/>
      <protection/>
    </xf>
    <xf numFmtId="3" fontId="0" fillId="0" borderId="42" xfId="69" applyNumberFormat="1" applyFont="1" applyFill="1" applyBorder="1" applyAlignment="1" applyProtection="1">
      <alignment horizontal="center"/>
      <protection/>
    </xf>
    <xf numFmtId="9" fontId="3" fillId="0" borderId="0" xfId="69" applyNumberFormat="1" applyFont="1" applyBorder="1" applyAlignment="1" applyProtection="1">
      <alignment horizontal="center"/>
      <protection/>
    </xf>
    <xf numFmtId="0" fontId="49" fillId="37" borderId="0" xfId="70" applyFont="1" applyFill="1" applyBorder="1" applyAlignment="1" applyProtection="1">
      <alignment horizontal="right" vertical="center"/>
      <protection/>
    </xf>
    <xf numFmtId="0" fontId="0" fillId="0" borderId="0" xfId="69" applyFont="1" applyAlignment="1">
      <alignment vertical="center"/>
      <protection/>
    </xf>
    <xf numFmtId="42" fontId="0" fillId="0" borderId="0" xfId="69" applyNumberFormat="1" applyFont="1" applyBorder="1" applyAlignment="1" applyProtection="1">
      <alignment/>
      <protection/>
    </xf>
    <xf numFmtId="0" fontId="0" fillId="0" borderId="0" xfId="69" applyFont="1" applyAlignment="1" applyProtection="1">
      <alignment horizontal="right" vertical="center"/>
      <protection/>
    </xf>
    <xf numFmtId="42" fontId="0" fillId="0" borderId="0" xfId="69" applyNumberFormat="1" applyFont="1" applyBorder="1" applyAlignment="1" applyProtection="1">
      <alignment vertical="center"/>
      <protection/>
    </xf>
    <xf numFmtId="0" fontId="0" fillId="0" borderId="0" xfId="69" applyFont="1" applyFill="1" applyBorder="1" applyAlignment="1" applyProtection="1" quotePrefix="1">
      <alignment vertical="center"/>
      <protection/>
    </xf>
    <xf numFmtId="174" fontId="0" fillId="0" borderId="0" xfId="50" applyNumberFormat="1" applyFont="1" applyBorder="1" applyAlignment="1" applyProtection="1">
      <alignment vertical="center"/>
      <protection/>
    </xf>
    <xf numFmtId="0" fontId="0" fillId="0" borderId="0" xfId="69" applyFont="1" applyFill="1" applyAlignment="1" applyProtection="1">
      <alignment vertical="center"/>
      <protection/>
    </xf>
    <xf numFmtId="0" fontId="0" fillId="0" borderId="0" xfId="69" applyFont="1" applyBorder="1" applyAlignment="1" applyProtection="1">
      <alignment horizontal="left" vertical="center" wrapText="1"/>
      <protection/>
    </xf>
    <xf numFmtId="0" fontId="0" fillId="0" borderId="24" xfId="0" applyBorder="1" applyAlignment="1">
      <alignment vertical="center"/>
    </xf>
    <xf numFmtId="0" fontId="0" fillId="0" borderId="28" xfId="0" applyFont="1" applyBorder="1" applyAlignment="1" applyProtection="1">
      <alignment/>
      <protection locked="0"/>
    </xf>
    <xf numFmtId="0" fontId="0" fillId="0" borderId="29" xfId="0" applyFont="1" applyBorder="1" applyAlignment="1" applyProtection="1">
      <alignment/>
      <protection locked="0"/>
    </xf>
    <xf numFmtId="0" fontId="0" fillId="0" borderId="29" xfId="0" applyBorder="1" applyAlignment="1">
      <alignment/>
    </xf>
    <xf numFmtId="0" fontId="0" fillId="0" borderId="29" xfId="0" applyFont="1" applyBorder="1" applyAlignment="1" applyProtection="1">
      <alignment/>
      <protection locked="0"/>
    </xf>
    <xf numFmtId="0" fontId="0" fillId="0" borderId="30" xfId="0" applyFont="1" applyBorder="1" applyAlignment="1" applyProtection="1">
      <alignment/>
      <protection locked="0"/>
    </xf>
    <xf numFmtId="0" fontId="23" fillId="43" borderId="0" xfId="0" applyFont="1" applyFill="1" applyAlignment="1" applyProtection="1">
      <alignment/>
      <protection locked="0"/>
    </xf>
    <xf numFmtId="0" fontId="0" fillId="4" borderId="29" xfId="0" applyFont="1" applyFill="1" applyBorder="1" applyAlignment="1" applyProtection="1">
      <alignment/>
      <protection locked="0"/>
    </xf>
    <xf numFmtId="0" fontId="3" fillId="37" borderId="45" xfId="69" applyFont="1" applyFill="1" applyBorder="1" applyAlignment="1" applyProtection="1">
      <alignment horizontal="center" vertical="center"/>
      <protection/>
    </xf>
    <xf numFmtId="0" fontId="0" fillId="0" borderId="0" xfId="0" applyFont="1" applyAlignment="1" applyProtection="1">
      <alignment horizontal="right" vertical="center"/>
      <protection locked="0"/>
    </xf>
    <xf numFmtId="0" fontId="18" fillId="0" borderId="0" xfId="69" applyFont="1" applyFill="1" applyBorder="1" applyAlignment="1" applyProtection="1">
      <alignment vertical="center"/>
      <protection/>
    </xf>
    <xf numFmtId="0" fontId="0" fillId="0" borderId="0" xfId="69" applyFill="1" applyBorder="1" applyAlignment="1">
      <alignment vertical="center"/>
      <protection/>
    </xf>
    <xf numFmtId="0" fontId="3" fillId="0" borderId="0" xfId="0" applyFont="1" applyBorder="1" applyAlignment="1" applyProtection="1">
      <alignment horizontal="right" vertical="center"/>
      <protection/>
    </xf>
    <xf numFmtId="0" fontId="0" fillId="0" borderId="0" xfId="0" applyBorder="1" applyAlignment="1" applyProtection="1">
      <alignment vertical="center"/>
      <protection/>
    </xf>
    <xf numFmtId="0" fontId="18" fillId="0" borderId="0" xfId="0" applyFont="1" applyFill="1" applyBorder="1" applyAlignment="1" applyProtection="1">
      <alignment vertical="center"/>
      <protection/>
    </xf>
    <xf numFmtId="0" fontId="3" fillId="0" borderId="0" xfId="69" applyFont="1" applyBorder="1" applyAlignment="1" applyProtection="1">
      <alignment horizontal="right" vertical="center"/>
      <protection/>
    </xf>
    <xf numFmtId="3" fontId="0" fillId="0" borderId="56" xfId="45" applyNumberFormat="1" applyFont="1" applyFill="1" applyBorder="1" applyAlignment="1">
      <alignment horizontal="center" vertical="center"/>
    </xf>
    <xf numFmtId="0" fontId="0" fillId="0" borderId="0" xfId="0" applyFill="1" applyBorder="1" applyAlignment="1" applyProtection="1">
      <alignment vertical="center"/>
      <protection/>
    </xf>
    <xf numFmtId="3" fontId="0" fillId="0" borderId="62" xfId="45" applyNumberFormat="1" applyFont="1" applyFill="1" applyBorder="1" applyAlignment="1">
      <alignment horizontal="center" vertical="center"/>
    </xf>
    <xf numFmtId="3" fontId="3" fillId="0" borderId="23" xfId="45" applyNumberFormat="1" applyFont="1" applyFill="1" applyBorder="1" applyAlignment="1">
      <alignment horizontal="center" vertical="center"/>
    </xf>
    <xf numFmtId="0" fontId="0" fillId="0" borderId="0" xfId="69" applyFont="1" applyFill="1" applyBorder="1" applyAlignment="1">
      <alignment vertical="center"/>
      <protection/>
    </xf>
    <xf numFmtId="9" fontId="0" fillId="0" borderId="0" xfId="77" applyFont="1" applyFill="1" applyBorder="1" applyAlignment="1">
      <alignment horizontal="center" vertical="center"/>
    </xf>
    <xf numFmtId="0" fontId="3" fillId="0" borderId="0" xfId="69" applyFont="1" applyFill="1" applyBorder="1" applyAlignment="1">
      <alignment horizontal="right" vertical="center"/>
      <protection/>
    </xf>
    <xf numFmtId="1" fontId="6" fillId="42" borderId="30" xfId="69" applyNumberFormat="1" applyFont="1" applyFill="1" applyBorder="1" applyAlignment="1" applyProtection="1">
      <alignment horizontal="center"/>
      <protection locked="0"/>
    </xf>
    <xf numFmtId="0" fontId="6" fillId="42" borderId="28" xfId="69" applyFont="1" applyFill="1" applyBorder="1" applyAlignment="1" applyProtection="1">
      <alignment horizontal="center"/>
      <protection locked="0"/>
    </xf>
    <xf numFmtId="0" fontId="6" fillId="42" borderId="78" xfId="69" applyNumberFormat="1" applyFont="1" applyFill="1" applyBorder="1" applyAlignment="1" applyProtection="1">
      <alignment horizontal="center"/>
      <protection locked="0"/>
    </xf>
    <xf numFmtId="1" fontId="6" fillId="42" borderId="23" xfId="69" applyNumberFormat="1" applyFont="1" applyFill="1" applyBorder="1" applyAlignment="1" applyProtection="1">
      <alignment horizontal="center"/>
      <protection locked="0"/>
    </xf>
    <xf numFmtId="3" fontId="6" fillId="42" borderId="23" xfId="45" applyNumberFormat="1" applyFont="1" applyFill="1" applyBorder="1" applyAlignment="1" applyProtection="1">
      <alignment horizontal="center"/>
      <protection locked="0"/>
    </xf>
    <xf numFmtId="0" fontId="14" fillId="0" borderId="15" xfId="69" applyFont="1" applyFill="1" applyBorder="1" applyAlignment="1" applyProtection="1">
      <alignment horizontal="center"/>
      <protection/>
    </xf>
    <xf numFmtId="0" fontId="19" fillId="0" borderId="0" xfId="0" applyFont="1" applyBorder="1" applyAlignment="1" applyProtection="1">
      <alignment horizontal="left" vertical="center" indent="1"/>
      <protection/>
    </xf>
    <xf numFmtId="0" fontId="0" fillId="0" borderId="0" xfId="69" applyFont="1" applyFill="1" applyBorder="1">
      <alignment/>
      <protection/>
    </xf>
    <xf numFmtId="0" fontId="0" fillId="0" borderId="0" xfId="69" applyFont="1" applyBorder="1" applyProtection="1">
      <alignment/>
      <protection locked="0"/>
    </xf>
    <xf numFmtId="0" fontId="0" fillId="0" borderId="0" xfId="69" applyFont="1" applyFill="1" applyBorder="1" applyProtection="1">
      <alignment/>
      <protection locked="0"/>
    </xf>
    <xf numFmtId="0" fontId="0" fillId="0" borderId="0" xfId="69" applyFont="1" applyAlignment="1" applyProtection="1">
      <alignment horizontal="left"/>
      <protection locked="0"/>
    </xf>
    <xf numFmtId="0" fontId="0" fillId="0" borderId="0" xfId="69" applyFont="1" applyFill="1" applyProtection="1">
      <alignment/>
      <protection locked="0"/>
    </xf>
    <xf numFmtId="0" fontId="32" fillId="33" borderId="0" xfId="69" applyFont="1" applyFill="1" applyProtection="1">
      <alignment/>
      <protection/>
    </xf>
    <xf numFmtId="0" fontId="32" fillId="33" borderId="0" xfId="69" applyFont="1" applyFill="1" applyBorder="1" applyProtection="1">
      <alignment/>
      <protection/>
    </xf>
    <xf numFmtId="0" fontId="32" fillId="33" borderId="0" xfId="69" applyFont="1" applyFill="1" applyBorder="1">
      <alignment/>
      <protection/>
    </xf>
    <xf numFmtId="0" fontId="2" fillId="33" borderId="0" xfId="69" applyFont="1" applyFill="1" applyBorder="1" applyAlignment="1" applyProtection="1">
      <alignment/>
      <protection/>
    </xf>
    <xf numFmtId="0" fontId="32" fillId="33" borderId="0" xfId="69" applyFont="1" applyFill="1" applyBorder="1" applyAlignment="1" applyProtection="1">
      <alignment/>
      <protection/>
    </xf>
    <xf numFmtId="0" fontId="55" fillId="33" borderId="0" xfId="69" applyFont="1" applyFill="1" applyBorder="1" applyAlignment="1" applyProtection="1">
      <alignment horizontal="center" vertical="center"/>
      <protection/>
    </xf>
    <xf numFmtId="1" fontId="56" fillId="33" borderId="0" xfId="69" applyNumberFormat="1" applyFont="1" applyFill="1" applyBorder="1" applyAlignment="1" applyProtection="1">
      <alignment horizontal="center" vertical="center"/>
      <protection/>
    </xf>
    <xf numFmtId="2" fontId="56" fillId="33" borderId="0" xfId="69" applyNumberFormat="1" applyFont="1" applyFill="1" applyBorder="1" applyAlignment="1" applyProtection="1">
      <alignment horizontal="center" vertical="center"/>
      <protection/>
    </xf>
    <xf numFmtId="0" fontId="56" fillId="33" borderId="0" xfId="69" applyFont="1" applyFill="1" applyBorder="1" applyAlignment="1" applyProtection="1">
      <alignment horizontal="center" vertical="center"/>
      <protection/>
    </xf>
    <xf numFmtId="1" fontId="32" fillId="33" borderId="0" xfId="69" applyNumberFormat="1" applyFont="1" applyFill="1" applyBorder="1" applyAlignment="1" applyProtection="1">
      <alignment horizontal="center"/>
      <protection/>
    </xf>
    <xf numFmtId="14" fontId="0" fillId="0" borderId="0" xfId="69" applyNumberFormat="1" applyFont="1" applyFill="1" applyBorder="1" applyProtection="1">
      <alignment/>
      <protection/>
    </xf>
    <xf numFmtId="14" fontId="0" fillId="0" borderId="0" xfId="69" applyNumberFormat="1" applyFill="1" applyProtection="1">
      <alignment/>
      <protection/>
    </xf>
    <xf numFmtId="14" fontId="0" fillId="0" borderId="0" xfId="0" applyNumberFormat="1" applyAlignment="1">
      <alignment/>
    </xf>
    <xf numFmtId="0" fontId="0" fillId="0" borderId="0" xfId="0" applyFont="1" applyFill="1" applyAlignment="1" applyProtection="1">
      <alignment vertical="center"/>
      <protection locked="0"/>
    </xf>
    <xf numFmtId="0" fontId="0" fillId="0" borderId="0" xfId="0" applyFill="1" applyBorder="1" applyAlignment="1">
      <alignment vertical="center"/>
    </xf>
    <xf numFmtId="174" fontId="0" fillId="0" borderId="21" xfId="48" applyNumberFormat="1" applyFont="1" applyFill="1" applyBorder="1" applyAlignment="1">
      <alignment vertical="center"/>
    </xf>
    <xf numFmtId="0" fontId="0" fillId="0" borderId="24" xfId="0" applyFont="1" applyFill="1" applyBorder="1" applyAlignment="1">
      <alignment vertical="center"/>
    </xf>
    <xf numFmtId="0" fontId="11" fillId="33" borderId="0" xfId="69" applyFont="1" applyFill="1" applyBorder="1" applyAlignment="1" applyProtection="1">
      <alignment vertical="top" wrapText="1"/>
      <protection/>
    </xf>
    <xf numFmtId="0" fontId="0" fillId="0" borderId="0" xfId="72" applyFont="1" applyBorder="1">
      <alignment/>
      <protection/>
    </xf>
    <xf numFmtId="0" fontId="0" fillId="0" borderId="0" xfId="72" applyFont="1" applyBorder="1" applyAlignment="1">
      <alignment horizontal="right"/>
      <protection/>
    </xf>
    <xf numFmtId="0" fontId="0" fillId="0" borderId="0" xfId="72" applyFont="1" applyBorder="1" applyProtection="1">
      <alignment/>
      <protection locked="0"/>
    </xf>
    <xf numFmtId="0" fontId="54" fillId="0" borderId="0" xfId="69" applyFont="1" applyAlignment="1" applyProtection="1">
      <alignment/>
      <protection/>
    </xf>
    <xf numFmtId="0" fontId="54" fillId="0" borderId="0" xfId="69" applyFont="1" applyAlignment="1" applyProtection="1">
      <alignment vertical="center"/>
      <protection/>
    </xf>
    <xf numFmtId="0" fontId="3" fillId="37" borderId="43" xfId="69" applyFont="1" applyFill="1" applyBorder="1" applyAlignment="1" applyProtection="1">
      <alignment horizontal="center" vertical="center"/>
      <protection/>
    </xf>
    <xf numFmtId="0" fontId="14" fillId="37" borderId="79" xfId="69" applyNumberFormat="1" applyFont="1" applyFill="1" applyBorder="1" applyAlignment="1" applyProtection="1">
      <alignment horizontal="center"/>
      <protection/>
    </xf>
    <xf numFmtId="0" fontId="0" fillId="0" borderId="21" xfId="69" applyFill="1" applyBorder="1" applyAlignment="1" applyProtection="1">
      <alignment vertical="center"/>
      <protection/>
    </xf>
    <xf numFmtId="0" fontId="16" fillId="33" borderId="0" xfId="69" applyFont="1" applyFill="1" applyBorder="1" applyAlignment="1" applyProtection="1">
      <alignment horizontal="left" vertical="top" wrapText="1"/>
      <protection/>
    </xf>
    <xf numFmtId="37" fontId="0" fillId="36" borderId="28" xfId="69" applyNumberFormat="1" applyFont="1" applyFill="1" applyBorder="1" applyAlignment="1" applyProtection="1">
      <alignment horizontal="center"/>
      <protection/>
    </xf>
    <xf numFmtId="37" fontId="0" fillId="36" borderId="30" xfId="45" applyNumberFormat="1" applyFont="1" applyFill="1" applyBorder="1" applyAlignment="1" applyProtection="1">
      <alignment horizontal="center"/>
      <protection/>
    </xf>
    <xf numFmtId="1" fontId="0" fillId="36" borderId="28" xfId="69" applyNumberFormat="1" applyFont="1" applyFill="1" applyBorder="1" applyAlignment="1" applyProtection="1">
      <alignment horizontal="center"/>
      <protection/>
    </xf>
    <xf numFmtId="2" fontId="0" fillId="36" borderId="23" xfId="69" applyNumberFormat="1" applyFont="1" applyFill="1" applyBorder="1" applyAlignment="1" applyProtection="1">
      <alignment horizontal="center"/>
      <protection/>
    </xf>
    <xf numFmtId="0" fontId="0" fillId="0" borderId="0" xfId="0" applyFont="1" applyAlignment="1" applyProtection="1">
      <alignment/>
      <protection/>
    </xf>
    <xf numFmtId="0" fontId="3" fillId="0" borderId="32" xfId="0" applyFont="1" applyBorder="1" applyAlignment="1" applyProtection="1">
      <alignment horizontal="center" vertical="center" wrapText="1"/>
      <protection locked="0"/>
    </xf>
    <xf numFmtId="0" fontId="0" fillId="0" borderId="80" xfId="0" applyBorder="1" applyAlignment="1" applyProtection="1">
      <alignment horizontal="center" vertical="center" wrapText="1"/>
      <protection locked="0"/>
    </xf>
    <xf numFmtId="0" fontId="55" fillId="44" borderId="79" xfId="0" applyFont="1" applyFill="1" applyBorder="1" applyAlignment="1">
      <alignment vertical="center"/>
    </xf>
    <xf numFmtId="0" fontId="55" fillId="44" borderId="81" xfId="0" applyFont="1" applyFill="1" applyBorder="1" applyAlignment="1">
      <alignment vertical="center"/>
    </xf>
    <xf numFmtId="0" fontId="1" fillId="0" borderId="13" xfId="0" applyFont="1" applyBorder="1" applyAlignment="1">
      <alignment vertical="top"/>
    </xf>
    <xf numFmtId="0" fontId="32" fillId="37" borderId="0" xfId="0" applyFont="1" applyFill="1" applyAlignment="1">
      <alignment/>
    </xf>
    <xf numFmtId="14" fontId="50" fillId="0" borderId="0" xfId="69" applyNumberFormat="1" applyFont="1" applyFill="1" applyBorder="1" applyAlignment="1" applyProtection="1">
      <alignment horizontal="right"/>
      <protection/>
    </xf>
    <xf numFmtId="14" fontId="50" fillId="0" borderId="0" xfId="69" applyNumberFormat="1" applyFont="1" applyAlignment="1" applyProtection="1">
      <alignment horizontal="right"/>
      <protection/>
    </xf>
    <xf numFmtId="0" fontId="34" fillId="0" borderId="0" xfId="0" applyFont="1" applyAlignment="1">
      <alignment/>
    </xf>
    <xf numFmtId="0" fontId="34" fillId="0" borderId="0" xfId="0" applyFont="1" applyAlignment="1">
      <alignment horizontal="left" indent="2"/>
    </xf>
    <xf numFmtId="0" fontId="0" fillId="37" borderId="48" xfId="69" applyFont="1" applyFill="1" applyBorder="1">
      <alignment/>
      <protection/>
    </xf>
    <xf numFmtId="0" fontId="0" fillId="37" borderId="49" xfId="69" applyFont="1" applyFill="1" applyBorder="1">
      <alignment/>
      <protection/>
    </xf>
    <xf numFmtId="164" fontId="0" fillId="37" borderId="50" xfId="69" applyNumberFormat="1" applyFont="1" applyFill="1" applyBorder="1">
      <alignment/>
      <protection/>
    </xf>
    <xf numFmtId="0" fontId="0" fillId="37" borderId="25" xfId="69" applyFont="1" applyFill="1" applyBorder="1">
      <alignment/>
      <protection/>
    </xf>
    <xf numFmtId="0" fontId="0" fillId="37" borderId="0" xfId="69" applyFont="1" applyFill="1" applyBorder="1">
      <alignment/>
      <protection/>
    </xf>
    <xf numFmtId="0" fontId="0" fillId="37" borderId="34" xfId="69" applyFont="1" applyFill="1" applyBorder="1">
      <alignment/>
      <protection/>
    </xf>
    <xf numFmtId="0" fontId="0" fillId="37" borderId="35" xfId="69" applyFont="1" applyFill="1" applyBorder="1">
      <alignment/>
      <protection/>
    </xf>
    <xf numFmtId="0" fontId="0" fillId="37" borderId="36" xfId="69" applyFont="1" applyFill="1" applyBorder="1">
      <alignment/>
      <protection/>
    </xf>
    <xf numFmtId="166" fontId="0" fillId="37" borderId="37" xfId="69" applyNumberFormat="1" applyFont="1" applyFill="1" applyBorder="1">
      <alignment/>
      <protection/>
    </xf>
    <xf numFmtId="0" fontId="0" fillId="0" borderId="23" xfId="69" applyFont="1" applyFill="1" applyBorder="1" applyProtection="1">
      <alignment/>
      <protection locked="0"/>
    </xf>
    <xf numFmtId="0" fontId="0" fillId="35" borderId="0" xfId="69" applyFont="1" applyFill="1" applyProtection="1">
      <alignment/>
      <protection/>
    </xf>
    <xf numFmtId="164" fontId="0" fillId="0" borderId="0" xfId="69" applyNumberFormat="1" applyFont="1" applyFill="1" applyBorder="1" applyProtection="1">
      <alignment/>
      <protection/>
    </xf>
    <xf numFmtId="0" fontId="37" fillId="0" borderId="0" xfId="69" applyFont="1" applyFill="1" applyBorder="1" applyAlignment="1" applyProtection="1">
      <alignment/>
      <protection/>
    </xf>
    <xf numFmtId="0" fontId="3" fillId="0" borderId="0" xfId="69" applyFont="1" applyFill="1" applyBorder="1" applyAlignment="1" applyProtection="1">
      <alignment horizontal="center"/>
      <protection/>
    </xf>
    <xf numFmtId="0" fontId="3" fillId="0" borderId="0" xfId="69" applyFont="1" applyFill="1" applyBorder="1" applyAlignment="1" applyProtection="1">
      <alignment/>
      <protection/>
    </xf>
    <xf numFmtId="0" fontId="0" fillId="0" borderId="0" xfId="69" applyFont="1" applyFill="1" applyBorder="1" applyAlignment="1" applyProtection="1">
      <alignment/>
      <protection/>
    </xf>
    <xf numFmtId="0" fontId="0" fillId="0" borderId="0" xfId="69" applyFont="1" applyFill="1" applyBorder="1" applyAlignment="1" applyProtection="1">
      <alignment horizontal="center"/>
      <protection/>
    </xf>
    <xf numFmtId="170" fontId="0" fillId="0" borderId="0" xfId="77" applyNumberFormat="1" applyFont="1" applyFill="1" applyBorder="1" applyAlignment="1" applyProtection="1">
      <alignment horizontal="center"/>
      <protection/>
    </xf>
    <xf numFmtId="9" fontId="0" fillId="0" borderId="0" xfId="69" applyNumberFormat="1" applyFont="1" applyFill="1" applyBorder="1" applyProtection="1">
      <alignment/>
      <protection/>
    </xf>
    <xf numFmtId="0" fontId="37" fillId="0" borderId="0" xfId="69" applyFont="1" applyFill="1" applyBorder="1" applyAlignment="1" applyProtection="1">
      <alignment horizontal="left"/>
      <protection/>
    </xf>
    <xf numFmtId="0" fontId="0" fillId="0" borderId="0" xfId="69" applyFont="1" applyFill="1" applyBorder="1" applyAlignment="1" applyProtection="1">
      <alignment horizontal="left"/>
      <protection/>
    </xf>
    <xf numFmtId="2" fontId="0" fillId="0" borderId="0" xfId="69" applyNumberFormat="1" applyFont="1" applyFill="1" applyBorder="1" applyAlignment="1" applyProtection="1">
      <alignment horizontal="center"/>
      <protection/>
    </xf>
    <xf numFmtId="2" fontId="0" fillId="0" borderId="0" xfId="69" applyNumberFormat="1" applyFont="1" applyFill="1" applyBorder="1" applyAlignment="1" applyProtection="1">
      <alignment horizontal="left"/>
      <protection/>
    </xf>
    <xf numFmtId="1" fontId="0" fillId="0" borderId="0" xfId="69" applyNumberFormat="1" applyFont="1" applyFill="1" applyBorder="1" applyAlignment="1" applyProtection="1">
      <alignment horizontal="center"/>
      <protection/>
    </xf>
    <xf numFmtId="175" fontId="0" fillId="0" borderId="0" xfId="45" applyNumberFormat="1" applyFont="1" applyFill="1" applyBorder="1" applyAlignment="1" applyProtection="1">
      <alignment/>
      <protection/>
    </xf>
    <xf numFmtId="10" fontId="0" fillId="0" borderId="0" xfId="69" applyNumberFormat="1" applyFont="1" applyFill="1" applyBorder="1" applyAlignment="1" applyProtection="1">
      <alignment horizontal="center"/>
      <protection/>
    </xf>
    <xf numFmtId="9" fontId="0" fillId="0" borderId="0" xfId="69" applyNumberFormat="1" applyFont="1" applyFill="1" applyBorder="1" applyAlignment="1" applyProtection="1">
      <alignment horizontal="center"/>
      <protection/>
    </xf>
    <xf numFmtId="9" fontId="0" fillId="0" borderId="0" xfId="77" applyFont="1" applyFill="1" applyBorder="1" applyAlignment="1" applyProtection="1">
      <alignment horizontal="center"/>
      <protection/>
    </xf>
    <xf numFmtId="164" fontId="0" fillId="0" borderId="0" xfId="69" applyNumberFormat="1" applyFont="1" applyFill="1" applyBorder="1" applyAlignment="1" applyProtection="1">
      <alignment horizontal="center"/>
      <protection/>
    </xf>
    <xf numFmtId="3" fontId="0" fillId="0" borderId="0" xfId="69" applyNumberFormat="1" applyFont="1" applyFill="1" applyBorder="1" applyAlignment="1" applyProtection="1">
      <alignment horizontal="center"/>
      <protection/>
    </xf>
    <xf numFmtId="168" fontId="0" fillId="0" borderId="0" xfId="69" applyNumberFormat="1" applyFont="1" applyFill="1" applyBorder="1" applyAlignment="1" applyProtection="1">
      <alignment horizontal="center"/>
      <protection/>
    </xf>
    <xf numFmtId="2" fontId="3" fillId="0" borderId="0" xfId="69" applyNumberFormat="1" applyFont="1" applyFill="1" applyBorder="1" applyAlignment="1" applyProtection="1">
      <alignment horizontal="center"/>
      <protection/>
    </xf>
    <xf numFmtId="9" fontId="3" fillId="37" borderId="0" xfId="69" applyNumberFormat="1" applyFont="1" applyFill="1" applyBorder="1" applyAlignment="1" applyProtection="1">
      <alignment horizontal="center"/>
      <protection/>
    </xf>
    <xf numFmtId="9" fontId="6" fillId="42" borderId="23" xfId="69" applyNumberFormat="1" applyFont="1" applyFill="1" applyBorder="1" applyAlignment="1" applyProtection="1">
      <alignment horizontal="center"/>
      <protection locked="0"/>
    </xf>
    <xf numFmtId="0" fontId="3" fillId="0" borderId="0" xfId="69" applyFont="1" applyFill="1" applyProtection="1">
      <alignment/>
      <protection/>
    </xf>
    <xf numFmtId="0" fontId="0" fillId="0" borderId="0" xfId="0" applyFont="1" applyAlignment="1" applyProtection="1">
      <alignment horizontal="left" indent="2"/>
      <protection locked="0"/>
    </xf>
    <xf numFmtId="9" fontId="3" fillId="0" borderId="0" xfId="69" applyNumberFormat="1" applyFont="1" applyBorder="1" applyAlignment="1" applyProtection="1">
      <alignment horizontal="left"/>
      <protection/>
    </xf>
    <xf numFmtId="3" fontId="3" fillId="0" borderId="23" xfId="69" applyNumberFormat="1" applyFont="1" applyBorder="1" applyAlignment="1" applyProtection="1">
      <alignment horizontal="center"/>
      <protection/>
    </xf>
    <xf numFmtId="0" fontId="3" fillId="0" borderId="0" xfId="0" applyFont="1" applyAlignment="1">
      <alignment/>
    </xf>
    <xf numFmtId="0" fontId="0" fillId="33" borderId="0" xfId="0" applyNumberFormat="1" applyFont="1" applyFill="1" applyAlignment="1">
      <alignment/>
    </xf>
    <xf numFmtId="0" fontId="0" fillId="0" borderId="0" xfId="0" applyFont="1" applyAlignment="1" applyProtection="1">
      <alignment horizontal="right"/>
      <protection locked="0"/>
    </xf>
    <xf numFmtId="0" fontId="7" fillId="0" borderId="0" xfId="0" applyFont="1" applyAlignment="1" applyProtection="1">
      <alignment/>
      <protection locked="0"/>
    </xf>
    <xf numFmtId="0" fontId="0" fillId="0" borderId="0" xfId="69" applyFont="1" applyFill="1" applyBorder="1" applyAlignment="1" applyProtection="1">
      <alignment horizontal="left" vertical="top" indent="2"/>
      <protection/>
    </xf>
    <xf numFmtId="0" fontId="2" fillId="32" borderId="0" xfId="69" applyFont="1" applyFill="1" applyBorder="1" applyAlignment="1" applyProtection="1">
      <alignment/>
      <protection/>
    </xf>
    <xf numFmtId="0" fontId="7" fillId="0" borderId="0" xfId="0" applyFont="1" applyFill="1" applyAlignment="1" applyProtection="1">
      <alignment vertical="top"/>
      <protection locked="0"/>
    </xf>
    <xf numFmtId="0" fontId="0" fillId="33" borderId="0" xfId="0" applyFont="1" applyFill="1" applyAlignment="1">
      <alignment/>
    </xf>
    <xf numFmtId="0" fontId="7" fillId="0" borderId="0" xfId="0" applyFont="1" applyAlignment="1">
      <alignment/>
    </xf>
    <xf numFmtId="3" fontId="0" fillId="0" borderId="0" xfId="72" applyNumberFormat="1" applyFont="1" applyBorder="1">
      <alignment/>
      <protection/>
    </xf>
    <xf numFmtId="9" fontId="0" fillId="0" borderId="0" xfId="72" applyNumberFormat="1" applyFont="1" applyBorder="1">
      <alignment/>
      <protection/>
    </xf>
    <xf numFmtId="2" fontId="0" fillId="0" borderId="0" xfId="72" applyNumberFormat="1" applyFont="1" applyBorder="1">
      <alignment/>
      <protection/>
    </xf>
    <xf numFmtId="176" fontId="0" fillId="0" borderId="0" xfId="45" applyNumberFormat="1" applyFont="1" applyBorder="1" applyAlignment="1">
      <alignment/>
    </xf>
    <xf numFmtId="0" fontId="52" fillId="0" borderId="0" xfId="72" applyFont="1">
      <alignment/>
      <protection/>
    </xf>
    <xf numFmtId="0" fontId="52" fillId="0" borderId="54" xfId="72" applyFont="1" applyBorder="1" applyAlignment="1">
      <alignment horizontal="center" wrapText="1"/>
      <protection/>
    </xf>
    <xf numFmtId="0" fontId="52" fillId="0" borderId="44" xfId="72" applyFont="1" applyBorder="1" applyAlignment="1">
      <alignment horizontal="center" wrapText="1"/>
      <protection/>
    </xf>
    <xf numFmtId="0" fontId="52" fillId="0" borderId="44" xfId="72" applyFont="1" applyBorder="1" applyAlignment="1">
      <alignment wrapText="1"/>
      <protection/>
    </xf>
    <xf numFmtId="0" fontId="52" fillId="0" borderId="45" xfId="72" applyFont="1" applyBorder="1" applyAlignment="1">
      <alignment wrapText="1"/>
      <protection/>
    </xf>
    <xf numFmtId="0" fontId="52" fillId="0" borderId="55" xfId="72" applyFont="1" applyBorder="1">
      <alignment/>
      <protection/>
    </xf>
    <xf numFmtId="3" fontId="52" fillId="0" borderId="56" xfId="72" applyNumberFormat="1" applyFont="1" applyBorder="1">
      <alignment/>
      <protection/>
    </xf>
    <xf numFmtId="9" fontId="52" fillId="0" borderId="56" xfId="72" applyNumberFormat="1" applyFont="1" applyBorder="1">
      <alignment/>
      <protection/>
    </xf>
    <xf numFmtId="170" fontId="52" fillId="0" borderId="56" xfId="72" applyNumberFormat="1" applyFont="1" applyBorder="1">
      <alignment/>
      <protection/>
    </xf>
    <xf numFmtId="2" fontId="52" fillId="0" borderId="57" xfId="72" applyNumberFormat="1" applyFont="1" applyBorder="1">
      <alignment/>
      <protection/>
    </xf>
    <xf numFmtId="1" fontId="52" fillId="0" borderId="57" xfId="72" applyNumberFormat="1" applyFont="1" applyBorder="1">
      <alignment/>
      <protection/>
    </xf>
    <xf numFmtId="0" fontId="52" fillId="0" borderId="58" xfId="72" applyFont="1" applyBorder="1">
      <alignment/>
      <protection/>
    </xf>
    <xf numFmtId="0" fontId="52" fillId="0" borderId="61" xfId="72" applyFont="1" applyBorder="1">
      <alignment/>
      <protection/>
    </xf>
    <xf numFmtId="0" fontId="52" fillId="0" borderId="54" xfId="72" applyFont="1" applyBorder="1">
      <alignment/>
      <protection/>
    </xf>
    <xf numFmtId="3" fontId="52" fillId="0" borderId="44" xfId="72" applyNumberFormat="1" applyFont="1" applyBorder="1">
      <alignment/>
      <protection/>
    </xf>
    <xf numFmtId="9" fontId="52" fillId="0" borderId="44" xfId="72" applyNumberFormat="1" applyFont="1" applyBorder="1">
      <alignment/>
      <protection/>
    </xf>
    <xf numFmtId="0" fontId="52" fillId="0" borderId="44" xfId="72" applyFont="1" applyBorder="1">
      <alignment/>
      <protection/>
    </xf>
    <xf numFmtId="2" fontId="52" fillId="0" borderId="45" xfId="72" applyNumberFormat="1" applyFont="1" applyBorder="1">
      <alignment/>
      <protection/>
    </xf>
    <xf numFmtId="176" fontId="52" fillId="0" borderId="45" xfId="45" applyNumberFormat="1" applyFont="1" applyBorder="1" applyAlignment="1">
      <alignment/>
    </xf>
    <xf numFmtId="1" fontId="57" fillId="42" borderId="82" xfId="45" applyNumberFormat="1" applyFont="1" applyFill="1" applyBorder="1" applyAlignment="1" applyProtection="1">
      <alignment horizontal="center" vertical="center"/>
      <protection locked="0"/>
    </xf>
    <xf numFmtId="0" fontId="1" fillId="0" borderId="13" xfId="0" applyFont="1" applyBorder="1" applyAlignment="1">
      <alignment/>
    </xf>
    <xf numFmtId="0" fontId="1" fillId="0" borderId="0" xfId="0" applyFont="1" applyBorder="1" applyAlignment="1">
      <alignment/>
    </xf>
    <xf numFmtId="0" fontId="1" fillId="0" borderId="12" xfId="0" applyFont="1" applyBorder="1" applyAlignment="1">
      <alignment/>
    </xf>
    <xf numFmtId="0" fontId="0" fillId="0" borderId="0" xfId="0" applyFont="1" applyAlignment="1" applyProtection="1">
      <alignment horizontal="left" indent="1"/>
      <protection locked="0"/>
    </xf>
    <xf numFmtId="0" fontId="0" fillId="0" borderId="0" xfId="69" applyFill="1" applyBorder="1" applyAlignment="1" applyProtection="1">
      <alignment vertical="center"/>
      <protection locked="0"/>
    </xf>
    <xf numFmtId="0" fontId="17" fillId="0" borderId="0" xfId="0" applyFont="1" applyFill="1" applyBorder="1" applyAlignment="1" applyProtection="1">
      <alignment horizontal="left"/>
      <protection locked="0"/>
    </xf>
    <xf numFmtId="0" fontId="17" fillId="0" borderId="0" xfId="0" applyFont="1" applyFill="1" applyBorder="1" applyAlignment="1" applyProtection="1">
      <alignment/>
      <protection locked="0"/>
    </xf>
    <xf numFmtId="214" fontId="0" fillId="0" borderId="0" xfId="0" applyNumberFormat="1" applyAlignment="1" applyProtection="1">
      <alignment vertical="center"/>
      <protection locked="0"/>
    </xf>
    <xf numFmtId="3" fontId="0" fillId="0" borderId="0" xfId="0" applyNumberFormat="1" applyAlignment="1">
      <alignment/>
    </xf>
    <xf numFmtId="0" fontId="36" fillId="0" borderId="0" xfId="0" applyFont="1" applyBorder="1" applyAlignment="1" applyProtection="1">
      <alignment/>
      <protection locked="0"/>
    </xf>
    <xf numFmtId="44" fontId="0" fillId="0" borderId="0" xfId="0" applyNumberFormat="1" applyFont="1" applyAlignment="1">
      <alignment/>
    </xf>
    <xf numFmtId="0" fontId="3" fillId="45" borderId="0" xfId="0" applyFont="1" applyFill="1" applyAlignment="1" applyProtection="1">
      <alignment/>
      <protection locked="0"/>
    </xf>
    <xf numFmtId="0" fontId="107" fillId="45" borderId="0" xfId="0" applyFont="1" applyFill="1" applyAlignment="1">
      <alignment/>
    </xf>
    <xf numFmtId="0" fontId="0" fillId="45" borderId="0" xfId="0" applyFill="1" applyAlignment="1" quotePrefix="1">
      <alignment/>
    </xf>
    <xf numFmtId="0" fontId="109" fillId="45" borderId="0" xfId="0" applyFont="1" applyFill="1" applyAlignment="1" quotePrefix="1">
      <alignment/>
    </xf>
    <xf numFmtId="0" fontId="107" fillId="45" borderId="0" xfId="0" applyFont="1" applyFill="1" applyAlignment="1" quotePrefix="1">
      <alignment/>
    </xf>
    <xf numFmtId="0" fontId="1" fillId="37" borderId="0" xfId="70" applyFont="1" applyFill="1" applyBorder="1" applyAlignment="1" applyProtection="1">
      <alignment horizontal="left" vertical="top"/>
      <protection/>
    </xf>
    <xf numFmtId="0" fontId="0" fillId="37" borderId="0" xfId="70" applyFill="1" applyBorder="1" applyAlignment="1" applyProtection="1">
      <alignment horizontal="left"/>
      <protection/>
    </xf>
    <xf numFmtId="0" fontId="1" fillId="37" borderId="17" xfId="70" applyFont="1" applyFill="1" applyBorder="1" applyAlignment="1" applyProtection="1">
      <alignment horizontal="left" vertical="top"/>
      <protection/>
    </xf>
    <xf numFmtId="0" fontId="0" fillId="37" borderId="10" xfId="70" applyFill="1" applyBorder="1" applyAlignment="1" applyProtection="1">
      <alignment horizontal="left"/>
      <protection/>
    </xf>
    <xf numFmtId="0" fontId="0" fillId="37" borderId="70" xfId="70" applyFill="1" applyBorder="1" applyAlignment="1" applyProtection="1">
      <alignment horizontal="left"/>
      <protection/>
    </xf>
    <xf numFmtId="0" fontId="0" fillId="37" borderId="83" xfId="70" applyFill="1" applyBorder="1" applyProtection="1">
      <alignment/>
      <protection/>
    </xf>
    <xf numFmtId="178" fontId="0" fillId="0" borderId="0" xfId="0" applyNumberFormat="1" applyAlignment="1">
      <alignment/>
    </xf>
    <xf numFmtId="178" fontId="0" fillId="0" borderId="0" xfId="0" applyNumberFormat="1" applyFont="1" applyAlignment="1">
      <alignment/>
    </xf>
    <xf numFmtId="3" fontId="0" fillId="0" borderId="0" xfId="0" applyNumberFormat="1" applyFont="1" applyAlignment="1">
      <alignment/>
    </xf>
    <xf numFmtId="6" fontId="0" fillId="0" borderId="0" xfId="0" applyNumberFormat="1" applyAlignment="1">
      <alignment/>
    </xf>
    <xf numFmtId="3" fontId="0" fillId="0" borderId="14" xfId="0" applyNumberFormat="1" applyFont="1" applyFill="1" applyBorder="1" applyAlignment="1" applyProtection="1">
      <alignment/>
      <protection locked="0"/>
    </xf>
    <xf numFmtId="6" fontId="0" fillId="0" borderId="14" xfId="0" applyNumberFormat="1" applyBorder="1" applyAlignment="1" applyProtection="1">
      <alignment/>
      <protection locked="0"/>
    </xf>
    <xf numFmtId="6" fontId="0" fillId="0" borderId="14" xfId="0" applyNumberFormat="1" applyFill="1" applyBorder="1" applyAlignment="1" applyProtection="1">
      <alignment/>
      <protection locked="0"/>
    </xf>
    <xf numFmtId="0" fontId="0" fillId="0" borderId="14" xfId="0" applyBorder="1" applyAlignment="1" applyProtection="1">
      <alignment/>
      <protection locked="0"/>
    </xf>
    <xf numFmtId="164" fontId="0" fillId="0" borderId="14" xfId="0" applyNumberFormat="1" applyBorder="1" applyAlignment="1" applyProtection="1">
      <alignment/>
      <protection locked="0"/>
    </xf>
    <xf numFmtId="2" fontId="0" fillId="0" borderId="14" xfId="0" applyNumberFormat="1" applyFill="1" applyBorder="1" applyAlignment="1" applyProtection="1">
      <alignment horizontal="center"/>
      <protection locked="0"/>
    </xf>
    <xf numFmtId="0" fontId="0" fillId="0" borderId="14" xfId="0" applyBorder="1" applyAlignment="1" applyProtection="1">
      <alignment horizontal="center"/>
      <protection locked="0"/>
    </xf>
    <xf numFmtId="6" fontId="0" fillId="4" borderId="14" xfId="0" applyNumberFormat="1" applyFill="1" applyBorder="1" applyAlignment="1" applyProtection="1">
      <alignment horizontal="center"/>
      <protection locked="0"/>
    </xf>
    <xf numFmtId="0" fontId="6" fillId="38" borderId="14" xfId="0" applyFont="1" applyFill="1" applyBorder="1" applyAlignment="1" applyProtection="1">
      <alignment horizontal="center"/>
      <protection locked="0"/>
    </xf>
    <xf numFmtId="174" fontId="0" fillId="4" borderId="14" xfId="48" applyNumberFormat="1" applyFont="1" applyFill="1" applyBorder="1" applyAlignment="1" applyProtection="1">
      <alignment horizontal="center"/>
      <protection locked="0"/>
    </xf>
    <xf numFmtId="3" fontId="0" fillId="37" borderId="14" xfId="0" applyNumberFormat="1" applyFill="1" applyBorder="1" applyAlignment="1" applyProtection="1">
      <alignment horizontal="center"/>
      <protection locked="0"/>
    </xf>
    <xf numFmtId="0" fontId="110" fillId="0" borderId="0" xfId="0" applyFont="1" applyBorder="1" applyAlignment="1">
      <alignment horizontal="right" vertical="center"/>
    </xf>
    <xf numFmtId="0" fontId="0" fillId="46" borderId="0" xfId="0" applyFill="1" applyBorder="1" applyAlignment="1" applyProtection="1">
      <alignment/>
      <protection locked="0"/>
    </xf>
    <xf numFmtId="0" fontId="0" fillId="46" borderId="0" xfId="0" applyFill="1" applyBorder="1" applyAlignment="1" applyProtection="1">
      <alignment horizontal="center"/>
      <protection locked="0"/>
    </xf>
    <xf numFmtId="0" fontId="3" fillId="46" borderId="0" xfId="0" applyFont="1" applyFill="1" applyBorder="1" applyAlignment="1" applyProtection="1">
      <alignment/>
      <protection locked="0"/>
    </xf>
    <xf numFmtId="0" fontId="0" fillId="46" borderId="0" xfId="0" applyFill="1" applyBorder="1" applyAlignment="1">
      <alignment/>
    </xf>
    <xf numFmtId="6" fontId="0" fillId="46" borderId="0" xfId="0" applyNumberFormat="1" applyFill="1" applyBorder="1" applyAlignment="1" applyProtection="1">
      <alignment horizontal="center"/>
      <protection locked="0"/>
    </xf>
    <xf numFmtId="0" fontId="23" fillId="46" borderId="0" xfId="0" applyFont="1" applyFill="1" applyBorder="1" applyAlignment="1" applyProtection="1">
      <alignment/>
      <protection/>
    </xf>
    <xf numFmtId="0" fontId="23" fillId="46" borderId="0" xfId="0" applyFont="1" applyFill="1" applyBorder="1" applyAlignment="1" applyProtection="1">
      <alignment/>
      <protection locked="0"/>
    </xf>
    <xf numFmtId="174" fontId="0" fillId="46" borderId="0" xfId="48" applyNumberFormat="1" applyFont="1" applyFill="1" applyBorder="1" applyAlignment="1" applyProtection="1">
      <alignment/>
      <protection locked="0"/>
    </xf>
    <xf numFmtId="0" fontId="23" fillId="46" borderId="0" xfId="69" applyFont="1" applyFill="1" applyBorder="1" applyProtection="1">
      <alignment/>
      <protection locked="0"/>
    </xf>
    <xf numFmtId="0" fontId="0" fillId="46" borderId="0" xfId="0" applyFill="1" applyBorder="1" applyAlignment="1" applyProtection="1">
      <alignment horizontal="left"/>
      <protection locked="0"/>
    </xf>
    <xf numFmtId="0" fontId="0" fillId="46" borderId="0" xfId="0" applyFont="1" applyFill="1" applyBorder="1" applyAlignment="1" applyProtection="1">
      <alignment/>
      <protection locked="0"/>
    </xf>
    <xf numFmtId="0" fontId="3" fillId="0" borderId="54" xfId="69" applyFont="1" applyBorder="1" applyAlignment="1" applyProtection="1">
      <alignment vertical="center"/>
      <protection locked="0"/>
    </xf>
    <xf numFmtId="14" fontId="3" fillId="0" borderId="45" xfId="69" applyNumberFormat="1" applyFont="1" applyBorder="1" applyAlignment="1" applyProtection="1">
      <alignment vertical="center"/>
      <protection locked="0"/>
    </xf>
    <xf numFmtId="0" fontId="0" fillId="0" borderId="0" xfId="69" applyProtection="1">
      <alignment/>
      <protection locked="0"/>
    </xf>
    <xf numFmtId="0" fontId="0" fillId="0" borderId="0" xfId="69" applyBorder="1" applyProtection="1">
      <alignment/>
      <protection locked="0"/>
    </xf>
    <xf numFmtId="0" fontId="0" fillId="0" borderId="0" xfId="69" applyFill="1" applyBorder="1" applyAlignment="1" applyProtection="1">
      <alignment horizontal="left"/>
      <protection locked="0"/>
    </xf>
    <xf numFmtId="0" fontId="62" fillId="46" borderId="0" xfId="69" applyFont="1" applyFill="1" applyBorder="1" applyAlignment="1">
      <alignment horizontal="center" wrapText="1"/>
      <protection/>
    </xf>
    <xf numFmtId="0" fontId="111" fillId="0" borderId="0" xfId="0" applyFont="1" applyAlignment="1">
      <alignment vertical="center"/>
    </xf>
    <xf numFmtId="0" fontId="110" fillId="46" borderId="0" xfId="0" applyFont="1" applyFill="1" applyAlignment="1">
      <alignment vertical="center"/>
    </xf>
    <xf numFmtId="0" fontId="111" fillId="47" borderId="48" xfId="0" applyFont="1" applyFill="1" applyBorder="1" applyAlignment="1">
      <alignment horizontal="center" vertical="center"/>
    </xf>
    <xf numFmtId="0" fontId="111" fillId="47" borderId="49" xfId="0" applyFont="1" applyFill="1" applyBorder="1" applyAlignment="1">
      <alignment horizontal="center" vertical="center"/>
    </xf>
    <xf numFmtId="0" fontId="111" fillId="47" borderId="50" xfId="0" applyFont="1" applyFill="1" applyBorder="1" applyAlignment="1">
      <alignment horizontal="center" vertical="center"/>
    </xf>
    <xf numFmtId="172" fontId="0" fillId="0" borderId="0" xfId="69" applyNumberFormat="1" applyFill="1" applyBorder="1" applyAlignment="1" applyProtection="1">
      <alignment horizontal="left"/>
      <protection locked="0"/>
    </xf>
    <xf numFmtId="0" fontId="110" fillId="46" borderId="0" xfId="0" applyFont="1" applyFill="1" applyBorder="1" applyAlignment="1">
      <alignment vertical="center"/>
    </xf>
    <xf numFmtId="0" fontId="111" fillId="0" borderId="41" xfId="0" applyFont="1" applyBorder="1" applyAlignment="1">
      <alignment vertical="center"/>
    </xf>
    <xf numFmtId="0" fontId="111" fillId="0" borderId="37" xfId="0" applyFont="1" applyBorder="1" applyAlignment="1">
      <alignment horizontal="center" vertical="center" wrapText="1"/>
    </xf>
    <xf numFmtId="0" fontId="111" fillId="0" borderId="37" xfId="0" applyFont="1" applyBorder="1" applyAlignment="1">
      <alignment horizontal="center" vertical="center"/>
    </xf>
    <xf numFmtId="0" fontId="110" fillId="0" borderId="48" xfId="0" applyFont="1" applyBorder="1" applyAlignment="1">
      <alignment vertical="center"/>
    </xf>
    <xf numFmtId="0" fontId="110" fillId="0" borderId="49" xfId="0" applyFont="1" applyBorder="1" applyAlignment="1">
      <alignment horizontal="right" vertical="center"/>
    </xf>
    <xf numFmtId="0" fontId="110" fillId="0" borderId="49" xfId="0" applyFont="1" applyBorder="1" applyAlignment="1">
      <alignment vertical="center"/>
    </xf>
    <xf numFmtId="8" fontId="110" fillId="0" borderId="50" xfId="0" applyNumberFormat="1" applyFont="1" applyBorder="1" applyAlignment="1">
      <alignment horizontal="right" vertical="center"/>
    </xf>
    <xf numFmtId="176" fontId="58" fillId="46" borderId="0" xfId="45" applyNumberFormat="1" applyFont="1" applyFill="1" applyBorder="1" applyAlignment="1">
      <alignment/>
    </xf>
    <xf numFmtId="0" fontId="110" fillId="0" borderId="0" xfId="0" applyFont="1" applyAlignment="1">
      <alignment vertical="center"/>
    </xf>
    <xf numFmtId="8" fontId="110" fillId="0" borderId="0" xfId="0" applyNumberFormat="1" applyFont="1" applyAlignment="1">
      <alignment horizontal="right" vertical="center"/>
    </xf>
    <xf numFmtId="0" fontId="110" fillId="0" borderId="25" xfId="0" applyFont="1" applyBorder="1" applyAlignment="1">
      <alignment vertical="center"/>
    </xf>
    <xf numFmtId="0" fontId="110" fillId="0" borderId="0" xfId="0" applyFont="1" applyBorder="1" applyAlignment="1">
      <alignment vertical="center"/>
    </xf>
    <xf numFmtId="8" fontId="110" fillId="0" borderId="34" xfId="0" applyNumberFormat="1" applyFont="1" applyBorder="1" applyAlignment="1">
      <alignment horizontal="right" vertical="center"/>
    </xf>
    <xf numFmtId="0" fontId="112" fillId="0" borderId="0" xfId="69" applyFont="1" applyFill="1" applyBorder="1" applyAlignment="1" applyProtection="1">
      <alignment horizontal="left"/>
      <protection locked="0"/>
    </xf>
    <xf numFmtId="211" fontId="58" fillId="46" borderId="0" xfId="45" applyNumberFormat="1" applyFont="1" applyFill="1" applyBorder="1" applyAlignment="1">
      <alignment/>
    </xf>
    <xf numFmtId="0" fontId="0" fillId="0" borderId="0" xfId="69" applyFont="1" applyFill="1" applyBorder="1" applyAlignment="1" applyProtection="1">
      <alignment horizontal="center"/>
      <protection locked="0"/>
    </xf>
    <xf numFmtId="0" fontId="62" fillId="46" borderId="84" xfId="69" applyFont="1" applyFill="1" applyBorder="1" applyAlignment="1">
      <alignment horizontal="left" wrapText="1"/>
      <protection/>
    </xf>
    <xf numFmtId="0" fontId="58" fillId="46" borderId="85" xfId="69" applyFont="1" applyFill="1" applyBorder="1">
      <alignment/>
      <protection/>
    </xf>
    <xf numFmtId="0" fontId="0" fillId="0" borderId="0" xfId="69" applyBorder="1" applyAlignment="1" applyProtection="1">
      <alignment horizontal="center"/>
      <protection locked="0"/>
    </xf>
    <xf numFmtId="0" fontId="58" fillId="46" borderId="25" xfId="69" applyFont="1" applyFill="1" applyBorder="1">
      <alignment/>
      <protection/>
    </xf>
    <xf numFmtId="0" fontId="62" fillId="46" borderId="78" xfId="69" applyFont="1" applyFill="1" applyBorder="1" applyAlignment="1">
      <alignment horizontal="left" wrapText="1"/>
      <protection/>
    </xf>
    <xf numFmtId="0" fontId="58" fillId="46" borderId="86" xfId="69" applyFont="1" applyFill="1" applyBorder="1">
      <alignment/>
      <protection/>
    </xf>
    <xf numFmtId="0" fontId="3" fillId="46" borderId="0" xfId="69" applyFont="1" applyFill="1" applyBorder="1" applyAlignment="1" applyProtection="1">
      <alignment horizontal="center"/>
      <protection locked="0"/>
    </xf>
    <xf numFmtId="0" fontId="62" fillId="46" borderId="15" xfId="69" applyFont="1" applyFill="1" applyBorder="1" applyAlignment="1">
      <alignment horizontal="left" wrapText="1"/>
      <protection/>
    </xf>
    <xf numFmtId="0" fontId="113" fillId="0" borderId="0" xfId="0" applyFont="1" applyAlignment="1">
      <alignment vertical="center"/>
    </xf>
    <xf numFmtId="212" fontId="113" fillId="0" borderId="0" xfId="0" applyNumberFormat="1" applyFont="1" applyAlignment="1">
      <alignment horizontal="right" vertical="center"/>
    </xf>
    <xf numFmtId="3" fontId="17" fillId="46" borderId="0" xfId="69" applyNumberFormat="1" applyFont="1" applyFill="1" applyBorder="1" applyProtection="1">
      <alignment/>
      <protection locked="0"/>
    </xf>
    <xf numFmtId="0" fontId="62" fillId="46" borderId="27" xfId="69" applyFont="1" applyFill="1" applyBorder="1" applyAlignment="1">
      <alignment horizontal="left" wrapText="1"/>
      <protection/>
    </xf>
    <xf numFmtId="0" fontId="58" fillId="46" borderId="87" xfId="69" applyFont="1" applyFill="1" applyBorder="1">
      <alignment/>
      <protection/>
    </xf>
    <xf numFmtId="0" fontId="62" fillId="48" borderId="84" xfId="69" applyFont="1" applyFill="1" applyBorder="1" applyAlignment="1">
      <alignment horizontal="left" wrapText="1"/>
      <protection/>
    </xf>
    <xf numFmtId="214" fontId="58" fillId="49" borderId="85" xfId="45" applyNumberFormat="1" applyFont="1" applyFill="1" applyBorder="1" applyAlignment="1">
      <alignment/>
    </xf>
    <xf numFmtId="6" fontId="0" fillId="46" borderId="0" xfId="69" applyNumberFormat="1" applyFill="1" applyBorder="1" applyProtection="1">
      <alignment/>
      <protection locked="0"/>
    </xf>
    <xf numFmtId="0" fontId="62" fillId="48" borderId="79" xfId="69" applyFont="1" applyFill="1" applyBorder="1" applyAlignment="1">
      <alignment horizontal="left" wrapText="1"/>
      <protection/>
    </xf>
    <xf numFmtId="214" fontId="58" fillId="49" borderId="88" xfId="45" applyNumberFormat="1" applyFont="1" applyFill="1" applyBorder="1" applyAlignment="1">
      <alignment/>
    </xf>
    <xf numFmtId="0" fontId="3" fillId="0" borderId="54" xfId="68" applyFont="1" applyBorder="1" applyAlignment="1">
      <alignment wrapText="1"/>
      <protection/>
    </xf>
    <xf numFmtId="0" fontId="3" fillId="0" borderId="44" xfId="68" applyFont="1" applyBorder="1" applyAlignment="1">
      <alignment horizontal="center" vertical="center" wrapText="1"/>
      <protection/>
    </xf>
    <xf numFmtId="0" fontId="3" fillId="0" borderId="44" xfId="68" applyFont="1" applyBorder="1" applyAlignment="1">
      <alignment horizontal="center" wrapText="1"/>
      <protection/>
    </xf>
    <xf numFmtId="0" fontId="3" fillId="0" borderId="45" xfId="68" applyFont="1" applyFill="1" applyBorder="1" applyAlignment="1">
      <alignment horizontal="center" wrapText="1"/>
      <protection/>
    </xf>
    <xf numFmtId="6" fontId="17" fillId="46" borderId="0" xfId="69" applyNumberFormat="1" applyFont="1" applyFill="1" applyBorder="1" applyProtection="1">
      <alignment/>
      <protection locked="0"/>
    </xf>
    <xf numFmtId="0" fontId="62" fillId="46" borderId="19" xfId="69" applyFont="1" applyFill="1" applyBorder="1" applyAlignment="1">
      <alignment horizontal="left" wrapText="1"/>
      <protection/>
    </xf>
    <xf numFmtId="214" fontId="58" fillId="46" borderId="89" xfId="69" applyNumberFormat="1" applyFont="1" applyFill="1" applyBorder="1">
      <alignment/>
      <protection/>
    </xf>
    <xf numFmtId="0" fontId="0" fillId="0" borderId="51" xfId="69" applyBorder="1" applyProtection="1">
      <alignment/>
      <protection locked="0"/>
    </xf>
    <xf numFmtId="2" fontId="0" fillId="0" borderId="30" xfId="68" applyNumberFormat="1" applyBorder="1" applyAlignment="1">
      <alignment horizontal="center"/>
      <protection/>
    </xf>
    <xf numFmtId="0" fontId="0" fillId="0" borderId="30" xfId="68" applyBorder="1" applyAlignment="1">
      <alignment horizontal="center"/>
      <protection/>
    </xf>
    <xf numFmtId="168" fontId="0" fillId="0" borderId="30" xfId="68" applyNumberFormat="1" applyBorder="1" applyAlignment="1">
      <alignment horizontal="center"/>
      <protection/>
    </xf>
    <xf numFmtId="9" fontId="0" fillId="0" borderId="30" xfId="68" applyNumberFormat="1" applyBorder="1" applyAlignment="1">
      <alignment horizontal="center"/>
      <protection/>
    </xf>
    <xf numFmtId="0" fontId="0" fillId="0" borderId="39" xfId="68" applyFill="1" applyBorder="1" applyAlignment="1">
      <alignment horizontal="center"/>
      <protection/>
    </xf>
    <xf numFmtId="214" fontId="58" fillId="46" borderId="87" xfId="69" applyNumberFormat="1" applyFont="1" applyFill="1" applyBorder="1">
      <alignment/>
      <protection/>
    </xf>
    <xf numFmtId="0" fontId="0" fillId="0" borderId="33" xfId="69" applyBorder="1" applyProtection="1">
      <alignment/>
      <protection locked="0"/>
    </xf>
    <xf numFmtId="165" fontId="0" fillId="0" borderId="23" xfId="69" applyNumberFormat="1" applyBorder="1" applyAlignment="1" applyProtection="1">
      <alignment horizontal="center"/>
      <protection locked="0"/>
    </xf>
    <xf numFmtId="168" fontId="0" fillId="0" borderId="23" xfId="68" applyNumberFormat="1" applyBorder="1" applyAlignment="1">
      <alignment horizontal="center"/>
      <protection/>
    </xf>
    <xf numFmtId="0" fontId="0" fillId="0" borderId="23" xfId="68" applyBorder="1" applyAlignment="1">
      <alignment horizontal="center"/>
      <protection/>
    </xf>
    <xf numFmtId="9" fontId="0" fillId="0" borderId="23" xfId="68" applyNumberFormat="1" applyBorder="1" applyAlignment="1">
      <alignment horizontal="center"/>
      <protection/>
    </xf>
    <xf numFmtId="0" fontId="0" fillId="0" borderId="40" xfId="68" applyFill="1" applyBorder="1" applyAlignment="1">
      <alignment horizontal="center"/>
      <protection/>
    </xf>
    <xf numFmtId="0" fontId="0" fillId="46" borderId="0" xfId="69" applyFill="1" applyBorder="1" applyProtection="1">
      <alignment/>
      <protection locked="0"/>
    </xf>
    <xf numFmtId="0" fontId="0" fillId="0" borderId="33" xfId="68" applyFill="1" applyBorder="1">
      <alignment/>
      <protection/>
    </xf>
    <xf numFmtId="2" fontId="0" fillId="0" borderId="23" xfId="68" applyNumberFormat="1" applyBorder="1" applyAlignment="1">
      <alignment horizontal="center"/>
      <protection/>
    </xf>
    <xf numFmtId="0" fontId="0" fillId="0" borderId="23" xfId="68" applyFill="1" applyBorder="1" applyAlignment="1">
      <alignment horizontal="center"/>
      <protection/>
    </xf>
    <xf numFmtId="9" fontId="0" fillId="0" borderId="23" xfId="68" applyNumberFormat="1" applyFill="1" applyBorder="1" applyAlignment="1">
      <alignment horizontal="center"/>
      <protection/>
    </xf>
    <xf numFmtId="0" fontId="17" fillId="46" borderId="0" xfId="69" applyFont="1" applyFill="1" applyBorder="1" applyAlignment="1" applyProtection="1">
      <alignment horizontal="left"/>
      <protection locked="0"/>
    </xf>
    <xf numFmtId="0" fontId="62" fillId="48" borderId="19" xfId="69" applyFont="1" applyFill="1" applyBorder="1" applyAlignment="1">
      <alignment horizontal="left" wrapText="1"/>
      <protection/>
    </xf>
    <xf numFmtId="9" fontId="58" fillId="49" borderId="89" xfId="45" applyNumberFormat="1" applyFont="1" applyFill="1" applyBorder="1" applyAlignment="1">
      <alignment/>
    </xf>
    <xf numFmtId="0" fontId="62" fillId="48" borderId="81" xfId="69" applyFont="1" applyFill="1" applyBorder="1" applyAlignment="1">
      <alignment horizontal="left" wrapText="1"/>
      <protection/>
    </xf>
    <xf numFmtId="9" fontId="58" fillId="49" borderId="90" xfId="45" applyNumberFormat="1" applyFont="1" applyFill="1" applyBorder="1" applyAlignment="1">
      <alignment/>
    </xf>
    <xf numFmtId="0" fontId="0" fillId="0" borderId="53" xfId="68" applyBorder="1">
      <alignment/>
      <protection/>
    </xf>
    <xf numFmtId="2" fontId="0" fillId="0" borderId="47" xfId="68" applyNumberFormat="1" applyBorder="1" applyAlignment="1">
      <alignment horizontal="center"/>
      <protection/>
    </xf>
    <xf numFmtId="0" fontId="0" fillId="0" borderId="47" xfId="68" applyBorder="1" applyAlignment="1">
      <alignment horizontal="center"/>
      <protection/>
    </xf>
    <xf numFmtId="168" fontId="0" fillId="0" borderId="47" xfId="68" applyNumberFormat="1" applyBorder="1" applyAlignment="1">
      <alignment horizontal="center"/>
      <protection/>
    </xf>
    <xf numFmtId="9" fontId="0" fillId="0" borderId="47" xfId="68" applyNumberFormat="1" applyBorder="1" applyAlignment="1">
      <alignment horizontal="center"/>
      <protection/>
    </xf>
    <xf numFmtId="0" fontId="0" fillId="0" borderId="42" xfId="68" applyBorder="1" applyAlignment="1">
      <alignment horizontal="center"/>
      <protection/>
    </xf>
    <xf numFmtId="2" fontId="0" fillId="46" borderId="0" xfId="69" applyNumberFormat="1" applyFill="1" applyBorder="1" applyProtection="1">
      <alignment/>
      <protection locked="0"/>
    </xf>
    <xf numFmtId="0" fontId="3" fillId="46" borderId="0" xfId="69" applyFont="1" applyFill="1" applyBorder="1" applyAlignment="1">
      <alignment horizontal="left" wrapText="1"/>
      <protection/>
    </xf>
    <xf numFmtId="0" fontId="3" fillId="0" borderId="0" xfId="69" applyFont="1" applyBorder="1" applyAlignment="1" applyProtection="1">
      <alignment horizontal="left"/>
      <protection locked="0"/>
    </xf>
    <xf numFmtId="6" fontId="3" fillId="37" borderId="0" xfId="69" applyNumberFormat="1" applyFont="1" applyFill="1" applyBorder="1" applyProtection="1">
      <alignment/>
      <protection locked="0"/>
    </xf>
    <xf numFmtId="0" fontId="3" fillId="0" borderId="54" xfId="69" applyFont="1" applyBorder="1" applyAlignment="1" applyProtection="1">
      <alignment horizontal="center"/>
      <protection locked="0"/>
    </xf>
    <xf numFmtId="0" fontId="3" fillId="0" borderId="44" xfId="69" applyFont="1" applyBorder="1" applyAlignment="1" applyProtection="1">
      <alignment horizontal="center"/>
      <protection locked="0"/>
    </xf>
    <xf numFmtId="0" fontId="3" fillId="0" borderId="45" xfId="69" applyFont="1" applyBorder="1" applyAlignment="1" applyProtection="1">
      <alignment horizontal="center"/>
      <protection locked="0"/>
    </xf>
    <xf numFmtId="10" fontId="3" fillId="0" borderId="0" xfId="69" applyNumberFormat="1" applyFont="1" applyFill="1" applyBorder="1" applyProtection="1">
      <alignment/>
      <protection locked="0"/>
    </xf>
    <xf numFmtId="3" fontId="0" fillId="0" borderId="32" xfId="69" applyNumberFormat="1" applyBorder="1" applyProtection="1">
      <alignment/>
      <protection locked="0"/>
    </xf>
    <xf numFmtId="0" fontId="110" fillId="0" borderId="75" xfId="0" applyFont="1" applyBorder="1" applyAlignment="1">
      <alignment vertical="center"/>
    </xf>
    <xf numFmtId="0" fontId="0" fillId="0" borderId="52" xfId="69" applyBorder="1" applyProtection="1">
      <alignment/>
      <protection locked="0"/>
    </xf>
    <xf numFmtId="9" fontId="3" fillId="0" borderId="0" xfId="69" applyNumberFormat="1" applyFont="1" applyFill="1" applyBorder="1" applyProtection="1">
      <alignment/>
      <protection locked="0"/>
    </xf>
    <xf numFmtId="2" fontId="0" fillId="46" borderId="0" xfId="69" applyNumberFormat="1" applyFill="1" applyBorder="1" applyAlignment="1" applyProtection="1">
      <alignment horizontal="center"/>
      <protection locked="0"/>
    </xf>
    <xf numFmtId="3" fontId="0" fillId="0" borderId="33" xfId="69" applyNumberFormat="1" applyBorder="1" applyProtection="1">
      <alignment/>
      <protection locked="0"/>
    </xf>
    <xf numFmtId="0" fontId="110" fillId="0" borderId="23" xfId="0" applyFont="1" applyBorder="1" applyAlignment="1">
      <alignment vertical="center"/>
    </xf>
    <xf numFmtId="0" fontId="0" fillId="0" borderId="40" xfId="69" applyBorder="1" applyProtection="1">
      <alignment/>
      <protection locked="0"/>
    </xf>
    <xf numFmtId="0" fontId="0" fillId="46" borderId="0" xfId="69" applyFill="1" applyBorder="1" applyAlignment="1" applyProtection="1">
      <alignment horizontal="center"/>
      <protection locked="0"/>
    </xf>
    <xf numFmtId="0" fontId="0" fillId="0" borderId="23" xfId="69" applyBorder="1" applyAlignment="1" applyProtection="1">
      <alignment horizontal="left"/>
      <protection locked="0"/>
    </xf>
    <xf numFmtId="0" fontId="0" fillId="0" borderId="53" xfId="69" applyBorder="1" applyProtection="1">
      <alignment/>
      <protection locked="0"/>
    </xf>
    <xf numFmtId="0" fontId="0" fillId="0" borderId="47" xfId="69" applyBorder="1" applyAlignment="1" applyProtection="1">
      <alignment horizontal="left"/>
      <protection locked="0"/>
    </xf>
    <xf numFmtId="0" fontId="0" fillId="0" borderId="42" xfId="69" applyBorder="1" applyProtection="1">
      <alignment/>
      <protection locked="0"/>
    </xf>
    <xf numFmtId="6" fontId="0" fillId="46" borderId="0" xfId="69" applyNumberFormat="1" applyFill="1" applyBorder="1" applyAlignment="1" applyProtection="1">
      <alignment horizontal="center"/>
      <protection locked="0"/>
    </xf>
    <xf numFmtId="0" fontId="23" fillId="0" borderId="0" xfId="69" applyFont="1" applyFill="1" applyBorder="1" applyProtection="1">
      <alignment/>
      <protection locked="0"/>
    </xf>
    <xf numFmtId="0" fontId="114" fillId="46" borderId="0" xfId="69" applyFont="1" applyFill="1" applyBorder="1" applyAlignment="1">
      <alignment horizontal="center" vertical="center" textRotation="90" wrapText="1"/>
      <protection/>
    </xf>
    <xf numFmtId="0" fontId="110" fillId="0" borderId="35" xfId="0" applyFont="1" applyBorder="1" applyAlignment="1">
      <alignment vertical="center"/>
    </xf>
    <xf numFmtId="0" fontId="110" fillId="0" borderId="36" xfId="0" applyFont="1" applyBorder="1" applyAlignment="1">
      <alignment horizontal="right" vertical="center"/>
    </xf>
    <xf numFmtId="0" fontId="110" fillId="0" borderId="36" xfId="0" applyFont="1" applyBorder="1" applyAlignment="1">
      <alignment vertical="center"/>
    </xf>
    <xf numFmtId="8" fontId="110" fillId="0" borderId="37" xfId="0" applyNumberFormat="1" applyFont="1" applyBorder="1" applyAlignment="1">
      <alignment horizontal="right" vertical="center"/>
    </xf>
    <xf numFmtId="0" fontId="0" fillId="0" borderId="14" xfId="0" applyFont="1" applyFill="1" applyBorder="1" applyAlignment="1" applyProtection="1">
      <alignment horizontal="center"/>
      <protection locked="0"/>
    </xf>
    <xf numFmtId="0" fontId="112" fillId="46" borderId="0" xfId="69" applyFont="1" applyFill="1" applyBorder="1" applyAlignment="1" applyProtection="1">
      <alignment horizontal="left"/>
      <protection locked="0"/>
    </xf>
    <xf numFmtId="0" fontId="0" fillId="0" borderId="0" xfId="69" applyFont="1" applyFill="1" applyAlignment="1">
      <alignment/>
      <protection/>
    </xf>
    <xf numFmtId="168" fontId="14" fillId="42" borderId="23" xfId="69" applyNumberFormat="1" applyFont="1" applyFill="1" applyBorder="1" applyAlignment="1" applyProtection="1">
      <alignment horizontal="center" vertical="center"/>
      <protection locked="0"/>
    </xf>
    <xf numFmtId="168" fontId="6" fillId="42" borderId="30" xfId="69" applyNumberFormat="1" applyFont="1" applyFill="1" applyBorder="1" applyAlignment="1" applyProtection="1">
      <alignment horizontal="center"/>
      <protection locked="0"/>
    </xf>
    <xf numFmtId="49" fontId="6" fillId="38" borderId="0" xfId="48" applyNumberFormat="1" applyFont="1" applyFill="1" applyBorder="1" applyAlignment="1" applyProtection="1" quotePrefix="1">
      <alignment/>
      <protection locked="0"/>
    </xf>
    <xf numFmtId="0" fontId="19" fillId="0" borderId="0" xfId="0" applyFont="1" applyFill="1" applyBorder="1" applyAlignment="1" applyProtection="1">
      <alignment vertical="center"/>
      <protection/>
    </xf>
    <xf numFmtId="0" fontId="19" fillId="0" borderId="0" xfId="0" applyFont="1" applyFill="1" applyBorder="1" applyAlignment="1" applyProtection="1">
      <alignment vertical="top"/>
      <protection/>
    </xf>
    <xf numFmtId="0" fontId="115" fillId="0" borderId="0" xfId="69" applyFont="1" applyFill="1" applyBorder="1" applyAlignment="1" applyProtection="1">
      <alignment vertical="center"/>
      <protection/>
    </xf>
    <xf numFmtId="0" fontId="0" fillId="0" borderId="25" xfId="0" applyBorder="1" applyAlignment="1">
      <alignment/>
    </xf>
    <xf numFmtId="168" fontId="3" fillId="0" borderId="0" xfId="0" applyNumberFormat="1" applyFont="1" applyFill="1" applyBorder="1" applyAlignment="1" applyProtection="1">
      <alignment vertical="center"/>
      <protection/>
    </xf>
    <xf numFmtId="0" fontId="1" fillId="0" borderId="0" xfId="69" applyFont="1" applyFill="1" applyBorder="1" applyAlignment="1">
      <alignment horizontal="left" vertical="center"/>
      <protection/>
    </xf>
    <xf numFmtId="1" fontId="6" fillId="42" borderId="29" xfId="69" applyNumberFormat="1" applyFont="1" applyFill="1" applyBorder="1" applyAlignment="1" applyProtection="1">
      <alignment horizontal="center"/>
      <protection locked="0"/>
    </xf>
    <xf numFmtId="168" fontId="3" fillId="0" borderId="41" xfId="0" applyNumberFormat="1" applyFont="1" applyFill="1" applyBorder="1" applyAlignment="1" applyProtection="1">
      <alignment horizontal="center" vertical="center"/>
      <protection/>
    </xf>
    <xf numFmtId="3" fontId="0" fillId="0" borderId="23" xfId="45" applyNumberFormat="1" applyFont="1" applyFill="1" applyBorder="1" applyAlignment="1">
      <alignment horizontal="center" vertical="center"/>
    </xf>
    <xf numFmtId="0" fontId="1" fillId="0" borderId="0" xfId="69" applyFont="1" applyFill="1" applyBorder="1">
      <alignment/>
      <protection/>
    </xf>
    <xf numFmtId="0" fontId="1" fillId="0" borderId="0" xfId="69" applyFont="1" applyFill="1" applyBorder="1" applyAlignment="1">
      <alignment vertical="center"/>
      <protection/>
    </xf>
    <xf numFmtId="0" fontId="1" fillId="0" borderId="0" xfId="69" applyFont="1" applyFill="1" applyBorder="1" applyAlignment="1" applyProtection="1">
      <alignment vertical="center"/>
      <protection locked="0"/>
    </xf>
    <xf numFmtId="14" fontId="0" fillId="0" borderId="0" xfId="0" applyNumberFormat="1" applyFont="1" applyAlignment="1" applyProtection="1">
      <alignment/>
      <protection locked="0"/>
    </xf>
    <xf numFmtId="14" fontId="19" fillId="0" borderId="91" xfId="0" applyNumberFormat="1" applyFont="1" applyBorder="1" applyAlignment="1" applyProtection="1">
      <alignment horizontal="center" vertical="center"/>
      <protection locked="0"/>
    </xf>
    <xf numFmtId="0" fontId="19" fillId="0" borderId="91" xfId="0" applyFont="1" applyBorder="1" applyAlignment="1" applyProtection="1">
      <alignment horizontal="center" vertical="center"/>
      <protection locked="0"/>
    </xf>
    <xf numFmtId="0" fontId="19" fillId="0" borderId="92" xfId="0" applyFont="1" applyBorder="1" applyAlignment="1" applyProtection="1">
      <alignment horizontal="center" vertical="center"/>
      <protection locked="0"/>
    </xf>
    <xf numFmtId="0" fontId="19" fillId="0" borderId="11" xfId="0" applyFont="1" applyBorder="1" applyAlignment="1" applyProtection="1">
      <alignment horizontal="left" vertical="center" indent="1"/>
      <protection locked="0"/>
    </xf>
    <xf numFmtId="0" fontId="19" fillId="0" borderId="38" xfId="0" applyFont="1" applyBorder="1" applyAlignment="1" applyProtection="1">
      <alignment horizontal="left" vertical="center" indent="1"/>
      <protection locked="0"/>
    </xf>
    <xf numFmtId="9" fontId="19" fillId="0" borderId="92" xfId="48" applyNumberFormat="1" applyFont="1" applyBorder="1" applyAlignment="1" applyProtection="1">
      <alignment horizontal="center" vertical="center"/>
      <protection locked="0"/>
    </xf>
    <xf numFmtId="9" fontId="19" fillId="0" borderId="11" xfId="48" applyNumberFormat="1" applyFont="1" applyBorder="1" applyAlignment="1" applyProtection="1">
      <alignment horizontal="center" vertical="center"/>
      <protection locked="0"/>
    </xf>
    <xf numFmtId="178" fontId="59" fillId="37" borderId="92" xfId="70" applyNumberFormat="1" applyFont="1" applyFill="1" applyBorder="1" applyAlignment="1" applyProtection="1">
      <alignment horizontal="center" vertical="center"/>
      <protection locked="0"/>
    </xf>
    <xf numFmtId="178" fontId="59" fillId="37" borderId="11" xfId="70" applyNumberFormat="1" applyFont="1" applyFill="1" applyBorder="1" applyAlignment="1" applyProtection="1">
      <alignment horizontal="center" vertical="center"/>
      <protection locked="0"/>
    </xf>
    <xf numFmtId="178" fontId="59" fillId="37" borderId="38" xfId="70" applyNumberFormat="1" applyFont="1" applyFill="1" applyBorder="1" applyAlignment="1" applyProtection="1">
      <alignment horizontal="center" vertical="center"/>
      <protection locked="0"/>
    </xf>
    <xf numFmtId="0" fontId="22" fillId="0" borderId="0" xfId="0" applyFont="1" applyFill="1" applyAlignment="1">
      <alignment horizontal="left" vertical="top" wrapText="1"/>
    </xf>
    <xf numFmtId="181" fontId="19" fillId="0" borderId="92" xfId="48" applyNumberFormat="1" applyFont="1" applyBorder="1" applyAlignment="1" applyProtection="1">
      <alignment horizontal="center" vertical="center"/>
      <protection locked="0"/>
    </xf>
    <xf numFmtId="181" fontId="19" fillId="0" borderId="11" xfId="48" applyNumberFormat="1" applyFont="1" applyBorder="1" applyAlignment="1" applyProtection="1">
      <alignment horizontal="center" vertical="center"/>
      <protection locked="0"/>
    </xf>
    <xf numFmtId="1" fontId="0" fillId="0" borderId="92" xfId="0" applyNumberFormat="1" applyFont="1" applyBorder="1" applyAlignment="1" applyProtection="1">
      <alignment horizontal="left" vertical="center" indent="1"/>
      <protection/>
    </xf>
    <xf numFmtId="1" fontId="0" fillId="0" borderId="11" xfId="0" applyNumberFormat="1" applyFont="1" applyBorder="1" applyAlignment="1" applyProtection="1">
      <alignment horizontal="left" vertical="center" indent="1"/>
      <protection/>
    </xf>
    <xf numFmtId="1" fontId="0" fillId="0" borderId="38" xfId="0" applyNumberFormat="1" applyFont="1" applyBorder="1" applyAlignment="1" applyProtection="1">
      <alignment horizontal="left" vertical="center" indent="1"/>
      <protection/>
    </xf>
    <xf numFmtId="0" fontId="19" fillId="0" borderId="92" xfId="0" applyFont="1" applyBorder="1" applyAlignment="1" applyProtection="1">
      <alignment horizontal="left" vertical="center" indent="1"/>
      <protection locked="0"/>
    </xf>
    <xf numFmtId="0" fontId="19" fillId="0" borderId="0" xfId="0" applyFont="1" applyBorder="1" applyAlignment="1" applyProtection="1">
      <alignment horizontal="left" vertical="center" indent="1"/>
      <protection locked="0"/>
    </xf>
    <xf numFmtId="0" fontId="115" fillId="0" borderId="0" xfId="0" applyFont="1" applyAlignment="1">
      <alignment horizontal="left" vertical="center"/>
    </xf>
    <xf numFmtId="0" fontId="19" fillId="0" borderId="92" xfId="0" applyFont="1" applyBorder="1" applyAlignment="1" applyProtection="1">
      <alignment horizontal="left" vertical="center" indent="1"/>
      <protection/>
    </xf>
    <xf numFmtId="0" fontId="19" fillId="0" borderId="11" xfId="0" applyFont="1" applyBorder="1" applyAlignment="1" applyProtection="1">
      <alignment horizontal="left" vertical="center" indent="1"/>
      <protection/>
    </xf>
    <xf numFmtId="0" fontId="19" fillId="0" borderId="11" xfId="0" applyFont="1" applyBorder="1" applyAlignment="1" applyProtection="1">
      <alignment horizontal="center" vertical="center"/>
      <protection locked="0"/>
    </xf>
    <xf numFmtId="0" fontId="19" fillId="0" borderId="38" xfId="0" applyFont="1" applyBorder="1" applyAlignment="1" applyProtection="1">
      <alignment horizontal="center" vertical="center"/>
      <protection locked="0"/>
    </xf>
    <xf numFmtId="0" fontId="0" fillId="0" borderId="11" xfId="0" applyFont="1" applyBorder="1" applyAlignment="1" applyProtection="1">
      <alignment horizontal="left" vertical="center" indent="1"/>
      <protection locked="0"/>
    </xf>
    <xf numFmtId="0" fontId="0" fillId="0" borderId="11" xfId="0" applyFont="1" applyBorder="1" applyAlignment="1" applyProtection="1">
      <alignment horizontal="left" vertical="center" indent="1"/>
      <protection locked="0"/>
    </xf>
    <xf numFmtId="0" fontId="0" fillId="0" borderId="38" xfId="0" applyFont="1" applyBorder="1" applyAlignment="1" applyProtection="1">
      <alignment horizontal="left" vertical="center" indent="1"/>
      <protection locked="0"/>
    </xf>
    <xf numFmtId="178" fontId="19" fillId="0" borderId="11" xfId="0" applyNumberFormat="1" applyFont="1" applyBorder="1" applyAlignment="1" applyProtection="1">
      <alignment horizontal="left" vertical="center" indent="1"/>
      <protection locked="0"/>
    </xf>
    <xf numFmtId="0" fontId="60" fillId="37" borderId="92" xfId="60" applyFont="1" applyFill="1" applyBorder="1" applyAlignment="1" applyProtection="1">
      <alignment horizontal="center" vertical="center"/>
      <protection locked="0"/>
    </xf>
    <xf numFmtId="0" fontId="60" fillId="37" borderId="11" xfId="60" applyFont="1" applyFill="1" applyBorder="1" applyAlignment="1" applyProtection="1">
      <alignment horizontal="center" vertical="center"/>
      <protection locked="0"/>
    </xf>
    <xf numFmtId="182" fontId="19" fillId="0" borderId="92" xfId="0" applyNumberFormat="1" applyFont="1" applyBorder="1" applyAlignment="1" applyProtection="1">
      <alignment horizontal="center" vertical="center"/>
      <protection locked="0"/>
    </xf>
    <xf numFmtId="182" fontId="19" fillId="0" borderId="11" xfId="0" applyNumberFormat="1" applyFont="1" applyBorder="1" applyAlignment="1" applyProtection="1">
      <alignment horizontal="center" vertical="center"/>
      <protection locked="0"/>
    </xf>
    <xf numFmtId="0" fontId="61" fillId="37" borderId="92" xfId="60" applyFont="1" applyFill="1" applyBorder="1" applyAlignment="1" applyProtection="1">
      <alignment horizontal="center" vertical="center"/>
      <protection locked="0"/>
    </xf>
    <xf numFmtId="0" fontId="61" fillId="37" borderId="11" xfId="60" applyFont="1" applyFill="1" applyBorder="1" applyAlignment="1" applyProtection="1">
      <alignment horizontal="center" vertical="center"/>
      <protection locked="0"/>
    </xf>
    <xf numFmtId="0" fontId="61" fillId="37" borderId="38" xfId="60" applyFont="1" applyFill="1" applyBorder="1" applyAlignment="1" applyProtection="1">
      <alignment horizontal="center" vertical="center"/>
      <protection locked="0"/>
    </xf>
    <xf numFmtId="44" fontId="19" fillId="0" borderId="11" xfId="48" applyFont="1" applyBorder="1" applyAlignment="1" applyProtection="1">
      <alignment horizontal="center" vertical="center"/>
      <protection locked="0"/>
    </xf>
    <xf numFmtId="0" fontId="38" fillId="0" borderId="0" xfId="69" applyFont="1" applyFill="1" applyBorder="1" applyAlignment="1" applyProtection="1">
      <alignment horizontal="center" wrapText="1"/>
      <protection/>
    </xf>
    <xf numFmtId="3" fontId="3" fillId="0" borderId="49" xfId="69" applyNumberFormat="1" applyFont="1" applyBorder="1" applyAlignment="1" applyProtection="1">
      <alignment horizontal="right"/>
      <protection/>
    </xf>
    <xf numFmtId="164" fontId="0" fillId="0" borderId="14" xfId="69" applyNumberFormat="1" applyBorder="1" applyAlignment="1" applyProtection="1">
      <alignment horizontal="center"/>
      <protection/>
    </xf>
    <xf numFmtId="164" fontId="0" fillId="0" borderId="15" xfId="69" applyNumberFormat="1" applyBorder="1" applyAlignment="1" applyProtection="1">
      <alignment horizontal="center"/>
      <protection/>
    </xf>
    <xf numFmtId="164" fontId="0" fillId="0" borderId="16" xfId="69" applyNumberFormat="1" applyBorder="1" applyAlignment="1" applyProtection="1">
      <alignment horizontal="center"/>
      <protection/>
    </xf>
    <xf numFmtId="3" fontId="0" fillId="0" borderId="14" xfId="69" applyNumberFormat="1" applyBorder="1" applyAlignment="1" applyProtection="1">
      <alignment horizontal="right"/>
      <protection/>
    </xf>
    <xf numFmtId="3" fontId="0" fillId="0" borderId="93" xfId="69" applyNumberFormat="1" applyBorder="1" applyAlignment="1" applyProtection="1">
      <alignment horizontal="right"/>
      <protection/>
    </xf>
    <xf numFmtId="164" fontId="26" fillId="0" borderId="76" xfId="69" applyNumberFormat="1" applyFont="1" applyFill="1" applyBorder="1" applyAlignment="1" applyProtection="1">
      <alignment horizontal="center"/>
      <protection/>
    </xf>
    <xf numFmtId="164" fontId="26" fillId="0" borderId="81" xfId="69" applyNumberFormat="1" applyFont="1" applyFill="1" applyBorder="1" applyAlignment="1" applyProtection="1">
      <alignment horizontal="center"/>
      <protection/>
    </xf>
    <xf numFmtId="164" fontId="26" fillId="0" borderId="94" xfId="69" applyNumberFormat="1" applyFont="1" applyFill="1" applyBorder="1" applyAlignment="1" applyProtection="1">
      <alignment horizontal="center"/>
      <protection/>
    </xf>
    <xf numFmtId="0" fontId="3" fillId="0" borderId="73" xfId="69" applyFont="1" applyBorder="1" applyAlignment="1" applyProtection="1">
      <alignment horizontal="center" vertical="center"/>
      <protection/>
    </xf>
    <xf numFmtId="0" fontId="3" fillId="0" borderId="95" xfId="69" applyFont="1" applyBorder="1" applyAlignment="1" applyProtection="1">
      <alignment horizontal="center" vertical="center"/>
      <protection/>
    </xf>
    <xf numFmtId="168" fontId="3" fillId="0" borderId="43" xfId="0" applyNumberFormat="1" applyFont="1" applyFill="1" applyBorder="1" applyAlignment="1" applyProtection="1">
      <alignment horizontal="center" vertical="center"/>
      <protection/>
    </xf>
    <xf numFmtId="168" fontId="3" fillId="0" borderId="96" xfId="0" applyNumberFormat="1" applyFont="1" applyFill="1" applyBorder="1" applyAlignment="1" applyProtection="1">
      <alignment horizontal="center" vertical="center"/>
      <protection/>
    </xf>
    <xf numFmtId="168" fontId="3" fillId="0" borderId="95" xfId="0" applyNumberFormat="1" applyFont="1" applyFill="1" applyBorder="1" applyAlignment="1" applyProtection="1">
      <alignment horizontal="center" vertical="center"/>
      <protection/>
    </xf>
    <xf numFmtId="214" fontId="6" fillId="42" borderId="31" xfId="69" applyNumberFormat="1" applyFont="1" applyFill="1" applyBorder="1" applyAlignment="1" applyProtection="1">
      <alignment horizontal="center"/>
      <protection locked="0"/>
    </xf>
    <xf numFmtId="214" fontId="6" fillId="42" borderId="19" xfId="69" applyNumberFormat="1" applyFont="1" applyFill="1" applyBorder="1" applyAlignment="1" applyProtection="1">
      <alignment horizontal="center"/>
      <protection locked="0"/>
    </xf>
    <xf numFmtId="214" fontId="6" fillId="42" borderId="21" xfId="69" applyNumberFormat="1" applyFont="1" applyFill="1" applyBorder="1" applyAlignment="1" applyProtection="1">
      <alignment horizontal="center"/>
      <protection locked="0"/>
    </xf>
    <xf numFmtId="0" fontId="14" fillId="42" borderId="14" xfId="69" applyFont="1" applyFill="1" applyBorder="1" applyAlignment="1" applyProtection="1">
      <alignment horizontal="center"/>
      <protection locked="0"/>
    </xf>
    <xf numFmtId="0" fontId="14" fillId="42" borderId="15" xfId="69" applyFont="1" applyFill="1" applyBorder="1" applyAlignment="1" applyProtection="1">
      <alignment horizontal="center"/>
      <protection locked="0"/>
    </xf>
    <xf numFmtId="0" fontId="14" fillId="42" borderId="16" xfId="69" applyFont="1" applyFill="1" applyBorder="1" applyAlignment="1" applyProtection="1">
      <alignment horizontal="center"/>
      <protection locked="0"/>
    </xf>
    <xf numFmtId="164" fontId="0" fillId="0" borderId="18" xfId="69" applyNumberFormat="1" applyBorder="1" applyAlignment="1" applyProtection="1">
      <alignment horizontal="center"/>
      <protection/>
    </xf>
    <xf numFmtId="164" fontId="0" fillId="0" borderId="97" xfId="69" applyNumberFormat="1" applyBorder="1" applyAlignment="1" applyProtection="1">
      <alignment horizontal="center"/>
      <protection/>
    </xf>
    <xf numFmtId="164" fontId="0" fillId="0" borderId="98" xfId="69" applyNumberFormat="1" applyBorder="1" applyAlignment="1" applyProtection="1">
      <alignment horizontal="center"/>
      <protection/>
    </xf>
    <xf numFmtId="9" fontId="0" fillId="0" borderId="78" xfId="77" applyFont="1" applyBorder="1" applyAlignment="1" applyProtection="1">
      <alignment horizontal="center"/>
      <protection/>
    </xf>
    <xf numFmtId="9" fontId="0" fillId="0" borderId="15" xfId="77" applyFont="1" applyBorder="1" applyAlignment="1" applyProtection="1">
      <alignment horizontal="center"/>
      <protection/>
    </xf>
    <xf numFmtId="9" fontId="0" fillId="0" borderId="16" xfId="77" applyFont="1" applyBorder="1" applyAlignment="1" applyProtection="1">
      <alignment horizontal="center"/>
      <protection/>
    </xf>
    <xf numFmtId="0" fontId="3" fillId="0" borderId="96" xfId="69" applyFont="1" applyBorder="1" applyAlignment="1" applyProtection="1">
      <alignment horizontal="center" vertical="center"/>
      <protection/>
    </xf>
    <xf numFmtId="0" fontId="3" fillId="0" borderId="99" xfId="69" applyFont="1" applyBorder="1" applyAlignment="1" applyProtection="1">
      <alignment horizontal="center" vertical="center"/>
      <protection/>
    </xf>
    <xf numFmtId="3" fontId="3" fillId="0" borderId="23" xfId="43" applyNumberFormat="1" applyFont="1" applyBorder="1" applyAlignment="1" applyProtection="1">
      <alignment horizontal="center" vertical="center"/>
      <protection/>
    </xf>
    <xf numFmtId="3" fontId="3" fillId="0" borderId="76" xfId="69" applyNumberFormat="1" applyFont="1" applyBorder="1" applyAlignment="1" applyProtection="1">
      <alignment horizontal="center"/>
      <protection/>
    </xf>
    <xf numFmtId="3" fontId="3" fillId="0" borderId="94" xfId="69" applyNumberFormat="1" applyFont="1" applyBorder="1" applyAlignment="1" applyProtection="1">
      <alignment horizontal="center"/>
      <protection/>
    </xf>
    <xf numFmtId="0" fontId="3" fillId="0" borderId="43" xfId="69" applyFont="1" applyBorder="1" applyAlignment="1" applyProtection="1">
      <alignment horizontal="center" vertical="center"/>
      <protection/>
    </xf>
    <xf numFmtId="3" fontId="3" fillId="0" borderId="14" xfId="69" applyNumberFormat="1" applyFont="1" applyBorder="1" applyAlignment="1" applyProtection="1">
      <alignment horizontal="center"/>
      <protection/>
    </xf>
    <xf numFmtId="3" fontId="3" fillId="0" borderId="16" xfId="69" applyNumberFormat="1" applyFont="1" applyBorder="1" applyAlignment="1" applyProtection="1">
      <alignment horizontal="center"/>
      <protection/>
    </xf>
    <xf numFmtId="3" fontId="3" fillId="0" borderId="23" xfId="69" applyNumberFormat="1" applyFont="1" applyFill="1" applyBorder="1" applyAlignment="1" applyProtection="1">
      <alignment horizontal="center" vertical="center"/>
      <protection/>
    </xf>
    <xf numFmtId="3" fontId="0" fillId="0" borderId="62" xfId="43" applyNumberFormat="1" applyFont="1" applyBorder="1" applyAlignment="1" applyProtection="1">
      <alignment horizontal="center" vertical="center"/>
      <protection/>
    </xf>
    <xf numFmtId="3" fontId="3" fillId="0" borderId="18" xfId="69" applyNumberFormat="1" applyFont="1" applyBorder="1" applyAlignment="1" applyProtection="1">
      <alignment horizontal="center"/>
      <protection/>
    </xf>
    <xf numFmtId="3" fontId="3" fillId="0" borderId="98" xfId="69" applyNumberFormat="1" applyFont="1" applyBorder="1" applyAlignment="1" applyProtection="1">
      <alignment horizontal="center"/>
      <protection/>
    </xf>
    <xf numFmtId="3" fontId="0" fillId="0" borderId="56" xfId="69" applyNumberFormat="1" applyFont="1" applyBorder="1" applyAlignment="1" applyProtection="1">
      <alignment horizontal="center" vertical="center"/>
      <protection/>
    </xf>
    <xf numFmtId="3" fontId="0" fillId="0" borderId="56" xfId="43" applyNumberFormat="1" applyFont="1" applyBorder="1" applyAlignment="1" applyProtection="1">
      <alignment horizontal="center" vertical="center"/>
      <protection/>
    </xf>
    <xf numFmtId="3" fontId="3" fillId="0" borderId="49" xfId="69" applyNumberFormat="1" applyFont="1" applyBorder="1" applyAlignment="1" applyProtection="1">
      <alignment horizontal="center"/>
      <protection/>
    </xf>
    <xf numFmtId="3" fontId="0" fillId="0" borderId="62" xfId="69" applyNumberFormat="1" applyFont="1" applyFill="1" applyBorder="1" applyAlignment="1" applyProtection="1">
      <alignment horizontal="center" vertical="center"/>
      <protection/>
    </xf>
    <xf numFmtId="0" fontId="11" fillId="0" borderId="71" xfId="69" applyFont="1" applyBorder="1" applyAlignment="1" applyProtection="1">
      <alignment horizontal="center" vertical="center"/>
      <protection/>
    </xf>
    <xf numFmtId="9" fontId="26" fillId="0" borderId="79" xfId="77" applyFont="1" applyBorder="1" applyAlignment="1" applyProtection="1">
      <alignment horizontal="center"/>
      <protection/>
    </xf>
    <xf numFmtId="9" fontId="26" fillId="0" borderId="81" xfId="77" applyFont="1" applyBorder="1" applyAlignment="1" applyProtection="1">
      <alignment horizontal="center"/>
      <protection/>
    </xf>
    <xf numFmtId="9" fontId="26" fillId="0" borderId="94" xfId="77" applyFont="1" applyBorder="1" applyAlignment="1" applyProtection="1">
      <alignment horizontal="center"/>
      <protection/>
    </xf>
    <xf numFmtId="0" fontId="0" fillId="0" borderId="0" xfId="0" applyFont="1" applyFill="1" applyBorder="1" applyAlignment="1" applyProtection="1">
      <alignment horizontal="left" vertical="center"/>
      <protection/>
    </xf>
    <xf numFmtId="167" fontId="3" fillId="0" borderId="0" xfId="0" applyNumberFormat="1" applyFont="1" applyFill="1" applyBorder="1" applyAlignment="1" applyProtection="1">
      <alignment horizontal="right" vertical="center"/>
      <protection/>
    </xf>
    <xf numFmtId="0" fontId="3" fillId="0" borderId="0" xfId="69" applyFont="1" applyFill="1" applyBorder="1" applyAlignment="1" applyProtection="1">
      <alignment horizontal="center"/>
      <protection/>
    </xf>
    <xf numFmtId="168" fontId="3" fillId="0" borderId="0" xfId="0" applyNumberFormat="1" applyFont="1" applyFill="1" applyBorder="1" applyAlignment="1" applyProtection="1">
      <alignment horizontal="right" vertical="center"/>
      <protection/>
    </xf>
    <xf numFmtId="168" fontId="1" fillId="0" borderId="23" xfId="69" applyNumberFormat="1" applyFont="1" applyFill="1" applyBorder="1" applyAlignment="1" applyProtection="1">
      <alignment horizontal="right" vertical="center"/>
      <protection locked="0"/>
    </xf>
    <xf numFmtId="207" fontId="3" fillId="0" borderId="0" xfId="45" applyNumberFormat="1" applyFont="1" applyFill="1" applyBorder="1" applyAlignment="1" applyProtection="1">
      <alignment horizontal="right" vertical="center"/>
      <protection/>
    </xf>
    <xf numFmtId="0" fontId="2" fillId="33" borderId="0" xfId="69" applyFont="1" applyFill="1" applyBorder="1" applyAlignment="1" applyProtection="1">
      <alignment horizontal="center"/>
      <protection/>
    </xf>
    <xf numFmtId="0" fontId="3" fillId="0" borderId="0" xfId="69" applyFont="1" applyFill="1" applyBorder="1" applyAlignment="1" applyProtection="1">
      <alignment horizontal="center" vertical="center" textRotation="90"/>
      <protection/>
    </xf>
    <xf numFmtId="9" fontId="3" fillId="0" borderId="0" xfId="77" applyFont="1" applyFill="1" applyBorder="1" applyAlignment="1">
      <alignment horizontal="right" vertical="center"/>
    </xf>
    <xf numFmtId="3" fontId="3" fillId="0" borderId="0" xfId="69" applyNumberFormat="1" applyFont="1" applyFill="1" applyBorder="1" applyAlignment="1" applyProtection="1">
      <alignment horizontal="right" vertical="center"/>
      <protection/>
    </xf>
    <xf numFmtId="3" fontId="3" fillId="0" borderId="19" xfId="69" applyNumberFormat="1" applyFont="1" applyFill="1" applyBorder="1" applyAlignment="1" applyProtection="1">
      <alignment horizontal="right" vertical="center"/>
      <protection/>
    </xf>
    <xf numFmtId="171" fontId="3" fillId="0" borderId="0" xfId="50" applyNumberFormat="1" applyFont="1" applyFill="1" applyBorder="1" applyAlignment="1" applyProtection="1">
      <alignment horizontal="right" vertical="center"/>
      <protection/>
    </xf>
    <xf numFmtId="167" fontId="3" fillId="0" borderId="0" xfId="50" applyNumberFormat="1" applyFont="1" applyFill="1" applyBorder="1" applyAlignment="1" applyProtection="1">
      <alignment horizontal="right" vertical="center"/>
      <protection/>
    </xf>
    <xf numFmtId="168" fontId="1" fillId="0" borderId="23" xfId="69" applyNumberFormat="1" applyFont="1" applyFill="1" applyBorder="1" applyAlignment="1">
      <alignment horizontal="right" vertical="center"/>
      <protection/>
    </xf>
    <xf numFmtId="164" fontId="14" fillId="4" borderId="31" xfId="69" applyNumberFormat="1" applyFont="1" applyFill="1" applyBorder="1" applyAlignment="1" applyProtection="1">
      <alignment horizontal="center"/>
      <protection locked="0"/>
    </xf>
    <xf numFmtId="0" fontId="0" fillId="0" borderId="19" xfId="69" applyBorder="1" applyProtection="1">
      <alignment/>
      <protection locked="0"/>
    </xf>
    <xf numFmtId="0" fontId="0" fillId="0" borderId="22" xfId="69" applyBorder="1" applyProtection="1">
      <alignment/>
      <protection locked="0"/>
    </xf>
    <xf numFmtId="3" fontId="0" fillId="0" borderId="18" xfId="69" applyNumberFormat="1" applyBorder="1" applyAlignment="1" applyProtection="1">
      <alignment horizontal="right"/>
      <protection/>
    </xf>
    <xf numFmtId="3" fontId="0" fillId="0" borderId="100" xfId="69" applyNumberFormat="1" applyBorder="1" applyAlignment="1" applyProtection="1">
      <alignment horizontal="right"/>
      <protection/>
    </xf>
    <xf numFmtId="168" fontId="3" fillId="0" borderId="19" xfId="0" applyNumberFormat="1" applyFont="1" applyFill="1" applyBorder="1" applyAlignment="1" applyProtection="1">
      <alignment horizontal="right" vertical="center"/>
      <protection/>
    </xf>
    <xf numFmtId="2" fontId="0" fillId="36" borderId="14" xfId="69" applyNumberFormat="1" applyFont="1" applyFill="1" applyBorder="1" applyAlignment="1" applyProtection="1">
      <alignment horizontal="center"/>
      <protection/>
    </xf>
    <xf numFmtId="2" fontId="0" fillId="36" borderId="15" xfId="69" applyNumberFormat="1" applyFont="1" applyFill="1" applyBorder="1" applyAlignment="1" applyProtection="1">
      <alignment horizontal="center"/>
      <protection/>
    </xf>
    <xf numFmtId="2" fontId="0" fillId="36" borderId="16" xfId="69" applyNumberFormat="1" applyFont="1" applyFill="1" applyBorder="1" applyAlignment="1" applyProtection="1">
      <alignment horizontal="center"/>
      <protection/>
    </xf>
    <xf numFmtId="1" fontId="6" fillId="42" borderId="14" xfId="69" applyNumberFormat="1" applyFont="1" applyFill="1" applyBorder="1" applyAlignment="1" applyProtection="1">
      <alignment horizontal="center"/>
      <protection locked="0"/>
    </xf>
    <xf numFmtId="1" fontId="6" fillId="42" borderId="15" xfId="69" applyNumberFormat="1" applyFont="1" applyFill="1" applyBorder="1" applyAlignment="1" applyProtection="1">
      <alignment horizontal="center"/>
      <protection locked="0"/>
    </xf>
    <xf numFmtId="1" fontId="6" fillId="42" borderId="16" xfId="69" applyNumberFormat="1" applyFont="1" applyFill="1" applyBorder="1" applyAlignment="1" applyProtection="1">
      <alignment horizontal="center"/>
      <protection locked="0"/>
    </xf>
    <xf numFmtId="1" fontId="6" fillId="42" borderId="26" xfId="69" applyNumberFormat="1" applyFont="1" applyFill="1" applyBorder="1" applyAlignment="1" applyProtection="1">
      <alignment horizontal="center"/>
      <protection locked="0"/>
    </xf>
    <xf numFmtId="1" fontId="6" fillId="42" borderId="27" xfId="69" applyNumberFormat="1" applyFont="1" applyFill="1" applyBorder="1" applyAlignment="1" applyProtection="1">
      <alignment horizontal="center"/>
      <protection locked="0"/>
    </xf>
    <xf numFmtId="1" fontId="6" fillId="42" borderId="20" xfId="69" applyNumberFormat="1" applyFont="1" applyFill="1" applyBorder="1" applyAlignment="1" applyProtection="1">
      <alignment horizontal="center"/>
      <protection locked="0"/>
    </xf>
    <xf numFmtId="3" fontId="26" fillId="0" borderId="76" xfId="69" applyNumberFormat="1" applyFont="1" applyBorder="1" applyAlignment="1" applyProtection="1">
      <alignment horizontal="right"/>
      <protection/>
    </xf>
    <xf numFmtId="3" fontId="26" fillId="0" borderId="101" xfId="69" applyNumberFormat="1" applyFont="1" applyBorder="1" applyAlignment="1" applyProtection="1">
      <alignment horizontal="right"/>
      <protection/>
    </xf>
    <xf numFmtId="0" fontId="6" fillId="42" borderId="14" xfId="69" applyFont="1" applyFill="1" applyBorder="1" applyAlignment="1" applyProtection="1">
      <alignment horizontal="center"/>
      <protection locked="0"/>
    </xf>
    <xf numFmtId="0" fontId="6" fillId="42" borderId="15" xfId="69" applyFont="1" applyFill="1" applyBorder="1" applyAlignment="1" applyProtection="1">
      <alignment horizontal="center"/>
      <protection locked="0"/>
    </xf>
    <xf numFmtId="0" fontId="6" fillId="42" borderId="16" xfId="69" applyFont="1" applyFill="1" applyBorder="1" applyAlignment="1" applyProtection="1">
      <alignment horizontal="center"/>
      <protection locked="0"/>
    </xf>
    <xf numFmtId="0" fontId="115" fillId="0" borderId="0" xfId="69" applyFont="1" applyFill="1" applyBorder="1" applyAlignment="1" applyProtection="1">
      <alignment horizontal="left" vertical="center"/>
      <protection/>
    </xf>
    <xf numFmtId="1" fontId="0" fillId="36" borderId="14" xfId="69" applyNumberFormat="1" applyFont="1" applyFill="1" applyBorder="1" applyAlignment="1" applyProtection="1">
      <alignment horizontal="center"/>
      <protection/>
    </xf>
    <xf numFmtId="1" fontId="0" fillId="36" borderId="15" xfId="69" applyNumberFormat="1" applyFont="1" applyFill="1" applyBorder="1" applyAlignment="1" applyProtection="1">
      <alignment horizontal="center"/>
      <protection/>
    </xf>
    <xf numFmtId="1" fontId="0" fillId="36" borderId="16" xfId="69" applyNumberFormat="1" applyFont="1" applyFill="1" applyBorder="1" applyAlignment="1" applyProtection="1">
      <alignment horizontal="center"/>
      <protection/>
    </xf>
    <xf numFmtId="0" fontId="11" fillId="0" borderId="23" xfId="0" applyFont="1" applyFill="1" applyBorder="1" applyAlignment="1" applyProtection="1">
      <alignment horizontal="right" vertical="center"/>
      <protection/>
    </xf>
    <xf numFmtId="3" fontId="0" fillId="0" borderId="23" xfId="69" applyNumberFormat="1" applyFont="1" applyFill="1" applyBorder="1" applyAlignment="1" applyProtection="1">
      <alignment horizontal="center" vertical="center"/>
      <protection/>
    </xf>
    <xf numFmtId="3" fontId="0" fillId="0" borderId="14" xfId="45" applyNumberFormat="1" applyFont="1" applyFill="1" applyBorder="1" applyAlignment="1">
      <alignment horizontal="center" vertical="center"/>
    </xf>
    <xf numFmtId="3" fontId="0" fillId="0" borderId="15" xfId="45" applyNumberFormat="1" applyFont="1" applyFill="1" applyBorder="1" applyAlignment="1">
      <alignment horizontal="center" vertical="center"/>
    </xf>
    <xf numFmtId="3" fontId="0" fillId="0" borderId="16" xfId="45" applyNumberFormat="1" applyFont="1" applyFill="1" applyBorder="1" applyAlignment="1">
      <alignment horizontal="center" vertical="center"/>
    </xf>
    <xf numFmtId="3" fontId="1" fillId="0" borderId="23" xfId="69" applyNumberFormat="1" applyFont="1" applyFill="1" applyBorder="1" applyAlignment="1">
      <alignment horizontal="right"/>
      <protection/>
    </xf>
    <xf numFmtId="0" fontId="6" fillId="42" borderId="14" xfId="69" applyNumberFormat="1" applyFont="1" applyFill="1" applyBorder="1" applyAlignment="1" applyProtection="1">
      <alignment horizontal="center" vertical="center"/>
      <protection locked="0"/>
    </xf>
    <xf numFmtId="0" fontId="6" fillId="42" borderId="16" xfId="69" applyNumberFormat="1" applyFont="1" applyFill="1" applyBorder="1" applyAlignment="1" applyProtection="1">
      <alignment horizontal="center" vertical="center"/>
      <protection locked="0"/>
    </xf>
    <xf numFmtId="14" fontId="3" fillId="0" borderId="0" xfId="69" applyNumberFormat="1" applyFont="1" applyAlignment="1" applyProtection="1">
      <alignment horizontal="left"/>
      <protection/>
    </xf>
    <xf numFmtId="0" fontId="0" fillId="0" borderId="0" xfId="69" applyFont="1" applyAlignment="1" applyProtection="1">
      <alignment horizontal="left"/>
      <protection/>
    </xf>
    <xf numFmtId="0" fontId="6" fillId="42" borderId="15" xfId="69" applyNumberFormat="1" applyFont="1" applyFill="1" applyBorder="1" applyAlignment="1" applyProtection="1">
      <alignment horizontal="center" vertical="center"/>
      <protection locked="0"/>
    </xf>
    <xf numFmtId="14" fontId="50" fillId="0" borderId="0" xfId="69" applyNumberFormat="1" applyFont="1" applyAlignment="1" applyProtection="1">
      <alignment horizontal="right"/>
      <protection/>
    </xf>
    <xf numFmtId="164" fontId="57" fillId="42" borderId="14" xfId="69" applyNumberFormat="1" applyFont="1" applyFill="1" applyBorder="1" applyAlignment="1" applyProtection="1">
      <alignment horizontal="center" vertical="center"/>
      <protection locked="0"/>
    </xf>
    <xf numFmtId="164" fontId="6" fillId="42" borderId="16" xfId="69" applyNumberFormat="1" applyFont="1" applyFill="1" applyBorder="1" applyAlignment="1" applyProtection="1">
      <alignment horizontal="center" vertical="center"/>
      <protection locked="0"/>
    </xf>
    <xf numFmtId="164" fontId="34" fillId="36" borderId="14" xfId="69" applyNumberFormat="1" applyFont="1" applyFill="1" applyBorder="1" applyAlignment="1" applyProtection="1">
      <alignment horizontal="center" vertical="center"/>
      <protection locked="0"/>
    </xf>
    <xf numFmtId="1" fontId="0" fillId="36" borderId="14" xfId="69" applyNumberFormat="1" applyFont="1" applyFill="1" applyBorder="1" applyAlignment="1" applyProtection="1">
      <alignment horizontal="center" vertical="center"/>
      <protection/>
    </xf>
    <xf numFmtId="1" fontId="0" fillId="36" borderId="16" xfId="69" applyNumberFormat="1" applyFont="1" applyFill="1" applyBorder="1" applyAlignment="1" applyProtection="1">
      <alignment horizontal="center" vertical="center"/>
      <protection/>
    </xf>
    <xf numFmtId="1" fontId="0" fillId="36" borderId="31" xfId="69" applyNumberFormat="1" applyFont="1" applyFill="1" applyBorder="1" applyAlignment="1" applyProtection="1">
      <alignment horizontal="center" vertical="center"/>
      <protection/>
    </xf>
    <xf numFmtId="1" fontId="0" fillId="36" borderId="22" xfId="69" applyNumberFormat="1" applyFont="1" applyFill="1" applyBorder="1" applyAlignment="1" applyProtection="1">
      <alignment horizontal="center" vertical="center"/>
      <protection/>
    </xf>
    <xf numFmtId="0" fontId="3" fillId="0" borderId="0" xfId="69" applyFont="1" applyBorder="1" applyAlignment="1" applyProtection="1">
      <alignment horizontal="center" wrapText="1"/>
      <protection/>
    </xf>
    <xf numFmtId="0" fontId="3" fillId="0" borderId="36" xfId="69" applyFont="1" applyBorder="1" applyAlignment="1" applyProtection="1">
      <alignment horizontal="center" wrapText="1"/>
      <protection/>
    </xf>
    <xf numFmtId="0" fontId="0" fillId="33" borderId="25" xfId="69" applyFill="1" applyBorder="1" applyAlignment="1" applyProtection="1">
      <alignment horizontal="center" wrapText="1"/>
      <protection locked="0"/>
    </xf>
    <xf numFmtId="0" fontId="0" fillId="33" borderId="0" xfId="69" applyFill="1" applyBorder="1" applyAlignment="1" applyProtection="1">
      <alignment horizontal="center" wrapText="1"/>
      <protection locked="0"/>
    </xf>
    <xf numFmtId="37" fontId="19" fillId="37" borderId="0" xfId="45" applyNumberFormat="1" applyFont="1" applyFill="1" applyBorder="1" applyAlignment="1" applyProtection="1">
      <alignment horizontal="right"/>
      <protection/>
    </xf>
    <xf numFmtId="176" fontId="6" fillId="42" borderId="102" xfId="43" applyNumberFormat="1" applyFont="1" applyFill="1" applyBorder="1" applyAlignment="1" applyProtection="1">
      <alignment horizontal="center" vertical="center"/>
      <protection locked="0"/>
    </xf>
    <xf numFmtId="176" fontId="6" fillId="42" borderId="103" xfId="43" applyNumberFormat="1" applyFont="1" applyFill="1" applyBorder="1" applyAlignment="1" applyProtection="1">
      <alignment horizontal="center" vertical="center"/>
      <protection locked="0"/>
    </xf>
    <xf numFmtId="0" fontId="0" fillId="0" borderId="0" xfId="69" applyFont="1" applyFill="1" applyBorder="1" applyAlignment="1" applyProtection="1">
      <alignment horizontal="right"/>
      <protection locked="0"/>
    </xf>
    <xf numFmtId="0" fontId="0" fillId="0" borderId="0" xfId="69" applyFont="1" applyFill="1" applyAlignment="1" applyProtection="1">
      <alignment horizontal="right"/>
      <protection locked="0"/>
    </xf>
    <xf numFmtId="176" fontId="6" fillId="0" borderId="0" xfId="43" applyNumberFormat="1" applyFont="1" applyFill="1" applyBorder="1" applyAlignment="1" applyProtection="1">
      <alignment horizontal="center"/>
      <protection locked="0"/>
    </xf>
    <xf numFmtId="176" fontId="6" fillId="42" borderId="0" xfId="43" applyNumberFormat="1" applyFont="1" applyFill="1" applyBorder="1" applyAlignment="1" applyProtection="1">
      <alignment horizontal="center"/>
      <protection locked="0"/>
    </xf>
    <xf numFmtId="0" fontId="6" fillId="0" borderId="27" xfId="0" applyFont="1" applyBorder="1" applyAlignment="1" applyProtection="1">
      <alignment vertical="center"/>
      <protection locked="0"/>
    </xf>
    <xf numFmtId="0" fontId="6" fillId="0" borderId="27" xfId="0" applyFont="1" applyBorder="1" applyAlignment="1" applyProtection="1">
      <alignment vertical="center"/>
      <protection locked="0"/>
    </xf>
    <xf numFmtId="0" fontId="6" fillId="0" borderId="104" xfId="0" applyFont="1" applyBorder="1" applyAlignment="1" applyProtection="1">
      <alignment vertical="center"/>
      <protection locked="0"/>
    </xf>
    <xf numFmtId="0" fontId="6" fillId="0" borderId="26" xfId="0" applyFont="1" applyBorder="1" applyAlignment="1" applyProtection="1">
      <alignment vertical="center"/>
      <protection locked="0"/>
    </xf>
    <xf numFmtId="44" fontId="6" fillId="0" borderId="105" xfId="0" applyNumberFormat="1" applyFont="1" applyBorder="1" applyAlignment="1" applyProtection="1">
      <alignment vertical="center"/>
      <protection locked="0"/>
    </xf>
    <xf numFmtId="44" fontId="6" fillId="0" borderId="27" xfId="0" applyNumberFormat="1" applyFont="1" applyBorder="1" applyAlignment="1" applyProtection="1">
      <alignment vertical="center"/>
      <protection locked="0"/>
    </xf>
    <xf numFmtId="0" fontId="0" fillId="0" borderId="49" xfId="0" applyFont="1" applyBorder="1" applyAlignment="1">
      <alignment horizontal="left" wrapText="1"/>
    </xf>
    <xf numFmtId="0" fontId="0" fillId="0" borderId="49" xfId="0" applyBorder="1" applyAlignment="1">
      <alignment horizontal="left" wrapText="1"/>
    </xf>
    <xf numFmtId="0" fontId="0" fillId="0" borderId="0" xfId="0" applyAlignment="1">
      <alignment horizontal="left" wrapText="1"/>
    </xf>
    <xf numFmtId="0" fontId="115" fillId="0" borderId="0" xfId="0" applyFont="1" applyAlignment="1" applyProtection="1">
      <alignment horizontal="left" vertical="center"/>
      <protection/>
    </xf>
    <xf numFmtId="44" fontId="6" fillId="0" borderId="106" xfId="0" applyNumberFormat="1" applyFont="1" applyBorder="1" applyAlignment="1" applyProtection="1">
      <alignment vertical="center"/>
      <protection locked="0"/>
    </xf>
    <xf numFmtId="44" fontId="6" fillId="0" borderId="15" xfId="0" applyNumberFormat="1" applyFont="1" applyBorder="1" applyAlignment="1" applyProtection="1">
      <alignment vertical="center"/>
      <protection locked="0"/>
    </xf>
    <xf numFmtId="44" fontId="6" fillId="0" borderId="93" xfId="0" applyNumberFormat="1" applyFont="1" applyBorder="1" applyAlignment="1" applyProtection="1">
      <alignment vertical="center"/>
      <protection locked="0"/>
    </xf>
    <xf numFmtId="0" fontId="0" fillId="0" borderId="17" xfId="0" applyFont="1" applyBorder="1" applyAlignment="1" applyProtection="1">
      <alignment horizontal="left" vertical="top" wrapText="1"/>
      <protection locked="0"/>
    </xf>
    <xf numFmtId="0" fontId="0" fillId="0" borderId="10" xfId="0" applyBorder="1" applyAlignment="1" applyProtection="1">
      <alignment horizontal="left" vertical="top" wrapText="1"/>
      <protection locked="0"/>
    </xf>
    <xf numFmtId="0" fontId="0" fillId="0" borderId="70" xfId="0" applyBorder="1" applyAlignment="1" applyProtection="1">
      <alignment horizontal="left" vertical="top" wrapText="1"/>
      <protection locked="0"/>
    </xf>
    <xf numFmtId="0" fontId="0" fillId="0" borderId="13"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12" xfId="0" applyBorder="1" applyAlignment="1" applyProtection="1">
      <alignment horizontal="left" vertical="top" wrapText="1"/>
      <protection locked="0"/>
    </xf>
    <xf numFmtId="0" fontId="0" fillId="0" borderId="92" xfId="0" applyBorder="1" applyAlignment="1" applyProtection="1">
      <alignment horizontal="left" vertical="top" wrapText="1"/>
      <protection locked="0"/>
    </xf>
    <xf numFmtId="0" fontId="0" fillId="0" borderId="11" xfId="0" applyBorder="1" applyAlignment="1" applyProtection="1">
      <alignment horizontal="left" vertical="top" wrapText="1"/>
      <protection locked="0"/>
    </xf>
    <xf numFmtId="0" fontId="0" fillId="0" borderId="38" xfId="0" applyBorder="1" applyAlignment="1" applyProtection="1">
      <alignment horizontal="left" vertical="top" wrapText="1"/>
      <protection locked="0"/>
    </xf>
    <xf numFmtId="0" fontId="3" fillId="0" borderId="18" xfId="0" applyFont="1" applyBorder="1" applyAlignment="1">
      <alignment horizontal="left" vertical="center"/>
    </xf>
    <xf numFmtId="0" fontId="3" fillId="0" borderId="97" xfId="0" applyFont="1" applyBorder="1" applyAlignment="1">
      <alignment horizontal="left" vertical="center"/>
    </xf>
    <xf numFmtId="0" fontId="3" fillId="0" borderId="98" xfId="0" applyFont="1" applyBorder="1" applyAlignment="1">
      <alignment horizontal="left" vertical="center"/>
    </xf>
    <xf numFmtId="0" fontId="3" fillId="0" borderId="107" xfId="0" applyFont="1" applyBorder="1" applyAlignment="1">
      <alignment horizontal="left" vertical="center"/>
    </xf>
    <xf numFmtId="168" fontId="55" fillId="44" borderId="81" xfId="0" applyNumberFormat="1" applyFont="1" applyFill="1" applyBorder="1" applyAlignment="1">
      <alignment vertical="center"/>
    </xf>
    <xf numFmtId="168" fontId="55" fillId="44" borderId="94" xfId="0" applyNumberFormat="1" applyFont="1" applyFill="1" applyBorder="1" applyAlignment="1">
      <alignment vertical="center"/>
    </xf>
    <xf numFmtId="0" fontId="55" fillId="44" borderId="81" xfId="0" applyFont="1" applyFill="1" applyBorder="1" applyAlignment="1">
      <alignment vertical="center"/>
    </xf>
    <xf numFmtId="0" fontId="3" fillId="0" borderId="108" xfId="0" applyFont="1" applyBorder="1" applyAlignment="1">
      <alignment horizontal="center" vertical="center"/>
    </xf>
    <xf numFmtId="0" fontId="3" fillId="0" borderId="109" xfId="0" applyFont="1" applyBorder="1" applyAlignment="1">
      <alignment horizontal="center" vertical="center"/>
    </xf>
    <xf numFmtId="0" fontId="3" fillId="0" borderId="64" xfId="0" applyFont="1" applyBorder="1" applyAlignment="1">
      <alignment horizontal="center" vertical="center"/>
    </xf>
    <xf numFmtId="0" fontId="111" fillId="50" borderId="48" xfId="0" applyFont="1" applyFill="1" applyBorder="1" applyAlignment="1">
      <alignment horizontal="center" vertical="center" wrapText="1"/>
    </xf>
    <xf numFmtId="0" fontId="111" fillId="50" borderId="49" xfId="0" applyFont="1" applyFill="1" applyBorder="1" applyAlignment="1">
      <alignment horizontal="center" vertical="center" wrapText="1"/>
    </xf>
    <xf numFmtId="0" fontId="111" fillId="50" borderId="50" xfId="0" applyFont="1" applyFill="1" applyBorder="1" applyAlignment="1">
      <alignment horizontal="center" vertical="center" wrapText="1"/>
    </xf>
    <xf numFmtId="0" fontId="111" fillId="50" borderId="35" xfId="0" applyFont="1" applyFill="1" applyBorder="1" applyAlignment="1">
      <alignment horizontal="center" vertical="center" wrapText="1"/>
    </xf>
    <xf numFmtId="0" fontId="111" fillId="50" borderId="36" xfId="0" applyFont="1" applyFill="1" applyBorder="1" applyAlignment="1">
      <alignment horizontal="center" vertical="center" wrapText="1"/>
    </xf>
    <xf numFmtId="0" fontId="111" fillId="50" borderId="37" xfId="0" applyFont="1" applyFill="1" applyBorder="1" applyAlignment="1">
      <alignment horizontal="center" vertical="center" wrapText="1"/>
    </xf>
    <xf numFmtId="0" fontId="49" fillId="46" borderId="110" xfId="69" applyFont="1" applyFill="1" applyBorder="1" applyAlignment="1">
      <alignment horizontal="center" vertical="center"/>
      <protection/>
    </xf>
    <xf numFmtId="0" fontId="49" fillId="46" borderId="111" xfId="69" applyFont="1" applyFill="1" applyBorder="1" applyAlignment="1">
      <alignment horizontal="center" vertical="center"/>
      <protection/>
    </xf>
    <xf numFmtId="0" fontId="49" fillId="46" borderId="25" xfId="69" applyFont="1" applyFill="1" applyBorder="1" applyAlignment="1">
      <alignment horizontal="center" vertical="center"/>
      <protection/>
    </xf>
    <xf numFmtId="0" fontId="49" fillId="46" borderId="35" xfId="69" applyFont="1" applyFill="1" applyBorder="1" applyAlignment="1">
      <alignment horizontal="center" vertical="center"/>
      <protection/>
    </xf>
    <xf numFmtId="0" fontId="111" fillId="0" borderId="43" xfId="0" applyFont="1" applyBorder="1" applyAlignment="1">
      <alignment horizontal="center" vertical="center"/>
    </xf>
    <xf numFmtId="0" fontId="111" fillId="0" borderId="96" xfId="0" applyFont="1" applyBorder="1" applyAlignment="1">
      <alignment horizontal="center" vertical="center"/>
    </xf>
    <xf numFmtId="0" fontId="111" fillId="0" borderId="95" xfId="0" applyFont="1" applyBorder="1" applyAlignment="1">
      <alignment horizontal="center" vertical="center"/>
    </xf>
    <xf numFmtId="0" fontId="49" fillId="46" borderId="110" xfId="69" applyFont="1" applyFill="1" applyBorder="1" applyAlignment="1">
      <alignment horizontal="center" vertical="center" wrapText="1"/>
      <protection/>
    </xf>
    <xf numFmtId="0" fontId="49" fillId="46" borderId="90" xfId="69" applyFont="1" applyFill="1" applyBorder="1" applyAlignment="1">
      <alignment horizontal="center" vertical="center" wrapText="1"/>
      <protection/>
    </xf>
    <xf numFmtId="0" fontId="49" fillId="46" borderId="0" xfId="69" applyFont="1" applyFill="1" applyBorder="1" applyAlignment="1">
      <alignment horizontal="center" vertical="center" textRotation="90"/>
      <protection/>
    </xf>
    <xf numFmtId="0" fontId="0" fillId="35" borderId="54" xfId="0" applyFont="1" applyFill="1" applyBorder="1" applyAlignment="1">
      <alignment horizontal="left" wrapText="1"/>
    </xf>
    <xf numFmtId="0" fontId="0" fillId="35" borderId="45" xfId="0" applyFont="1" applyFill="1" applyBorder="1" applyAlignment="1">
      <alignment horizontal="left" wrapText="1"/>
    </xf>
    <xf numFmtId="0" fontId="0" fillId="39" borderId="48" xfId="0" applyFont="1" applyFill="1" applyBorder="1" applyAlignment="1" applyProtection="1">
      <alignment horizontal="left" vertical="top" wrapText="1"/>
      <protection locked="0"/>
    </xf>
    <xf numFmtId="0" fontId="0" fillId="39" borderId="49" xfId="0" applyFill="1" applyBorder="1" applyAlignment="1" applyProtection="1">
      <alignment horizontal="left" vertical="top" wrapText="1"/>
      <protection locked="0"/>
    </xf>
    <xf numFmtId="0" fontId="0" fillId="39" borderId="50" xfId="0" applyFill="1" applyBorder="1" applyAlignment="1" applyProtection="1">
      <alignment horizontal="left" vertical="top" wrapText="1"/>
      <protection locked="0"/>
    </xf>
    <xf numFmtId="0" fontId="0" fillId="39" borderId="25" xfId="0" applyFill="1" applyBorder="1" applyAlignment="1" applyProtection="1">
      <alignment horizontal="left" vertical="top" wrapText="1"/>
      <protection locked="0"/>
    </xf>
    <xf numFmtId="0" fontId="0" fillId="39" borderId="0" xfId="0" applyFill="1" applyAlignment="1" applyProtection="1">
      <alignment horizontal="left" vertical="top" wrapText="1"/>
      <protection locked="0"/>
    </xf>
    <xf numFmtId="0" fontId="0" fillId="39" borderId="34" xfId="0" applyFill="1" applyBorder="1" applyAlignment="1" applyProtection="1">
      <alignment horizontal="left" vertical="top" wrapText="1"/>
      <protection locked="0"/>
    </xf>
    <xf numFmtId="0" fontId="0" fillId="39" borderId="35" xfId="0" applyFill="1" applyBorder="1" applyAlignment="1" applyProtection="1">
      <alignment horizontal="left" vertical="top" wrapText="1"/>
      <protection locked="0"/>
    </xf>
    <xf numFmtId="0" fontId="0" fillId="39" borderId="36" xfId="0" applyFill="1" applyBorder="1" applyAlignment="1" applyProtection="1">
      <alignment horizontal="left" vertical="top" wrapText="1"/>
      <protection locked="0"/>
    </xf>
    <xf numFmtId="0" fontId="0" fillId="39" borderId="37" xfId="0" applyFill="1" applyBorder="1" applyAlignment="1" applyProtection="1">
      <alignment horizontal="left" vertical="top" wrapText="1"/>
      <protection locked="0"/>
    </xf>
    <xf numFmtId="0" fontId="3" fillId="0" borderId="0" xfId="0" applyFont="1" applyAlignment="1" applyProtection="1">
      <alignment horizontal="center"/>
      <protection locked="0"/>
    </xf>
    <xf numFmtId="0" fontId="0" fillId="0" borderId="28" xfId="0" applyFont="1" applyBorder="1" applyAlignment="1">
      <alignment horizontal="left" vertical="top" wrapText="1"/>
    </xf>
    <xf numFmtId="0" fontId="0" fillId="0" borderId="29" xfId="0" applyFont="1" applyBorder="1" applyAlignment="1">
      <alignment horizontal="left" vertical="top" wrapText="1"/>
    </xf>
    <xf numFmtId="0" fontId="0" fillId="0" borderId="30" xfId="0" applyFont="1" applyBorder="1" applyAlignment="1">
      <alignment horizontal="left" vertical="top" wrapText="1"/>
    </xf>
    <xf numFmtId="0" fontId="111" fillId="0" borderId="34" xfId="0" applyFont="1" applyBorder="1" applyAlignment="1">
      <alignment horizontal="center" vertical="center" wrapText="1"/>
    </xf>
    <xf numFmtId="0" fontId="111" fillId="0" borderId="37" xfId="0" applyFont="1" applyBorder="1" applyAlignment="1">
      <alignment horizontal="center" vertical="center" wrapText="1"/>
    </xf>
    <xf numFmtId="0" fontId="3" fillId="0" borderId="0" xfId="69" applyFont="1" applyBorder="1" applyAlignment="1" applyProtection="1">
      <alignment horizontal="center"/>
      <protection locked="0"/>
    </xf>
  </cellXfs>
  <cellStyles count="68">
    <cellStyle name="Normal" xfId="0"/>
    <cellStyle name="°F" xfId="15"/>
    <cellStyle name="20% - Accent1" xfId="16"/>
    <cellStyle name="20% - Accent2" xfId="17"/>
    <cellStyle name="20% - Accent3" xfId="18"/>
    <cellStyle name="20% - Accent4" xfId="19"/>
    <cellStyle name="20% - Accent5" xfId="20"/>
    <cellStyle name="20% - Accent6" xfId="21"/>
    <cellStyle name="40% - Accent1" xfId="22"/>
    <cellStyle name="40% - Accent2" xfId="23"/>
    <cellStyle name="40% - Accent3" xfId="24"/>
    <cellStyle name="40% - Accent4" xfId="25"/>
    <cellStyle name="40% - Accent5" xfId="26"/>
    <cellStyle name="40% - Accent6" xfId="27"/>
    <cellStyle name="60% - Accent1" xfId="28"/>
    <cellStyle name="60% - Accent2" xfId="29"/>
    <cellStyle name="60% - Accent3" xfId="30"/>
    <cellStyle name="60% - Accent4" xfId="31"/>
    <cellStyle name="60% - Accent5" xfId="32"/>
    <cellStyle name="60% - Accent6" xfId="33"/>
    <cellStyle name="Accent1" xfId="34"/>
    <cellStyle name="Accent2" xfId="35"/>
    <cellStyle name="Accent3" xfId="36"/>
    <cellStyle name="Accent4" xfId="37"/>
    <cellStyle name="Accent5" xfId="38"/>
    <cellStyle name="Accent6" xfId="39"/>
    <cellStyle name="Bad" xfId="40"/>
    <cellStyle name="Calculation" xfId="41"/>
    <cellStyle name="Check Cell" xfId="42"/>
    <cellStyle name="Comma" xfId="43"/>
    <cellStyle name="Comma [0]" xfId="44"/>
    <cellStyle name="Comma 2" xfId="45"/>
    <cellStyle name="Comma 3" xfId="46"/>
    <cellStyle name="Comma 4" xfId="47"/>
    <cellStyle name="Currency" xfId="48"/>
    <cellStyle name="Currency [0]" xfId="49"/>
    <cellStyle name="Currency 2" xfId="50"/>
    <cellStyle name="Decimal 1" xfId="51"/>
    <cellStyle name="Decimal 2" xfId="52"/>
    <cellStyle name="Explanatory Text" xfId="53"/>
    <cellStyle name="Followed Hyperlink" xfId="54"/>
    <cellStyle name="Good" xfId="55"/>
    <cellStyle name="Heading 1" xfId="56"/>
    <cellStyle name="Heading 2" xfId="57"/>
    <cellStyle name="Heading 3" xfId="58"/>
    <cellStyle name="Heading 4" xfId="59"/>
    <cellStyle name="Hyperlink" xfId="60"/>
    <cellStyle name="Input" xfId="61"/>
    <cellStyle name="Linked Cell" xfId="62"/>
    <cellStyle name="mmm-dd" xfId="63"/>
    <cellStyle name="mmm-dd  dddd" xfId="64"/>
    <cellStyle name="mmm-dd  hh" xfId="65"/>
    <cellStyle name="mmm-dd  hh:mm" xfId="66"/>
    <cellStyle name="Neutral" xfId="67"/>
    <cellStyle name="Normal 13 2" xfId="68"/>
    <cellStyle name="Normal 2" xfId="69"/>
    <cellStyle name="Normal 3" xfId="70"/>
    <cellStyle name="Normal 4" xfId="71"/>
    <cellStyle name="Normal 4 2" xfId="72"/>
    <cellStyle name="Normal 4 3" xfId="73"/>
    <cellStyle name="Note" xfId="74"/>
    <cellStyle name="Output" xfId="75"/>
    <cellStyle name="Percent" xfId="76"/>
    <cellStyle name="Percent 2" xfId="77"/>
    <cellStyle name="Percent 3" xfId="78"/>
    <cellStyle name="Title" xfId="79"/>
    <cellStyle name="Total" xfId="80"/>
    <cellStyle name="Warning Text" xfId="81"/>
  </cellStyles>
  <dxfs count="34">
    <dxf>
      <fill>
        <patternFill>
          <bgColor indexed="29"/>
        </patternFill>
      </fill>
    </dxf>
    <dxf>
      <fill>
        <patternFill patternType="solid">
          <bgColor indexed="11"/>
        </patternFill>
      </fill>
    </dxf>
    <dxf>
      <fill>
        <patternFill patternType="none">
          <bgColor indexed="65"/>
        </patternFill>
      </fill>
    </dxf>
    <dxf>
      <fill>
        <patternFill>
          <bgColor indexed="29"/>
        </patternFill>
      </fill>
    </dxf>
    <dxf>
      <fill>
        <patternFill>
          <bgColor indexed="11"/>
        </patternFill>
      </fill>
    </dxf>
    <dxf>
      <fill>
        <patternFill>
          <bgColor indexed="29"/>
        </patternFill>
      </fill>
    </dxf>
    <dxf>
      <fill>
        <patternFill patternType="solid">
          <bgColor indexed="11"/>
        </patternFill>
      </fill>
    </dxf>
    <dxf>
      <fill>
        <patternFill patternType="none">
          <bgColor indexed="65"/>
        </patternFill>
      </fill>
    </dxf>
    <dxf>
      <fill>
        <patternFill>
          <bgColor indexed="29"/>
        </patternFill>
      </fill>
    </dxf>
    <dxf>
      <fill>
        <patternFill>
          <bgColor indexed="11"/>
        </patternFill>
      </fill>
    </dxf>
    <dxf>
      <font>
        <color rgb="FF9C0006"/>
      </font>
    </dxf>
    <dxf>
      <font>
        <color rgb="FF9C0006"/>
      </font>
    </dxf>
    <dxf>
      <font>
        <color indexed="9"/>
      </font>
    </dxf>
    <dxf>
      <font>
        <color indexed="9"/>
      </font>
    </dxf>
    <dxf>
      <font>
        <color indexed="10"/>
      </font>
    </dxf>
    <dxf>
      <font>
        <color indexed="57"/>
      </font>
    </dxf>
    <dxf>
      <font>
        <color indexed="10"/>
      </font>
    </dxf>
    <dxf>
      <font>
        <color indexed="57"/>
      </font>
    </dxf>
    <dxf>
      <font>
        <color theme="0"/>
      </font>
      <fill>
        <patternFill patternType="none">
          <bgColor indexed="65"/>
        </patternFill>
      </fill>
    </dxf>
    <dxf>
      <font>
        <strike val="0"/>
        <color theme="0" tint="-0.24993999302387238"/>
      </font>
    </dxf>
    <dxf>
      <font>
        <strike val="0"/>
        <color theme="0" tint="-0.24993999302387238"/>
      </font>
    </dxf>
    <dxf>
      <font>
        <b/>
        <i val="0"/>
        <color indexed="10"/>
      </font>
      <fill>
        <patternFill patternType="none">
          <bgColor indexed="65"/>
        </patternFill>
      </fill>
    </dxf>
    <dxf>
      <font>
        <b/>
        <i val="0"/>
        <color indexed="10"/>
      </font>
      <fill>
        <patternFill>
          <bgColor indexed="47"/>
        </patternFill>
      </fill>
    </dxf>
    <dxf>
      <font>
        <color theme="0"/>
      </font>
      <fill>
        <patternFill>
          <bgColor theme="0"/>
        </patternFill>
      </fill>
    </dxf>
    <dxf>
      <font>
        <color theme="0"/>
      </font>
      <fill>
        <patternFill patternType="none">
          <bgColor indexed="65"/>
        </patternFill>
      </fill>
    </dxf>
    <dxf>
      <font>
        <b/>
        <i val="0"/>
        <color indexed="10"/>
      </font>
      <fill>
        <patternFill>
          <bgColor indexed="47"/>
        </patternFill>
      </fill>
    </dxf>
    <dxf>
      <font>
        <b/>
        <i val="0"/>
        <color indexed="10"/>
      </font>
      <fill>
        <patternFill>
          <bgColor indexed="47"/>
        </patternFill>
      </fill>
    </dxf>
    <dxf>
      <font>
        <b/>
        <i val="0"/>
        <color indexed="10"/>
      </font>
      <fill>
        <patternFill>
          <bgColor indexed="47"/>
        </patternFill>
      </fill>
    </dxf>
    <dxf>
      <font>
        <b/>
        <i val="0"/>
        <color indexed="10"/>
      </font>
      <fill>
        <patternFill>
          <bgColor indexed="47"/>
        </patternFill>
      </fill>
    </dxf>
    <dxf>
      <font>
        <color indexed="9"/>
      </font>
    </dxf>
    <dxf>
      <font>
        <color theme="0"/>
      </font>
      <fill>
        <patternFill>
          <bgColor theme="0"/>
        </patternFill>
      </fill>
    </dxf>
    <dxf>
      <font>
        <color theme="0"/>
      </font>
      <border>
        <left/>
        <right/>
        <bottom/>
      </border>
    </dxf>
    <dxf>
      <font>
        <color indexed="23"/>
      </font>
    </dxf>
    <dxf>
      <font>
        <color auto="1"/>
      </font>
      <fill>
        <patternFill patternType="solid">
          <bgColor indexed="5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1" i="0" u="none" baseline="0">
                <a:solidFill>
                  <a:srgbClr val="000000"/>
                </a:solidFill>
                <a:latin typeface="Arial"/>
                <a:ea typeface="Arial"/>
                <a:cs typeface="Arial"/>
              </a:rPr>
              <a:t>Compressor Operation</a:t>
            </a:r>
          </a:p>
        </c:rich>
      </c:tx>
      <c:layout>
        <c:manualLayout>
          <c:xMode val="factor"/>
          <c:yMode val="factor"/>
          <c:x val="-0.0055"/>
          <c:y val="-0.0285"/>
        </c:manualLayout>
      </c:layout>
      <c:spPr>
        <a:noFill/>
        <a:ln>
          <a:noFill/>
        </a:ln>
      </c:spPr>
    </c:title>
    <c:plotArea>
      <c:layout>
        <c:manualLayout>
          <c:xMode val="edge"/>
          <c:yMode val="edge"/>
          <c:x val="0.04325"/>
          <c:y val="0.065"/>
          <c:w val="0.93525"/>
          <c:h val="0.855"/>
        </c:manualLayout>
      </c:layout>
      <c:scatterChart>
        <c:scatterStyle val="lineMarker"/>
        <c:varyColors val="0"/>
        <c:ser>
          <c:idx val="0"/>
          <c:order val="0"/>
          <c:tx>
            <c:v>Baseline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'Savings Calculations'!$C$96:$C$102</c:f>
              <c:numCache/>
            </c:numRef>
          </c:xVal>
          <c:yVal>
            <c:numRef>
              <c:f>'Savings Calculations'!$D$96:$D$102</c:f>
              <c:numCache/>
            </c:numRef>
          </c:yVal>
          <c:smooth val="0"/>
        </c:ser>
        <c:ser>
          <c:idx val="1"/>
          <c:order val="1"/>
          <c:tx>
            <c:v>Upgrade</c:v>
          </c:tx>
          <c:spPr>
            <a:ln w="25400">
              <a:solidFill>
                <a:srgbClr val="993366"/>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'Savings Calculations'!$G$96:$G$102</c:f>
              <c:numCache/>
            </c:numRef>
          </c:xVal>
          <c:yVal>
            <c:numRef>
              <c:f>'Savings Calculations'!$H$96:$H$102</c:f>
              <c:numCache/>
            </c:numRef>
          </c:yVal>
          <c:smooth val="0"/>
        </c:ser>
        <c:ser>
          <c:idx val="2"/>
          <c:order val="2"/>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8"/>
            <c:spPr>
              <a:solidFill>
                <a:srgbClr val="666699"/>
              </a:solidFill>
              <a:ln>
                <a:solidFill>
                  <a:srgbClr val="666699"/>
                </a:solidFill>
              </a:ln>
            </c:spPr>
          </c:marker>
          <c:xVal>
            <c:numRef>
              <c:f>'Savings Calculations'!$C$88:$C$94</c:f>
              <c:numCache/>
            </c:numRef>
          </c:xVal>
          <c:yVal>
            <c:numRef>
              <c:f>'Savings Calculations'!$D$88:$D$94</c:f>
              <c:numCache/>
            </c:numRef>
          </c:yVal>
          <c:smooth val="0"/>
        </c:ser>
        <c:ser>
          <c:idx val="3"/>
          <c:order val="3"/>
          <c:spPr>
            <a:ln w="3175">
              <a:noFill/>
            </a:ln>
          </c:spPr>
          <c:extLst>
            <c:ext xmlns:c14="http://schemas.microsoft.com/office/drawing/2007/8/2/chart" uri="{6F2FDCE9-48DA-4B69-8628-5D25D57E5C99}">
              <c14:invertSolidFillFmt>
                <c14:spPr>
                  <a:solidFill>
                    <a:srgbClr val="FFFFFF"/>
                  </a:solidFill>
                </c14:spPr>
              </c14:invertSolidFillFmt>
            </c:ext>
          </c:extLst>
          <c:marker>
            <c:symbol val="triangle"/>
            <c:size val="8"/>
            <c:spPr>
              <a:solidFill>
                <a:srgbClr val="993366"/>
              </a:solidFill>
              <a:ln>
                <a:solidFill>
                  <a:srgbClr val="993366"/>
                </a:solidFill>
              </a:ln>
            </c:spPr>
          </c:marker>
          <c:xVal>
            <c:numRef>
              <c:f>'Savings Calculations'!$G$88:$G$94</c:f>
              <c:numCache/>
            </c:numRef>
          </c:xVal>
          <c:yVal>
            <c:numRef>
              <c:f>'Savings Calculations'!$H$88:$H$94</c:f>
              <c:numCache/>
            </c:numRef>
          </c:yVal>
          <c:smooth val="0"/>
        </c:ser>
        <c:axId val="34286818"/>
        <c:axId val="40145907"/>
      </c:scatterChart>
      <c:valAx>
        <c:axId val="34286818"/>
        <c:scaling>
          <c:orientation val="minMax"/>
          <c:max val="1"/>
        </c:scaling>
        <c:axPos val="b"/>
        <c:title>
          <c:tx>
            <c:rich>
              <a:bodyPr vert="horz" rot="0" anchor="ctr"/>
              <a:lstStyle/>
              <a:p>
                <a:pPr algn="ctr">
                  <a:defRPr/>
                </a:pPr>
                <a:r>
                  <a:rPr lang="en-US" cap="none" sz="800" b="1" i="0" u="none" baseline="0">
                    <a:solidFill>
                      <a:srgbClr val="000000"/>
                    </a:solidFill>
                    <a:latin typeface="Arial"/>
                    <a:ea typeface="Arial"/>
                    <a:cs typeface="Arial"/>
                  </a:rPr>
                  <a:t>Percent Capacity</a:t>
                </a:r>
              </a:p>
            </c:rich>
          </c:tx>
          <c:layout>
            <c:manualLayout>
              <c:xMode val="factor"/>
              <c:yMode val="factor"/>
              <c:x val="-0.01175"/>
              <c:y val="0.001"/>
            </c:manualLayout>
          </c:layout>
          <c:overlay val="0"/>
          <c:spPr>
            <a:noFill/>
            <a:ln>
              <a:noFill/>
            </a:ln>
          </c:spPr>
        </c:title>
        <c:delete val="0"/>
        <c:numFmt formatCode="General" sourceLinked="1"/>
        <c:majorTickMark val="out"/>
        <c:minorTickMark val="none"/>
        <c:tickLblPos val="nextTo"/>
        <c:spPr>
          <a:ln w="3175">
            <a:solidFill>
              <a:srgbClr val="000000"/>
            </a:solidFill>
          </a:ln>
        </c:spPr>
        <c:crossAx val="40145907"/>
        <c:crosses val="autoZero"/>
        <c:crossBetween val="midCat"/>
        <c:dispUnits/>
      </c:valAx>
      <c:valAx>
        <c:axId val="40145907"/>
        <c:scaling>
          <c:orientation val="minMax"/>
          <c:max val="1"/>
        </c:scaling>
        <c:axPos val="l"/>
        <c:title>
          <c:tx>
            <c:rich>
              <a:bodyPr vert="horz" rot="-5400000" anchor="ctr"/>
              <a:lstStyle/>
              <a:p>
                <a:pPr algn="ctr">
                  <a:defRPr/>
                </a:pPr>
                <a:r>
                  <a:rPr lang="en-US" cap="none" sz="800" b="1" i="0" u="none" baseline="0">
                    <a:solidFill>
                      <a:srgbClr val="000000"/>
                    </a:solidFill>
                    <a:latin typeface="Arial"/>
                    <a:ea typeface="Arial"/>
                    <a:cs typeface="Arial"/>
                  </a:rPr>
                  <a:t>Percent Power</a:t>
                </a:r>
              </a:p>
            </c:rich>
          </c:tx>
          <c:layout>
            <c:manualLayout>
              <c:xMode val="factor"/>
              <c:yMode val="factor"/>
              <c:x val="-0.0135"/>
              <c:y val="-0.021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4286818"/>
        <c:crosses val="autoZero"/>
        <c:crossBetween val="midCat"/>
        <c:dispUnits/>
        <c:majorUnit val="0.2"/>
      </c:valAx>
      <c:spPr>
        <a:noFill/>
        <a:ln w="12700">
          <a:solidFill>
            <a:srgbClr val="808080"/>
          </a:solidFill>
        </a:ln>
      </c:spPr>
    </c:plotArea>
    <c:legend>
      <c:legendPos val="r"/>
      <c:legendEntry>
        <c:idx val="2"/>
        <c:delete val="1"/>
      </c:legendEntry>
      <c:legendEntry>
        <c:idx val="3"/>
        <c:delete val="1"/>
      </c:legendEntry>
      <c:layout>
        <c:manualLayout>
          <c:xMode val="edge"/>
          <c:yMode val="edge"/>
          <c:x val="0.65175"/>
          <c:y val="0.5715"/>
          <c:w val="0.2785"/>
          <c:h val="0.14275"/>
        </c:manualLayout>
      </c:layout>
      <c:overlay val="0"/>
      <c:spPr>
        <a:solidFill>
          <a:srgbClr val="FFFFFF"/>
        </a:solidFill>
        <a:ln w="3175">
          <a:solidFill>
            <a:srgbClr val="000000"/>
          </a:solidFill>
        </a:ln>
      </c:spPr>
      <c:txPr>
        <a:bodyPr vert="horz" rot="0"/>
        <a:lstStyle/>
        <a:p>
          <a:pPr>
            <a:defRPr lang="en-US" cap="none" sz="255" b="1"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Non-cycling, water cool</a:t>
            </a:r>
          </a:p>
        </c:rich>
      </c:tx>
      <c:layout>
        <c:manualLayout>
          <c:xMode val="factor"/>
          <c:yMode val="factor"/>
          <c:x val="0.00225"/>
          <c:y val="0"/>
        </c:manualLayout>
      </c:layout>
      <c:spPr>
        <a:noFill/>
        <a:ln>
          <a:noFill/>
        </a:ln>
      </c:spPr>
    </c:title>
    <c:plotArea>
      <c:layout>
        <c:manualLayout>
          <c:xMode val="edge"/>
          <c:yMode val="edge"/>
          <c:x val="0.07275"/>
          <c:y val="0.12125"/>
          <c:w val="0.906"/>
          <c:h val="0.79375"/>
        </c:manualLayout>
      </c:layout>
      <c:scatterChart>
        <c:scatterStyle val="lineMarker"/>
        <c:varyColors val="0"/>
        <c:ser>
          <c:idx val="0"/>
          <c:order val="0"/>
          <c:tx>
            <c:strRef>
              <c:f>'Operating Power'!$C$8</c:f>
              <c:strCache>
                <c:ptCount val="1"/>
                <c:pt idx="0">
                  <c:v>air cool</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xVal>
            <c:numRef>
              <c:f>'Operating Power'!$B$125:$B$144</c:f>
              <c:numCache/>
            </c:numRef>
          </c:xVal>
          <c:yVal>
            <c:numRef>
              <c:f>'Operating Power'!$C$125:$C$144</c:f>
              <c:numCache/>
            </c:numRef>
          </c:yVal>
          <c:smooth val="0"/>
        </c:ser>
        <c:axId val="55224668"/>
        <c:axId val="27259965"/>
      </c:scatterChart>
      <c:valAx>
        <c:axId val="55224668"/>
        <c:scaling>
          <c:orientation val="minMax"/>
          <c:max val="6000"/>
        </c:scaling>
        <c:axPos val="b"/>
        <c:title>
          <c:tx>
            <c:rich>
              <a:bodyPr vert="horz" rot="0" anchor="ctr"/>
              <a:lstStyle/>
              <a:p>
                <a:pPr algn="ctr">
                  <a:defRPr/>
                </a:pPr>
                <a:r>
                  <a:rPr lang="en-US" cap="none" sz="800" b="1" i="0" u="none" baseline="0">
                    <a:solidFill>
                      <a:srgbClr val="000000"/>
                    </a:solidFill>
                    <a:latin typeface="Arial"/>
                    <a:ea typeface="Arial"/>
                    <a:cs typeface="Arial"/>
                  </a:rPr>
                  <a:t>SCFM</a:t>
                </a:r>
              </a:p>
            </c:rich>
          </c:tx>
          <c:layout>
            <c:manualLayout>
              <c:xMode val="factor"/>
              <c:yMode val="factor"/>
              <c:x val="-0.00925"/>
              <c:y val="0.001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27259965"/>
        <c:crosses val="autoZero"/>
        <c:crossBetween val="midCat"/>
        <c:dispUnits/>
      </c:valAx>
      <c:valAx>
        <c:axId val="27259965"/>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kW</a:t>
                </a:r>
              </a:p>
            </c:rich>
          </c:tx>
          <c:layout>
            <c:manualLayout>
              <c:xMode val="factor"/>
              <c:yMode val="factor"/>
              <c:x val="-0.00675"/>
              <c:y val="-0.002"/>
            </c:manualLayout>
          </c:layout>
          <c:overlay val="0"/>
          <c:spPr>
            <a:noFill/>
            <a:ln>
              <a:noFill/>
            </a:ln>
          </c:spPr>
        </c:title>
        <c:delete val="0"/>
        <c:numFmt formatCode="General" sourceLinked="1"/>
        <c:majorTickMark val="out"/>
        <c:minorTickMark val="none"/>
        <c:tickLblPos val="nextTo"/>
        <c:spPr>
          <a:ln w="3175">
            <a:solidFill>
              <a:srgbClr val="000000"/>
            </a:solidFill>
          </a:ln>
        </c:spPr>
        <c:crossAx val="55224668"/>
        <c:crosses val="autoZero"/>
        <c:crossBetween val="midCat"/>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1" i="0" u="none" baseline="0">
                <a:solidFill>
                  <a:srgbClr val="000000"/>
                </a:solidFill>
                <a:latin typeface="Arial"/>
                <a:ea typeface="Arial"/>
                <a:cs typeface="Arial"/>
              </a:rPr>
              <a:t>Operating Points</a:t>
            </a:r>
          </a:p>
        </c:rich>
      </c:tx>
      <c:layout>
        <c:manualLayout>
          <c:xMode val="factor"/>
          <c:yMode val="factor"/>
          <c:x val="0"/>
          <c:y val="-0.0285"/>
        </c:manualLayout>
      </c:layout>
      <c:spPr>
        <a:noFill/>
        <a:ln>
          <a:noFill/>
        </a:ln>
      </c:spPr>
    </c:title>
    <c:plotArea>
      <c:layout>
        <c:manualLayout>
          <c:xMode val="edge"/>
          <c:yMode val="edge"/>
          <c:x val="0.0365"/>
          <c:y val="0.052"/>
          <c:w val="0.9565"/>
          <c:h val="0.8825"/>
        </c:manualLayout>
      </c:layout>
      <c:scatterChart>
        <c:scatterStyle val="lineMarker"/>
        <c:varyColors val="0"/>
        <c:ser>
          <c:idx val="2"/>
          <c:order val="0"/>
          <c:tx>
            <c:v>Baseline</c:v>
          </c:tx>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8"/>
            <c:spPr>
              <a:solidFill>
                <a:srgbClr val="666699"/>
              </a:solidFill>
              <a:ln>
                <a:solidFill>
                  <a:srgbClr val="666699"/>
                </a:solidFill>
              </a:ln>
            </c:spPr>
          </c:marker>
          <c:xVal>
            <c:numRef>
              <c:f>'Savings Calculations'!$G$42:$G$45</c:f>
              <c:numCache/>
            </c:numRef>
          </c:xVal>
          <c:yVal>
            <c:numRef>
              <c:f>'Savings Calculations'!$M$42:$M$45</c:f>
              <c:numCache/>
            </c:numRef>
          </c:yVal>
          <c:smooth val="0"/>
        </c:ser>
        <c:ser>
          <c:idx val="3"/>
          <c:order val="1"/>
          <c:tx>
            <c:v>Upgrade</c:v>
          </c:tx>
          <c:spPr>
            <a:ln w="3175">
              <a:noFill/>
            </a:ln>
          </c:spPr>
          <c:extLst>
            <c:ext xmlns:c14="http://schemas.microsoft.com/office/drawing/2007/8/2/chart" uri="{6F2FDCE9-48DA-4B69-8628-5D25D57E5C99}">
              <c14:invertSolidFillFmt>
                <c14:spPr>
                  <a:solidFill>
                    <a:srgbClr val="FFFFFF"/>
                  </a:solidFill>
                </c14:spPr>
              </c14:invertSolidFillFmt>
            </c:ext>
          </c:extLst>
          <c:marker>
            <c:symbol val="triangle"/>
            <c:size val="8"/>
            <c:spPr>
              <a:solidFill>
                <a:srgbClr val="993366"/>
              </a:solidFill>
              <a:ln>
                <a:solidFill>
                  <a:srgbClr val="993366"/>
                </a:solidFill>
              </a:ln>
            </c:spPr>
          </c:marker>
          <c:xVal>
            <c:numRef>
              <c:f>'Savings Calculations'!$G$42:$G$45</c:f>
              <c:numCache/>
            </c:numRef>
          </c:xVal>
          <c:yVal>
            <c:numRef>
              <c:f>'Savings Calculations'!$T$42:$T$45</c:f>
              <c:numCache/>
            </c:numRef>
          </c:yVal>
          <c:smooth val="0"/>
        </c:ser>
        <c:axId val="25768844"/>
        <c:axId val="30593005"/>
      </c:scatterChart>
      <c:valAx>
        <c:axId val="25768844"/>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Capacity (scfm)</a:t>
                </a:r>
              </a:p>
            </c:rich>
          </c:tx>
          <c:layout>
            <c:manualLayout>
              <c:xMode val="factor"/>
              <c:yMode val="factor"/>
              <c:x val="-0.01125"/>
              <c:y val="0"/>
            </c:manualLayout>
          </c:layout>
          <c:overlay val="0"/>
          <c:spPr>
            <a:noFill/>
            <a:ln>
              <a:noFill/>
            </a:ln>
          </c:spPr>
        </c:title>
        <c:delete val="0"/>
        <c:numFmt formatCode="General" sourceLinked="1"/>
        <c:majorTickMark val="out"/>
        <c:minorTickMark val="none"/>
        <c:tickLblPos val="nextTo"/>
        <c:spPr>
          <a:ln w="3175">
            <a:solidFill>
              <a:srgbClr val="000000"/>
            </a:solidFill>
          </a:ln>
        </c:spPr>
        <c:crossAx val="30593005"/>
        <c:crosses val="autoZero"/>
        <c:crossBetween val="midCat"/>
        <c:dispUnits/>
      </c:valAx>
      <c:valAx>
        <c:axId val="30593005"/>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Power Draw (kW)</a:t>
                </a:r>
              </a:p>
            </c:rich>
          </c:tx>
          <c:layout>
            <c:manualLayout>
              <c:xMode val="factor"/>
              <c:yMode val="factor"/>
              <c:x val="-0.00425"/>
              <c:y val="-0.019"/>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25768844"/>
        <c:crosses val="autoZero"/>
        <c:crossBetween val="midCat"/>
        <c:dispUnits/>
      </c:valAx>
      <c:spPr>
        <a:noFill/>
        <a:ln w="12700">
          <a:solidFill>
            <a:srgbClr val="808080"/>
          </a:solidFill>
        </a:ln>
      </c:spPr>
    </c:plotArea>
    <c:legend>
      <c:legendPos val="r"/>
      <c:layout>
        <c:manualLayout>
          <c:xMode val="edge"/>
          <c:yMode val="edge"/>
          <c:x val="0.736"/>
          <c:y val="0.57375"/>
          <c:w val="0.2195"/>
          <c:h val="0.1535"/>
        </c:manualLayout>
      </c:layout>
      <c:overlay val="0"/>
      <c:spPr>
        <a:solidFill>
          <a:srgbClr val="FFFFFF"/>
        </a:solidFill>
        <a:ln w="3175">
          <a:solidFill>
            <a:srgbClr val="000000"/>
          </a:solidFill>
        </a:ln>
      </c:spPr>
      <c:txPr>
        <a:bodyPr vert="horz" rot="0"/>
        <a:lstStyle/>
        <a:p>
          <a:pPr>
            <a:defRPr lang="en-US" cap="none" sz="255" b="1"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1" i="0" u="none" baseline="0">
                <a:solidFill>
                  <a:srgbClr val="000000"/>
                </a:solidFill>
                <a:latin typeface="Arial"/>
                <a:ea typeface="Arial"/>
                <a:cs typeface="Arial"/>
              </a:rPr>
              <a:t>Part Load Performance</a:t>
            </a:r>
          </a:p>
        </c:rich>
      </c:tx>
      <c:layout>
        <c:manualLayout>
          <c:xMode val="factor"/>
          <c:yMode val="factor"/>
          <c:x val="0.033"/>
          <c:y val="-0.02225"/>
        </c:manualLayout>
      </c:layout>
      <c:spPr>
        <a:noFill/>
        <a:ln>
          <a:noFill/>
        </a:ln>
      </c:spPr>
    </c:title>
    <c:plotArea>
      <c:layout>
        <c:manualLayout>
          <c:xMode val="edge"/>
          <c:yMode val="edge"/>
          <c:x val="0.03375"/>
          <c:y val="0.07775"/>
          <c:w val="0.95575"/>
          <c:h val="0.82425"/>
        </c:manualLayout>
      </c:layout>
      <c:scatterChart>
        <c:scatterStyle val="lineMarker"/>
        <c:varyColors val="0"/>
        <c:ser>
          <c:idx val="0"/>
          <c:order val="0"/>
          <c:tx>
            <c:v>Baseline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'Operating Power'!$Y$10:$Y$11</c:f>
              <c:numCache>
                <c:ptCount val="2"/>
                <c:pt idx="0">
                  <c:v>1</c:v>
                </c:pt>
                <c:pt idx="1">
                  <c:v>0</c:v>
                </c:pt>
              </c:numCache>
            </c:numRef>
          </c:xVal>
          <c:yVal>
            <c:numRef>
              <c:f>'Operating Power'!$Z$10:$Z$11</c:f>
              <c:numCache>
                <c:ptCount val="2"/>
                <c:pt idx="0">
                  <c:v>1</c:v>
                </c:pt>
                <c:pt idx="1">
                  <c:v>0.945156157014015</c:v>
                </c:pt>
              </c:numCache>
            </c:numRef>
          </c:yVal>
          <c:smooth val="0"/>
        </c:ser>
        <c:ser>
          <c:idx val="1"/>
          <c:order val="1"/>
          <c:tx>
            <c:v>Upgrade</c:v>
          </c:tx>
          <c:spPr>
            <a:ln w="25400">
              <a:solidFill>
                <a:srgbClr val="993366"/>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'Operating Power'!$Z$36:$Z$38</c:f>
              <c:numCache>
                <c:ptCount val="3"/>
                <c:pt idx="0">
                  <c:v>1</c:v>
                </c:pt>
                <c:pt idx="1">
                  <c:v>0.1</c:v>
                </c:pt>
                <c:pt idx="2">
                  <c:v>0</c:v>
                </c:pt>
              </c:numCache>
            </c:numRef>
          </c:xVal>
          <c:yVal>
            <c:numRef>
              <c:f>'Operating Power'!$AA$36:$AA$38</c:f>
              <c:numCache>
                <c:ptCount val="3"/>
                <c:pt idx="0">
                  <c:v>1</c:v>
                </c:pt>
                <c:pt idx="1">
                  <c:v>0.19</c:v>
                </c:pt>
                <c:pt idx="2">
                  <c:v>0.09999999999999992</c:v>
                </c:pt>
              </c:numCache>
            </c:numRef>
          </c:yVal>
          <c:smooth val="0"/>
        </c:ser>
        <c:axId val="6901590"/>
        <c:axId val="62114311"/>
      </c:scatterChart>
      <c:valAx>
        <c:axId val="6901590"/>
        <c:scaling>
          <c:orientation val="minMax"/>
          <c:max val="1"/>
        </c:scaling>
        <c:axPos val="b"/>
        <c:title>
          <c:tx>
            <c:rich>
              <a:bodyPr vert="horz" rot="0" anchor="ctr"/>
              <a:lstStyle/>
              <a:p>
                <a:pPr algn="ctr">
                  <a:defRPr/>
                </a:pPr>
                <a:r>
                  <a:rPr lang="en-US" cap="none" sz="800" b="1" i="0" u="none" baseline="0">
                    <a:solidFill>
                      <a:srgbClr val="000000"/>
                    </a:solidFill>
                    <a:latin typeface="Arial"/>
                    <a:ea typeface="Arial"/>
                    <a:cs typeface="Arial"/>
                  </a:rPr>
                  <a:t>Percent Dryer Capacity</a:t>
                </a:r>
              </a:p>
            </c:rich>
          </c:tx>
          <c:layout>
            <c:manualLayout>
              <c:xMode val="factor"/>
              <c:yMode val="factor"/>
              <c:x val="-0.012"/>
              <c:y val="-0.01075"/>
            </c:manualLayout>
          </c:layout>
          <c:overlay val="0"/>
          <c:spPr>
            <a:noFill/>
            <a:ln>
              <a:noFill/>
            </a:ln>
          </c:spPr>
        </c:title>
        <c:delete val="0"/>
        <c:numFmt formatCode="0%" sourceLinked="0"/>
        <c:majorTickMark val="out"/>
        <c:minorTickMark val="none"/>
        <c:tickLblPos val="nextTo"/>
        <c:spPr>
          <a:ln w="3175">
            <a:solidFill>
              <a:srgbClr val="000000"/>
            </a:solidFill>
          </a:ln>
        </c:spPr>
        <c:crossAx val="62114311"/>
        <c:crosses val="autoZero"/>
        <c:crossBetween val="midCat"/>
        <c:dispUnits/>
      </c:valAx>
      <c:valAx>
        <c:axId val="62114311"/>
        <c:scaling>
          <c:orientation val="minMax"/>
          <c:max val="1"/>
        </c:scaling>
        <c:axPos val="l"/>
        <c:title>
          <c:tx>
            <c:rich>
              <a:bodyPr vert="horz" rot="-5400000" anchor="ctr"/>
              <a:lstStyle/>
              <a:p>
                <a:pPr algn="ctr">
                  <a:defRPr/>
                </a:pPr>
                <a:r>
                  <a:rPr lang="en-US" cap="none" sz="800" b="1" i="0" u="none" baseline="0">
                    <a:solidFill>
                      <a:srgbClr val="000000"/>
                    </a:solidFill>
                    <a:latin typeface="Arial"/>
                    <a:ea typeface="Arial"/>
                    <a:cs typeface="Arial"/>
                  </a:rPr>
                  <a:t>Percent Dryer Power</a:t>
                </a:r>
              </a:p>
            </c:rich>
          </c:tx>
          <c:layout>
            <c:manualLayout>
              <c:xMode val="factor"/>
              <c:yMode val="factor"/>
              <c:x val="-0.013"/>
              <c:y val="-0.02275"/>
            </c:manualLayout>
          </c:layout>
          <c:overlay val="0"/>
          <c:spPr>
            <a:noFill/>
            <a:ln>
              <a:noFill/>
            </a:ln>
          </c:spPr>
        </c:title>
        <c:majorGridlines>
          <c:spPr>
            <a:ln w="3175">
              <a:solidFill>
                <a:srgbClr val="808080"/>
              </a:solidFill>
            </a:ln>
          </c:spPr>
        </c:majorGridlines>
        <c:delete val="0"/>
        <c:numFmt formatCode="0%" sourceLinked="0"/>
        <c:majorTickMark val="out"/>
        <c:minorTickMark val="none"/>
        <c:tickLblPos val="nextTo"/>
        <c:spPr>
          <a:ln w="3175">
            <a:solidFill>
              <a:srgbClr val="000000"/>
            </a:solidFill>
          </a:ln>
        </c:spPr>
        <c:crossAx val="6901590"/>
        <c:crosses val="autoZero"/>
        <c:crossBetween val="midCat"/>
        <c:dispUnits/>
        <c:majorUnit val="0.2"/>
      </c:valAx>
      <c:spPr>
        <a:noFill/>
        <a:ln w="12700">
          <a:solidFill>
            <a:srgbClr val="808080"/>
          </a:solidFill>
        </a:ln>
      </c:spPr>
    </c:plotArea>
    <c:legend>
      <c:legendPos val="r"/>
      <c:layout>
        <c:manualLayout>
          <c:xMode val="edge"/>
          <c:yMode val="edge"/>
          <c:x val="0.65225"/>
          <c:y val="0.62225"/>
          <c:w val="0.26825"/>
          <c:h val="0.14225"/>
        </c:manualLayout>
      </c:layout>
      <c:overlay val="0"/>
      <c:spPr>
        <a:solidFill>
          <a:srgbClr val="FFFFFF"/>
        </a:solidFill>
        <a:ln w="3175">
          <a:solidFill>
            <a:srgbClr val="000000"/>
          </a:solidFill>
        </a:ln>
      </c:spPr>
      <c:txPr>
        <a:bodyPr vert="horz" rot="0"/>
        <a:lstStyle/>
        <a:p>
          <a:pPr>
            <a:defRPr lang="en-US" cap="none" sz="230" b="1"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1" i="0" u="none" baseline="0">
                <a:solidFill>
                  <a:srgbClr val="000000"/>
                </a:solidFill>
                <a:latin typeface="Arial"/>
                <a:ea typeface="Arial"/>
                <a:cs typeface="Arial"/>
              </a:rPr>
              <a:t>Operating Points</a:t>
            </a:r>
          </a:p>
        </c:rich>
      </c:tx>
      <c:layout>
        <c:manualLayout>
          <c:xMode val="factor"/>
          <c:yMode val="factor"/>
          <c:x val="0.02675"/>
          <c:y val="-0.02225"/>
        </c:manualLayout>
      </c:layout>
      <c:spPr>
        <a:noFill/>
        <a:ln>
          <a:noFill/>
        </a:ln>
      </c:spPr>
    </c:title>
    <c:plotArea>
      <c:layout>
        <c:manualLayout>
          <c:xMode val="edge"/>
          <c:yMode val="edge"/>
          <c:x val="0.0725"/>
          <c:y val="0.07775"/>
          <c:w val="0.90225"/>
          <c:h val="0.82425"/>
        </c:manualLayout>
      </c:layout>
      <c:scatterChart>
        <c:scatterStyle val="lineMarker"/>
        <c:varyColors val="0"/>
        <c:ser>
          <c:idx val="2"/>
          <c:order val="0"/>
          <c:tx>
            <c:v>Baseline</c:v>
          </c:tx>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8"/>
            <c:spPr>
              <a:solidFill>
                <a:srgbClr val="666699"/>
              </a:solidFill>
              <a:ln>
                <a:solidFill>
                  <a:srgbClr val="666699"/>
                </a:solidFill>
              </a:ln>
            </c:spPr>
          </c:marker>
          <c:xVal>
            <c:numRef>
              <c:f>'Dryer Inputs and Calculations'!$F$37:$F$40</c:f>
              <c:numCache/>
            </c:numRef>
          </c:xVal>
          <c:yVal>
            <c:numRef>
              <c:f>'Dryer Inputs and Calculations'!$I$37:$I$40</c:f>
              <c:numCache/>
            </c:numRef>
          </c:yVal>
          <c:smooth val="0"/>
        </c:ser>
        <c:ser>
          <c:idx val="3"/>
          <c:order val="1"/>
          <c:tx>
            <c:v>Upgrade</c:v>
          </c:tx>
          <c:spPr>
            <a:ln w="3175">
              <a:noFill/>
            </a:ln>
          </c:spPr>
          <c:extLst>
            <c:ext xmlns:c14="http://schemas.microsoft.com/office/drawing/2007/8/2/chart" uri="{6F2FDCE9-48DA-4B69-8628-5D25D57E5C99}">
              <c14:invertSolidFillFmt>
                <c14:spPr>
                  <a:solidFill>
                    <a:srgbClr val="FFFFFF"/>
                  </a:solidFill>
                </c14:spPr>
              </c14:invertSolidFillFmt>
            </c:ext>
          </c:extLst>
          <c:marker>
            <c:symbol val="triangle"/>
            <c:size val="8"/>
            <c:spPr>
              <a:solidFill>
                <a:srgbClr val="993366"/>
              </a:solidFill>
              <a:ln>
                <a:solidFill>
                  <a:srgbClr val="993366"/>
                </a:solidFill>
              </a:ln>
            </c:spPr>
          </c:marker>
          <c:xVal>
            <c:numRef>
              <c:f>'Dryer Inputs and Calculations'!$F$37:$F$40</c:f>
              <c:numCache/>
            </c:numRef>
          </c:xVal>
          <c:yVal>
            <c:numRef>
              <c:f>'Dryer Inputs and Calculations'!$M$37:$M$40</c:f>
              <c:numCache/>
            </c:numRef>
          </c:yVal>
          <c:smooth val="0"/>
        </c:ser>
        <c:axId val="22157888"/>
        <c:axId val="65203265"/>
      </c:scatterChart>
      <c:valAx>
        <c:axId val="22157888"/>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Capacity (scfm)</a:t>
                </a:r>
              </a:p>
            </c:rich>
          </c:tx>
          <c:layout>
            <c:manualLayout>
              <c:xMode val="factor"/>
              <c:yMode val="factor"/>
              <c:x val="-0.0135"/>
              <c:y val="0.0042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65203265"/>
        <c:crosses val="autoZero"/>
        <c:crossBetween val="midCat"/>
        <c:dispUnits/>
      </c:valAx>
      <c:valAx>
        <c:axId val="65203265"/>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Power Draw (kW)</a:t>
                </a:r>
              </a:p>
            </c:rich>
          </c:tx>
          <c:layout>
            <c:manualLayout>
              <c:xMode val="factor"/>
              <c:yMode val="factor"/>
              <c:x val="-0.013"/>
              <c:y val="0.00325"/>
            </c:manualLayout>
          </c:layout>
          <c:overlay val="0"/>
          <c:spPr>
            <a:noFill/>
            <a:ln>
              <a:noFill/>
            </a:ln>
          </c:spPr>
        </c:title>
        <c:majorGridlines>
          <c:spPr>
            <a:ln w="3175">
              <a:solidFill>
                <a:srgbClr val="808080"/>
              </a:solidFill>
            </a:ln>
          </c:spPr>
        </c:majorGridlines>
        <c:delete val="0"/>
        <c:numFmt formatCode="0.0" sourceLinked="0"/>
        <c:majorTickMark val="out"/>
        <c:minorTickMark val="none"/>
        <c:tickLblPos val="nextTo"/>
        <c:spPr>
          <a:ln w="3175">
            <a:solidFill>
              <a:srgbClr val="000000"/>
            </a:solidFill>
          </a:ln>
        </c:spPr>
        <c:crossAx val="22157888"/>
        <c:crosses val="autoZero"/>
        <c:crossBetween val="midCat"/>
        <c:dispUnits/>
      </c:valAx>
      <c:spPr>
        <a:noFill/>
        <a:ln w="12700">
          <a:solidFill>
            <a:srgbClr val="808080"/>
          </a:solidFill>
        </a:ln>
      </c:spPr>
    </c:plotArea>
    <c:legend>
      <c:legendPos val="r"/>
      <c:layout>
        <c:manualLayout>
          <c:xMode val="edge"/>
          <c:yMode val="edge"/>
          <c:x val="0.67675"/>
          <c:y val="0.61775"/>
          <c:w val="0.25"/>
          <c:h val="0.14675"/>
        </c:manualLayout>
      </c:layout>
      <c:overlay val="0"/>
      <c:spPr>
        <a:solidFill>
          <a:srgbClr val="FFFFFF"/>
        </a:solidFill>
        <a:ln w="3175">
          <a:solidFill>
            <a:srgbClr val="000000"/>
          </a:solidFill>
        </a:ln>
      </c:spPr>
      <c:txPr>
        <a:bodyPr vert="horz" rot="0"/>
        <a:lstStyle/>
        <a:p>
          <a:pPr>
            <a:defRPr lang="en-US" cap="none" sz="230" b="1"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Title</a:t>
            </a:r>
          </a:p>
        </c:rich>
      </c:tx>
      <c:layout/>
      <c:spPr>
        <a:noFill/>
        <a:ln>
          <a:noFill/>
        </a:ln>
      </c:spPr>
    </c:title>
    <c:plotArea>
      <c:layout/>
      <c:scatterChart>
        <c:scatterStyle val="lineMarker"/>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yVal>
            <c:numLit>
              <c:ptCount val="1"/>
              <c:pt idx="0">
                <c:v>0</c:v>
              </c:pt>
            </c:numLit>
          </c:yVal>
          <c:smooth val="0"/>
        </c:ser>
        <c:axId val="49958474"/>
        <c:axId val="46973083"/>
      </c:scatterChart>
      <c:valAx>
        <c:axId val="49958474"/>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X</a:t>
                </a:r>
              </a:p>
            </c:rich>
          </c:tx>
          <c:layout/>
          <c:overlay val="0"/>
          <c:spPr>
            <a:noFill/>
            <a:ln>
              <a:noFill/>
            </a:ln>
          </c:spPr>
        </c:title>
        <c:majorGridlines>
          <c:spPr>
            <a:ln w="3175">
              <a:solidFill>
                <a:srgbClr val="000000"/>
              </a:solidFill>
              <a:prstDash val="sysDot"/>
            </a:ln>
          </c:spPr>
        </c:majorGridlines>
        <c:delete val="0"/>
        <c:numFmt formatCode="General" sourceLinked="1"/>
        <c:majorTickMark val="cross"/>
        <c:minorTickMark val="none"/>
        <c:tickLblPos val="nextTo"/>
        <c:spPr>
          <a:ln w="3175">
            <a:solidFill>
              <a:srgbClr val="000000"/>
            </a:solidFill>
          </a:ln>
        </c:spPr>
        <c:crossAx val="46973083"/>
        <c:crosses val="autoZero"/>
        <c:crossBetween val="midCat"/>
        <c:dispUnits/>
      </c:valAx>
      <c:valAx>
        <c:axId val="46973083"/>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Y</a:t>
                </a:r>
              </a:p>
            </c:rich>
          </c:tx>
          <c:layout/>
          <c:overlay val="0"/>
          <c:spPr>
            <a:noFill/>
            <a:ln>
              <a:noFill/>
            </a:ln>
          </c:spPr>
        </c:title>
        <c:majorGridlines>
          <c:spPr>
            <a:ln w="3175">
              <a:solidFill>
                <a:srgbClr val="000000"/>
              </a:solidFill>
              <a:prstDash val="sysDot"/>
            </a:ln>
          </c:spPr>
        </c:majorGridlines>
        <c:delete val="0"/>
        <c:numFmt formatCode="General" sourceLinked="1"/>
        <c:majorTickMark val="cross"/>
        <c:minorTickMark val="none"/>
        <c:tickLblPos val="nextTo"/>
        <c:spPr>
          <a:ln w="3175">
            <a:solidFill>
              <a:srgbClr val="000000"/>
            </a:solidFill>
          </a:ln>
        </c:spPr>
        <c:crossAx val="49958474"/>
        <c:crosses val="autoZero"/>
        <c:crossBetween val="midCat"/>
        <c:dispUnits/>
      </c:valAx>
      <c:spPr>
        <a:noFill/>
        <a:ln w="3175">
          <a:solidFill>
            <a:srgbClr val="00000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45"/>
          <c:y val="0.02775"/>
          <c:w val="0.95125"/>
          <c:h val="0.944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trendline>
            <c:spPr>
              <a:ln w="25400">
                <a:solidFill>
                  <a:srgbClr val="000000"/>
                </a:solidFill>
              </a:ln>
            </c:spPr>
            <c:trendlineType val="poly"/>
            <c:order val="3"/>
            <c:dispEq val="1"/>
            <c:dispRSqr val="0"/>
            <c:trendlineLbl>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General"/>
            </c:trendlineLbl>
          </c:trendline>
          <c:xVal>
            <c:numRef>
              <c:f>'Correction Factors'!$K$7:$K$13</c:f>
              <c:numCache/>
            </c:numRef>
          </c:xVal>
          <c:yVal>
            <c:numRef>
              <c:f>'Correction Factors'!$L$7:$L$13</c:f>
              <c:numCache/>
            </c:numRef>
          </c:yVal>
          <c:smooth val="0"/>
        </c:ser>
        <c:axId val="20104564"/>
        <c:axId val="46723349"/>
      </c:scatterChart>
      <c:valAx>
        <c:axId val="20104564"/>
        <c:scaling>
          <c:orientation val="minMax"/>
        </c:scaling>
        <c:axPos val="b"/>
        <c:delete val="0"/>
        <c:numFmt formatCode="General" sourceLinked="1"/>
        <c:majorTickMark val="out"/>
        <c:minorTickMark val="none"/>
        <c:tickLblPos val="nextTo"/>
        <c:spPr>
          <a:ln w="3175">
            <a:solidFill>
              <a:srgbClr val="000000"/>
            </a:solidFill>
          </a:ln>
        </c:spPr>
        <c:crossAx val="46723349"/>
        <c:crosses val="autoZero"/>
        <c:crossBetween val="midCat"/>
        <c:dispUnits/>
      </c:valAx>
      <c:valAx>
        <c:axId val="46723349"/>
        <c:scaling>
          <c:orientation val="minMax"/>
        </c:scaling>
        <c:axPos val="l"/>
        <c:delete val="0"/>
        <c:numFmt formatCode="General" sourceLinked="1"/>
        <c:majorTickMark val="out"/>
        <c:minorTickMark val="none"/>
        <c:tickLblPos val="nextTo"/>
        <c:spPr>
          <a:ln w="3175">
            <a:solidFill>
              <a:srgbClr val="000000"/>
            </a:solidFill>
          </a:ln>
        </c:spPr>
        <c:crossAx val="20104564"/>
        <c:crosses val="autoZero"/>
        <c:crossBetween val="midCat"/>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Cycling, air cool</a:t>
            </a:r>
          </a:p>
        </c:rich>
      </c:tx>
      <c:layout>
        <c:manualLayout>
          <c:xMode val="factor"/>
          <c:yMode val="factor"/>
          <c:x val="-0.00425"/>
          <c:y val="0"/>
        </c:manualLayout>
      </c:layout>
      <c:spPr>
        <a:noFill/>
        <a:ln>
          <a:noFill/>
        </a:ln>
      </c:spPr>
    </c:title>
    <c:plotArea>
      <c:layout>
        <c:manualLayout>
          <c:xMode val="edge"/>
          <c:yMode val="edge"/>
          <c:x val="0.076"/>
          <c:y val="0.12375"/>
          <c:w val="0.88925"/>
          <c:h val="0.79075"/>
        </c:manualLayout>
      </c:layout>
      <c:scatterChart>
        <c:scatterStyle val="lineMarker"/>
        <c:varyColors val="0"/>
        <c:ser>
          <c:idx val="0"/>
          <c:order val="0"/>
          <c:tx>
            <c:strRef>
              <c:f>'Operating Power'!$C$8</c:f>
              <c:strCache>
                <c:ptCount val="1"/>
                <c:pt idx="0">
                  <c:v>air cool</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trendline>
            <c:spPr>
              <a:ln w="25400">
                <a:solidFill>
                  <a:srgbClr val="000000"/>
                </a:solidFill>
              </a:ln>
            </c:spPr>
            <c:trendlineType val="linear"/>
            <c:dispEq val="0"/>
            <c:dispRSqr val="0"/>
          </c:trendline>
          <c:xVal>
            <c:numRef>
              <c:f>'Operating Power'!$B$9:$B$56</c:f>
              <c:numCache/>
            </c:numRef>
          </c:xVal>
          <c:yVal>
            <c:numRef>
              <c:f>'Operating Power'!$C$9:$C$56</c:f>
              <c:numCache/>
            </c:numRef>
          </c:yVal>
          <c:smooth val="0"/>
        </c:ser>
        <c:axId val="17856958"/>
        <c:axId val="26494895"/>
      </c:scatterChart>
      <c:valAx>
        <c:axId val="17856958"/>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SCFM</a:t>
                </a:r>
              </a:p>
            </c:rich>
          </c:tx>
          <c:layout>
            <c:manualLayout>
              <c:xMode val="factor"/>
              <c:yMode val="factor"/>
              <c:x val="-0.0095"/>
              <c:y val="0.0007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26494895"/>
        <c:crosses val="autoZero"/>
        <c:crossBetween val="midCat"/>
        <c:dispUnits/>
      </c:valAx>
      <c:valAx>
        <c:axId val="26494895"/>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kW</a:t>
                </a:r>
              </a:p>
            </c:rich>
          </c:tx>
          <c:layout>
            <c:manualLayout>
              <c:xMode val="factor"/>
              <c:yMode val="factor"/>
              <c:x val="-0.00825"/>
              <c:y val="-0.002"/>
            </c:manualLayout>
          </c:layout>
          <c:overlay val="0"/>
          <c:spPr>
            <a:noFill/>
            <a:ln>
              <a:noFill/>
            </a:ln>
          </c:spPr>
        </c:title>
        <c:delete val="0"/>
        <c:numFmt formatCode="General" sourceLinked="1"/>
        <c:majorTickMark val="out"/>
        <c:minorTickMark val="none"/>
        <c:tickLblPos val="nextTo"/>
        <c:spPr>
          <a:ln w="3175">
            <a:solidFill>
              <a:srgbClr val="000000"/>
            </a:solidFill>
          </a:ln>
        </c:spPr>
        <c:crossAx val="17856958"/>
        <c:crosses val="autoZero"/>
        <c:crossBetween val="midCat"/>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Cycling, water cool</a:t>
            </a:r>
          </a:p>
        </c:rich>
      </c:tx>
      <c:layout>
        <c:manualLayout>
          <c:xMode val="factor"/>
          <c:yMode val="factor"/>
          <c:x val="-0.00825"/>
          <c:y val="0"/>
        </c:manualLayout>
      </c:layout>
      <c:spPr>
        <a:noFill/>
        <a:ln>
          <a:noFill/>
        </a:ln>
      </c:spPr>
    </c:title>
    <c:plotArea>
      <c:layout>
        <c:manualLayout>
          <c:xMode val="edge"/>
          <c:yMode val="edge"/>
          <c:x val="0.076"/>
          <c:y val="0.12125"/>
          <c:w val="0.88875"/>
          <c:h val="0.75325"/>
        </c:manualLayout>
      </c:layout>
      <c:scatterChart>
        <c:scatterStyle val="lineMarker"/>
        <c:varyColors val="0"/>
        <c:ser>
          <c:idx val="0"/>
          <c:order val="0"/>
          <c:tx>
            <c:strRef>
              <c:f>'Operating Power'!$C$8</c:f>
              <c:strCache>
                <c:ptCount val="1"/>
                <c:pt idx="0">
                  <c:v>air cool</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trendline>
            <c:spPr>
              <a:ln w="25400">
                <a:solidFill>
                  <a:srgbClr val="000000"/>
                </a:solidFill>
              </a:ln>
            </c:spPr>
            <c:trendlineType val="linear"/>
            <c:dispEq val="0"/>
            <c:dispRSqr val="0"/>
          </c:trendline>
          <c:xVal>
            <c:numRef>
              <c:f>'Operating Power'!$Q$9:$Q$44</c:f>
              <c:numCache/>
            </c:numRef>
          </c:xVal>
          <c:yVal>
            <c:numRef>
              <c:f>'Operating Power'!$R$9:$R$44</c:f>
              <c:numCache/>
            </c:numRef>
          </c:yVal>
          <c:smooth val="0"/>
        </c:ser>
        <c:axId val="37127464"/>
        <c:axId val="65711721"/>
      </c:scatterChart>
      <c:valAx>
        <c:axId val="37127464"/>
        <c:scaling>
          <c:orientation val="minMax"/>
          <c:max val="4000"/>
        </c:scaling>
        <c:axPos val="b"/>
        <c:title>
          <c:tx>
            <c:rich>
              <a:bodyPr vert="horz" rot="0" anchor="ctr"/>
              <a:lstStyle/>
              <a:p>
                <a:pPr algn="ctr">
                  <a:defRPr/>
                </a:pPr>
                <a:r>
                  <a:rPr lang="en-US" cap="none" sz="800" b="1" i="0" u="none" baseline="0">
                    <a:solidFill>
                      <a:srgbClr val="000000"/>
                    </a:solidFill>
                    <a:latin typeface="Arial"/>
                    <a:ea typeface="Arial"/>
                    <a:cs typeface="Arial"/>
                  </a:rPr>
                  <a:t>SCFM</a:t>
                </a:r>
              </a:p>
            </c:rich>
          </c:tx>
          <c:layout>
            <c:manualLayout>
              <c:xMode val="factor"/>
              <c:yMode val="factor"/>
              <c:x val="-0.02325"/>
              <c:y val="0.0007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65711721"/>
        <c:crosses val="autoZero"/>
        <c:crossBetween val="midCat"/>
        <c:dispUnits/>
      </c:valAx>
      <c:valAx>
        <c:axId val="65711721"/>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kW</a:t>
                </a:r>
              </a:p>
            </c:rich>
          </c:tx>
          <c:layout>
            <c:manualLayout>
              <c:xMode val="factor"/>
              <c:yMode val="factor"/>
              <c:x val="-0.00825"/>
              <c:y val="-0.002"/>
            </c:manualLayout>
          </c:layout>
          <c:overlay val="0"/>
          <c:spPr>
            <a:noFill/>
            <a:ln>
              <a:noFill/>
            </a:ln>
          </c:spPr>
        </c:title>
        <c:delete val="0"/>
        <c:numFmt formatCode="General" sourceLinked="1"/>
        <c:majorTickMark val="out"/>
        <c:minorTickMark val="none"/>
        <c:tickLblPos val="nextTo"/>
        <c:spPr>
          <a:ln w="3175">
            <a:solidFill>
              <a:srgbClr val="000000"/>
            </a:solidFill>
          </a:ln>
        </c:spPr>
        <c:crossAx val="37127464"/>
        <c:crosses val="autoZero"/>
        <c:crossBetween val="midCat"/>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Non-cycling, air cool</a:t>
            </a:r>
          </a:p>
        </c:rich>
      </c:tx>
      <c:layout>
        <c:manualLayout>
          <c:xMode val="factor"/>
          <c:yMode val="factor"/>
          <c:x val="0.0045"/>
          <c:y val="0"/>
        </c:manualLayout>
      </c:layout>
      <c:spPr>
        <a:noFill/>
        <a:ln>
          <a:noFill/>
        </a:ln>
      </c:spPr>
    </c:title>
    <c:plotArea>
      <c:layout>
        <c:manualLayout>
          <c:xMode val="edge"/>
          <c:yMode val="edge"/>
          <c:x val="0.06475"/>
          <c:y val="0.1235"/>
          <c:w val="0.90275"/>
          <c:h val="0.79125"/>
        </c:manualLayout>
      </c:layout>
      <c:scatterChart>
        <c:scatterStyle val="lineMarker"/>
        <c:varyColors val="0"/>
        <c:ser>
          <c:idx val="0"/>
          <c:order val="0"/>
          <c:tx>
            <c:strRef>
              <c:f>'Operating Power'!$C$8</c:f>
              <c:strCache>
                <c:ptCount val="1"/>
                <c:pt idx="0">
                  <c:v>air cool</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xVal>
            <c:numRef>
              <c:f>'Operating Power'!$B$77:$B$99</c:f>
              <c:numCache/>
            </c:numRef>
          </c:xVal>
          <c:yVal>
            <c:numRef>
              <c:f>'Operating Power'!$C$77:$C$99</c:f>
              <c:numCache/>
            </c:numRef>
          </c:yVal>
          <c:smooth val="0"/>
        </c:ser>
        <c:axId val="54534578"/>
        <c:axId val="21049155"/>
      </c:scatterChart>
      <c:valAx>
        <c:axId val="54534578"/>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SCFM</a:t>
                </a:r>
              </a:p>
            </c:rich>
          </c:tx>
          <c:layout>
            <c:manualLayout>
              <c:xMode val="factor"/>
              <c:yMode val="factor"/>
              <c:x val="-0.0095"/>
              <c:y val="0.001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21049155"/>
        <c:crosses val="autoZero"/>
        <c:crossBetween val="midCat"/>
        <c:dispUnits/>
      </c:valAx>
      <c:valAx>
        <c:axId val="21049155"/>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kW</a:t>
                </a:r>
              </a:p>
            </c:rich>
          </c:tx>
          <c:layout>
            <c:manualLayout>
              <c:xMode val="factor"/>
              <c:yMode val="factor"/>
              <c:x val="-0.00675"/>
              <c:y val="-0.002"/>
            </c:manualLayout>
          </c:layout>
          <c:overlay val="0"/>
          <c:spPr>
            <a:noFill/>
            <a:ln>
              <a:noFill/>
            </a:ln>
          </c:spPr>
        </c:title>
        <c:delete val="0"/>
        <c:numFmt formatCode="General" sourceLinked="1"/>
        <c:majorTickMark val="out"/>
        <c:minorTickMark val="none"/>
        <c:tickLblPos val="nextTo"/>
        <c:spPr>
          <a:ln w="3175">
            <a:solidFill>
              <a:srgbClr val="000000"/>
            </a:solidFill>
          </a:ln>
        </c:spPr>
        <c:crossAx val="54534578"/>
        <c:crosses val="autoZero"/>
        <c:crossBetween val="midCat"/>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8.emf" /><Relationship Id="rId2" Type="http://schemas.openxmlformats.org/officeDocument/2006/relationships/image" Target="../media/image4.emf" /><Relationship Id="rId3" Type="http://schemas.openxmlformats.org/officeDocument/2006/relationships/image" Target="../media/image20.emf" /><Relationship Id="rId4" Type="http://schemas.openxmlformats.org/officeDocument/2006/relationships/image" Target="../media/image18.emf" /><Relationship Id="rId5" Type="http://schemas.openxmlformats.org/officeDocument/2006/relationships/image" Target="../media/image28.emf" /><Relationship Id="rId6" Type="http://schemas.openxmlformats.org/officeDocument/2006/relationships/image" Target="../media/image17.emf" /><Relationship Id="rId7" Type="http://schemas.openxmlformats.org/officeDocument/2006/relationships/image" Target="../media/image26.emf" /><Relationship Id="rId8" Type="http://schemas.openxmlformats.org/officeDocument/2006/relationships/image" Target="../media/image14.emf" /><Relationship Id="rId9" Type="http://schemas.openxmlformats.org/officeDocument/2006/relationships/image" Target="../media/image27.emf" /><Relationship Id="rId10" Type="http://schemas.openxmlformats.org/officeDocument/2006/relationships/image" Target="../media/image6.emf" /><Relationship Id="rId11" Type="http://schemas.openxmlformats.org/officeDocument/2006/relationships/image" Target="../media/image24.emf" /><Relationship Id="rId12" Type="http://schemas.openxmlformats.org/officeDocument/2006/relationships/image" Target="../media/image7.emf" /><Relationship Id="rId13" Type="http://schemas.openxmlformats.org/officeDocument/2006/relationships/image" Target="../media/image22.emf" /><Relationship Id="rId14" Type="http://schemas.openxmlformats.org/officeDocument/2006/relationships/image" Target="../media/image25.emf" /><Relationship Id="rId15" Type="http://schemas.openxmlformats.org/officeDocument/2006/relationships/image" Target="../media/image1.emf" /><Relationship Id="rId16" Type="http://schemas.openxmlformats.org/officeDocument/2006/relationships/image" Target="../media/image16.emf" /><Relationship Id="rId17" Type="http://schemas.openxmlformats.org/officeDocument/2006/relationships/image" Target="../media/image9.emf" /><Relationship Id="rId18" Type="http://schemas.openxmlformats.org/officeDocument/2006/relationships/image" Target="../media/image21.emf" /><Relationship Id="rId19" Type="http://schemas.openxmlformats.org/officeDocument/2006/relationships/image" Target="../media/image29.emf" /><Relationship Id="rId20" Type="http://schemas.openxmlformats.org/officeDocument/2006/relationships/image" Target="../media/image2.emf" /><Relationship Id="rId21" Type="http://schemas.openxmlformats.org/officeDocument/2006/relationships/image" Target="../media/image15.e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image" Target="../media/image19.emf" /><Relationship Id="rId4" Type="http://schemas.openxmlformats.org/officeDocument/2006/relationships/image" Target="../media/image13.emf" /></Relationships>
</file>

<file path=xl/drawings/_rels/drawing3.xml.rels><?xml version="1.0" encoding="utf-8" standalone="yes"?><Relationships xmlns="http://schemas.openxmlformats.org/package/2006/relationships"><Relationship Id="rId1" Type="http://schemas.openxmlformats.org/officeDocument/2006/relationships/image" Target="../media/image30.emf" /><Relationship Id="rId2" Type="http://schemas.openxmlformats.org/officeDocument/2006/relationships/image" Target="../media/image12.emf" /><Relationship Id="rId3" Type="http://schemas.openxmlformats.org/officeDocument/2006/relationships/image" Target="../media/image3.emf" /><Relationship Id="rId4" Type="http://schemas.openxmlformats.org/officeDocument/2006/relationships/image" Target="../media/image23.emf" /><Relationship Id="rId5" Type="http://schemas.openxmlformats.org/officeDocument/2006/relationships/chart" Target="/xl/charts/chart3.xml" /><Relationship Id="rId6" Type="http://schemas.openxmlformats.org/officeDocument/2006/relationships/chart" Target="/xl/charts/chart4.xml" /><Relationship Id="rId7" Type="http://schemas.openxmlformats.org/officeDocument/2006/relationships/image" Target="../media/image10.emf" /></Relationships>
</file>

<file path=xl/drawings/_rels/drawing4.xml.rels><?xml version="1.0" encoding="utf-8" standalone="yes"?><Relationships xmlns="http://schemas.openxmlformats.org/package/2006/relationships"><Relationship Id="rId1" Type="http://schemas.openxmlformats.org/officeDocument/2006/relationships/image" Target="../media/image11.emf"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 Id="rId4"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95250</xdr:colOff>
      <xdr:row>18</xdr:row>
      <xdr:rowOff>28575</xdr:rowOff>
    </xdr:from>
    <xdr:to>
      <xdr:col>12</xdr:col>
      <xdr:colOff>0</xdr:colOff>
      <xdr:row>19</xdr:row>
      <xdr:rowOff>19050</xdr:rowOff>
    </xdr:to>
    <xdr:pic>
      <xdr:nvPicPr>
        <xdr:cNvPr id="1" name="Oregon"/>
        <xdr:cNvPicPr preferRelativeResize="1">
          <a:picLocks noChangeAspect="0"/>
        </xdr:cNvPicPr>
      </xdr:nvPicPr>
      <xdr:blipFill>
        <a:blip r:embed="rId1"/>
        <a:stretch>
          <a:fillRect/>
        </a:stretch>
      </xdr:blipFill>
      <xdr:spPr>
        <a:xfrm>
          <a:off x="1781175" y="2924175"/>
          <a:ext cx="590550" cy="219075"/>
        </a:xfrm>
        <a:prstGeom prst="rect">
          <a:avLst/>
        </a:prstGeom>
        <a:solidFill>
          <a:srgbClr val="FFFFFF"/>
        </a:solidFill>
        <a:ln w="1" cmpd="sng">
          <a:noFill/>
        </a:ln>
      </xdr:spPr>
    </xdr:pic>
    <xdr:clientData fLocksWithSheet="0"/>
  </xdr:twoCellAnchor>
  <xdr:twoCellAnchor editAs="oneCell">
    <xdr:from>
      <xdr:col>12</xdr:col>
      <xdr:colOff>95250</xdr:colOff>
      <xdr:row>18</xdr:row>
      <xdr:rowOff>28575</xdr:rowOff>
    </xdr:from>
    <xdr:to>
      <xdr:col>16</xdr:col>
      <xdr:colOff>38100</xdr:colOff>
      <xdr:row>19</xdr:row>
      <xdr:rowOff>19050</xdr:rowOff>
    </xdr:to>
    <xdr:pic>
      <xdr:nvPicPr>
        <xdr:cNvPr id="2" name="Washington"/>
        <xdr:cNvPicPr preferRelativeResize="1">
          <a:picLocks noChangeAspect="0"/>
        </xdr:cNvPicPr>
      </xdr:nvPicPr>
      <xdr:blipFill>
        <a:blip r:embed="rId2"/>
        <a:stretch>
          <a:fillRect/>
        </a:stretch>
      </xdr:blipFill>
      <xdr:spPr>
        <a:xfrm>
          <a:off x="2466975" y="2924175"/>
          <a:ext cx="857250" cy="219075"/>
        </a:xfrm>
        <a:prstGeom prst="rect">
          <a:avLst/>
        </a:prstGeom>
        <a:solidFill>
          <a:srgbClr val="FFFFFF"/>
        </a:solidFill>
        <a:ln w="1" cmpd="sng">
          <a:noFill/>
        </a:ln>
      </xdr:spPr>
    </xdr:pic>
    <xdr:clientData fLocksWithSheet="0"/>
  </xdr:twoCellAnchor>
  <xdr:twoCellAnchor editAs="oneCell">
    <xdr:from>
      <xdr:col>16</xdr:col>
      <xdr:colOff>161925</xdr:colOff>
      <xdr:row>18</xdr:row>
      <xdr:rowOff>28575</xdr:rowOff>
    </xdr:from>
    <xdr:to>
      <xdr:col>19</xdr:col>
      <xdr:colOff>38100</xdr:colOff>
      <xdr:row>19</xdr:row>
      <xdr:rowOff>19050</xdr:rowOff>
    </xdr:to>
    <xdr:pic>
      <xdr:nvPicPr>
        <xdr:cNvPr id="3" name="Idaho"/>
        <xdr:cNvPicPr preferRelativeResize="1">
          <a:picLocks noChangeAspect="0"/>
        </xdr:cNvPicPr>
      </xdr:nvPicPr>
      <xdr:blipFill>
        <a:blip r:embed="rId3"/>
        <a:stretch>
          <a:fillRect/>
        </a:stretch>
      </xdr:blipFill>
      <xdr:spPr>
        <a:xfrm>
          <a:off x="3448050" y="2924175"/>
          <a:ext cx="571500" cy="219075"/>
        </a:xfrm>
        <a:prstGeom prst="rect">
          <a:avLst/>
        </a:prstGeom>
        <a:solidFill>
          <a:srgbClr val="FFFFFF"/>
        </a:solidFill>
        <a:ln w="1" cmpd="sng">
          <a:noFill/>
        </a:ln>
      </xdr:spPr>
    </xdr:pic>
    <xdr:clientData fLocksWithSheet="0"/>
  </xdr:twoCellAnchor>
  <xdr:twoCellAnchor editAs="oneCell">
    <xdr:from>
      <xdr:col>9</xdr:col>
      <xdr:colOff>95250</xdr:colOff>
      <xdr:row>19</xdr:row>
      <xdr:rowOff>0</xdr:rowOff>
    </xdr:from>
    <xdr:to>
      <xdr:col>13</xdr:col>
      <xdr:colOff>66675</xdr:colOff>
      <xdr:row>20</xdr:row>
      <xdr:rowOff>28575</xdr:rowOff>
    </xdr:to>
    <xdr:pic>
      <xdr:nvPicPr>
        <xdr:cNvPr id="4" name="PacificPowerBox"/>
        <xdr:cNvPicPr preferRelativeResize="1">
          <a:picLocks noChangeAspect="0"/>
        </xdr:cNvPicPr>
      </xdr:nvPicPr>
      <xdr:blipFill>
        <a:blip r:embed="rId4"/>
        <a:stretch>
          <a:fillRect/>
        </a:stretch>
      </xdr:blipFill>
      <xdr:spPr>
        <a:xfrm>
          <a:off x="1781175" y="3124200"/>
          <a:ext cx="885825" cy="219075"/>
        </a:xfrm>
        <a:prstGeom prst="rect">
          <a:avLst/>
        </a:prstGeom>
        <a:solidFill>
          <a:srgbClr val="FFFFFF"/>
        </a:solidFill>
        <a:ln w="1" cmpd="sng">
          <a:noFill/>
        </a:ln>
      </xdr:spPr>
    </xdr:pic>
    <xdr:clientData fLocksWithSheet="0"/>
  </xdr:twoCellAnchor>
  <xdr:twoCellAnchor editAs="oneCell">
    <xdr:from>
      <xdr:col>14</xdr:col>
      <xdr:colOff>38100</xdr:colOff>
      <xdr:row>18</xdr:row>
      <xdr:rowOff>219075</xdr:rowOff>
    </xdr:from>
    <xdr:to>
      <xdr:col>16</xdr:col>
      <xdr:colOff>38100</xdr:colOff>
      <xdr:row>20</xdr:row>
      <xdr:rowOff>38100</xdr:rowOff>
    </xdr:to>
    <xdr:pic>
      <xdr:nvPicPr>
        <xdr:cNvPr id="5" name="PGEBox"/>
        <xdr:cNvPicPr preferRelativeResize="1">
          <a:picLocks noChangeAspect="1"/>
        </xdr:cNvPicPr>
      </xdr:nvPicPr>
      <xdr:blipFill>
        <a:blip r:embed="rId5"/>
        <a:stretch>
          <a:fillRect/>
        </a:stretch>
      </xdr:blipFill>
      <xdr:spPr>
        <a:xfrm>
          <a:off x="2867025" y="3114675"/>
          <a:ext cx="457200" cy="238125"/>
        </a:xfrm>
        <a:prstGeom prst="rect">
          <a:avLst/>
        </a:prstGeom>
        <a:solidFill>
          <a:srgbClr val="FFFFFF"/>
        </a:solidFill>
        <a:ln w="1" cmpd="sng">
          <a:noFill/>
        </a:ln>
      </xdr:spPr>
    </xdr:pic>
    <xdr:clientData fLocksWithSheet="0"/>
  </xdr:twoCellAnchor>
  <xdr:twoCellAnchor editAs="oneCell">
    <xdr:from>
      <xdr:col>23</xdr:col>
      <xdr:colOff>161925</xdr:colOff>
      <xdr:row>19</xdr:row>
      <xdr:rowOff>0</xdr:rowOff>
    </xdr:from>
    <xdr:to>
      <xdr:col>28</xdr:col>
      <xdr:colOff>190500</xdr:colOff>
      <xdr:row>20</xdr:row>
      <xdr:rowOff>28575</xdr:rowOff>
    </xdr:to>
    <xdr:pic>
      <xdr:nvPicPr>
        <xdr:cNvPr id="6" name="BPABox"/>
        <xdr:cNvPicPr preferRelativeResize="1">
          <a:picLocks noChangeAspect="1"/>
        </xdr:cNvPicPr>
      </xdr:nvPicPr>
      <xdr:blipFill>
        <a:blip r:embed="rId6"/>
        <a:stretch>
          <a:fillRect/>
        </a:stretch>
      </xdr:blipFill>
      <xdr:spPr>
        <a:xfrm>
          <a:off x="4972050" y="3124200"/>
          <a:ext cx="1152525" cy="219075"/>
        </a:xfrm>
        <a:prstGeom prst="rect">
          <a:avLst/>
        </a:prstGeom>
        <a:solidFill>
          <a:srgbClr val="FFFFFF"/>
        </a:solidFill>
        <a:ln w="1" cmpd="sng">
          <a:noFill/>
        </a:ln>
      </xdr:spPr>
    </xdr:pic>
    <xdr:clientData fLocksWithSheet="0"/>
  </xdr:twoCellAnchor>
  <xdr:twoCellAnchor editAs="oneCell">
    <xdr:from>
      <xdr:col>44</xdr:col>
      <xdr:colOff>342900</xdr:colOff>
      <xdr:row>145</xdr:row>
      <xdr:rowOff>95250</xdr:rowOff>
    </xdr:from>
    <xdr:to>
      <xdr:col>52</xdr:col>
      <xdr:colOff>180975</xdr:colOff>
      <xdr:row>147</xdr:row>
      <xdr:rowOff>85725</xdr:rowOff>
    </xdr:to>
    <xdr:pic>
      <xdr:nvPicPr>
        <xdr:cNvPr id="7" name="BETCCheckBox" hidden="1"/>
        <xdr:cNvPicPr preferRelativeResize="1">
          <a:picLocks noChangeAspect="1"/>
        </xdr:cNvPicPr>
      </xdr:nvPicPr>
      <xdr:blipFill>
        <a:blip r:embed="rId7"/>
        <a:stretch>
          <a:fillRect/>
        </a:stretch>
      </xdr:blipFill>
      <xdr:spPr>
        <a:xfrm>
          <a:off x="14306550" y="23774400"/>
          <a:ext cx="3800475" cy="314325"/>
        </a:xfrm>
        <a:prstGeom prst="rect">
          <a:avLst/>
        </a:prstGeom>
        <a:solidFill>
          <a:srgbClr val="FFFFFF"/>
        </a:solidFill>
        <a:ln w="1" cmpd="sng">
          <a:noFill/>
        </a:ln>
      </xdr:spPr>
    </xdr:pic>
    <xdr:clientData/>
  </xdr:twoCellAnchor>
  <xdr:twoCellAnchor editAs="oneCell">
    <xdr:from>
      <xdr:col>19</xdr:col>
      <xdr:colOff>123825</xdr:colOff>
      <xdr:row>18</xdr:row>
      <xdr:rowOff>9525</xdr:rowOff>
    </xdr:from>
    <xdr:to>
      <xdr:col>22</xdr:col>
      <xdr:colOff>47625</xdr:colOff>
      <xdr:row>19</xdr:row>
      <xdr:rowOff>28575</xdr:rowOff>
    </xdr:to>
    <xdr:pic>
      <xdr:nvPicPr>
        <xdr:cNvPr id="8" name="Utah"/>
        <xdr:cNvPicPr preferRelativeResize="1">
          <a:picLocks noChangeAspect="1"/>
        </xdr:cNvPicPr>
      </xdr:nvPicPr>
      <xdr:blipFill>
        <a:blip r:embed="rId8"/>
        <a:stretch>
          <a:fillRect/>
        </a:stretch>
      </xdr:blipFill>
      <xdr:spPr>
        <a:xfrm>
          <a:off x="4105275" y="2905125"/>
          <a:ext cx="523875" cy="247650"/>
        </a:xfrm>
        <a:prstGeom prst="rect">
          <a:avLst/>
        </a:prstGeom>
        <a:solidFill>
          <a:srgbClr val="FFFFFF"/>
        </a:solidFill>
        <a:ln w="1" cmpd="sng">
          <a:noFill/>
        </a:ln>
      </xdr:spPr>
    </xdr:pic>
    <xdr:clientData fLocksWithSheet="0"/>
  </xdr:twoCellAnchor>
  <xdr:twoCellAnchor editAs="oneCell">
    <xdr:from>
      <xdr:col>22</xdr:col>
      <xdr:colOff>123825</xdr:colOff>
      <xdr:row>18</xdr:row>
      <xdr:rowOff>0</xdr:rowOff>
    </xdr:from>
    <xdr:to>
      <xdr:col>25</xdr:col>
      <xdr:colOff>142875</xdr:colOff>
      <xdr:row>19</xdr:row>
      <xdr:rowOff>38100</xdr:rowOff>
    </xdr:to>
    <xdr:pic>
      <xdr:nvPicPr>
        <xdr:cNvPr id="9" name="Wyoming"/>
        <xdr:cNvPicPr preferRelativeResize="1">
          <a:picLocks noChangeAspect="1"/>
        </xdr:cNvPicPr>
      </xdr:nvPicPr>
      <xdr:blipFill>
        <a:blip r:embed="rId9"/>
        <a:stretch>
          <a:fillRect/>
        </a:stretch>
      </xdr:blipFill>
      <xdr:spPr>
        <a:xfrm>
          <a:off x="4705350" y="2895600"/>
          <a:ext cx="685800" cy="266700"/>
        </a:xfrm>
        <a:prstGeom prst="rect">
          <a:avLst/>
        </a:prstGeom>
        <a:solidFill>
          <a:srgbClr val="FFFFFF"/>
        </a:solidFill>
        <a:ln w="1" cmpd="sng">
          <a:noFill/>
        </a:ln>
      </xdr:spPr>
    </xdr:pic>
    <xdr:clientData fLocksWithSheet="0"/>
  </xdr:twoCellAnchor>
  <xdr:twoCellAnchor editAs="oneCell">
    <xdr:from>
      <xdr:col>26</xdr:col>
      <xdr:colOff>9525</xdr:colOff>
      <xdr:row>18</xdr:row>
      <xdr:rowOff>47625</xdr:rowOff>
    </xdr:from>
    <xdr:to>
      <xdr:col>28</xdr:col>
      <xdr:colOff>219075</xdr:colOff>
      <xdr:row>18</xdr:row>
      <xdr:rowOff>219075</xdr:rowOff>
    </xdr:to>
    <xdr:pic>
      <xdr:nvPicPr>
        <xdr:cNvPr id="10" name="Montana"/>
        <xdr:cNvPicPr preferRelativeResize="1">
          <a:picLocks noChangeAspect="1"/>
        </xdr:cNvPicPr>
      </xdr:nvPicPr>
      <xdr:blipFill>
        <a:blip r:embed="rId10"/>
        <a:stretch>
          <a:fillRect/>
        </a:stretch>
      </xdr:blipFill>
      <xdr:spPr>
        <a:xfrm>
          <a:off x="5486400" y="2943225"/>
          <a:ext cx="666750" cy="171450"/>
        </a:xfrm>
        <a:prstGeom prst="rect">
          <a:avLst/>
        </a:prstGeom>
        <a:solidFill>
          <a:srgbClr val="FFFFFF"/>
        </a:solidFill>
        <a:ln w="1" cmpd="sng">
          <a:noFill/>
        </a:ln>
      </xdr:spPr>
    </xdr:pic>
    <xdr:clientData fLocksWithSheet="0"/>
  </xdr:twoCellAnchor>
  <xdr:twoCellAnchor editAs="oneCell">
    <xdr:from>
      <xdr:col>29</xdr:col>
      <xdr:colOff>95250</xdr:colOff>
      <xdr:row>18</xdr:row>
      <xdr:rowOff>38100</xdr:rowOff>
    </xdr:from>
    <xdr:to>
      <xdr:col>32</xdr:col>
      <xdr:colOff>57150</xdr:colOff>
      <xdr:row>18</xdr:row>
      <xdr:rowOff>228600</xdr:rowOff>
    </xdr:to>
    <xdr:pic>
      <xdr:nvPicPr>
        <xdr:cNvPr id="11" name="California"/>
        <xdr:cNvPicPr preferRelativeResize="1">
          <a:picLocks noChangeAspect="1"/>
        </xdr:cNvPicPr>
      </xdr:nvPicPr>
      <xdr:blipFill>
        <a:blip r:embed="rId11"/>
        <a:stretch>
          <a:fillRect/>
        </a:stretch>
      </xdr:blipFill>
      <xdr:spPr>
        <a:xfrm>
          <a:off x="6257925" y="2933700"/>
          <a:ext cx="647700" cy="190500"/>
        </a:xfrm>
        <a:prstGeom prst="rect">
          <a:avLst/>
        </a:prstGeom>
        <a:solidFill>
          <a:srgbClr val="FFFFFF"/>
        </a:solidFill>
        <a:ln w="1" cmpd="sng">
          <a:noFill/>
        </a:ln>
      </xdr:spPr>
    </xdr:pic>
    <xdr:clientData fLocksWithSheet="0"/>
  </xdr:twoCellAnchor>
  <xdr:twoCellAnchor editAs="oneCell">
    <xdr:from>
      <xdr:col>29</xdr:col>
      <xdr:colOff>171450</xdr:colOff>
      <xdr:row>18</xdr:row>
      <xdr:rowOff>219075</xdr:rowOff>
    </xdr:from>
    <xdr:to>
      <xdr:col>32</xdr:col>
      <xdr:colOff>57150</xdr:colOff>
      <xdr:row>20</xdr:row>
      <xdr:rowOff>38100</xdr:rowOff>
    </xdr:to>
    <xdr:pic>
      <xdr:nvPicPr>
        <xdr:cNvPr id="12" name="OtherUtilBox"/>
        <xdr:cNvPicPr preferRelativeResize="1">
          <a:picLocks noChangeAspect="1"/>
        </xdr:cNvPicPr>
      </xdr:nvPicPr>
      <xdr:blipFill>
        <a:blip r:embed="rId12"/>
        <a:stretch>
          <a:fillRect/>
        </a:stretch>
      </xdr:blipFill>
      <xdr:spPr>
        <a:xfrm>
          <a:off x="6334125" y="3114675"/>
          <a:ext cx="571500" cy="238125"/>
        </a:xfrm>
        <a:prstGeom prst="rect">
          <a:avLst/>
        </a:prstGeom>
        <a:solidFill>
          <a:srgbClr val="FFFFFF"/>
        </a:solidFill>
        <a:ln w="1" cmpd="sng">
          <a:noFill/>
        </a:ln>
      </xdr:spPr>
    </xdr:pic>
    <xdr:clientData fLocksWithSheet="0"/>
  </xdr:twoCellAnchor>
  <xdr:twoCellAnchor editAs="oneCell">
    <xdr:from>
      <xdr:col>16</xdr:col>
      <xdr:colOff>200025</xdr:colOff>
      <xdr:row>19</xdr:row>
      <xdr:rowOff>0</xdr:rowOff>
    </xdr:from>
    <xdr:to>
      <xdr:col>22</xdr:col>
      <xdr:colOff>209550</xdr:colOff>
      <xdr:row>20</xdr:row>
      <xdr:rowOff>28575</xdr:rowOff>
    </xdr:to>
    <xdr:pic>
      <xdr:nvPicPr>
        <xdr:cNvPr id="13" name="RMPowerBox"/>
        <xdr:cNvPicPr preferRelativeResize="1">
          <a:picLocks noChangeAspect="0"/>
        </xdr:cNvPicPr>
      </xdr:nvPicPr>
      <xdr:blipFill>
        <a:blip r:embed="rId13"/>
        <a:stretch>
          <a:fillRect/>
        </a:stretch>
      </xdr:blipFill>
      <xdr:spPr>
        <a:xfrm>
          <a:off x="3486150" y="3124200"/>
          <a:ext cx="1304925" cy="219075"/>
        </a:xfrm>
        <a:prstGeom prst="rect">
          <a:avLst/>
        </a:prstGeom>
        <a:solidFill>
          <a:srgbClr val="FFFFFF"/>
        </a:solidFill>
        <a:ln w="1" cmpd="sng">
          <a:noFill/>
        </a:ln>
      </xdr:spPr>
    </xdr:pic>
    <xdr:clientData fLocksWithSheet="0"/>
  </xdr:twoCellAnchor>
  <xdr:twoCellAnchor editAs="oneCell">
    <xdr:from>
      <xdr:col>22</xdr:col>
      <xdr:colOff>95250</xdr:colOff>
      <xdr:row>28</xdr:row>
      <xdr:rowOff>161925</xdr:rowOff>
    </xdr:from>
    <xdr:to>
      <xdr:col>32</xdr:col>
      <xdr:colOff>47625</xdr:colOff>
      <xdr:row>30</xdr:row>
      <xdr:rowOff>0</xdr:rowOff>
    </xdr:to>
    <xdr:pic>
      <xdr:nvPicPr>
        <xdr:cNvPr id="14" name="CheckBox3"/>
        <xdr:cNvPicPr preferRelativeResize="1">
          <a:picLocks noChangeAspect="1"/>
        </xdr:cNvPicPr>
      </xdr:nvPicPr>
      <xdr:blipFill>
        <a:blip r:embed="rId14"/>
        <a:stretch>
          <a:fillRect/>
        </a:stretch>
      </xdr:blipFill>
      <xdr:spPr>
        <a:xfrm>
          <a:off x="4676775" y="4848225"/>
          <a:ext cx="2219325" cy="228600"/>
        </a:xfrm>
        <a:prstGeom prst="rect">
          <a:avLst/>
        </a:prstGeom>
        <a:solidFill>
          <a:srgbClr val="FFFFFF"/>
        </a:solidFill>
        <a:ln w="1" cmpd="sng">
          <a:noFill/>
        </a:ln>
      </xdr:spPr>
    </xdr:pic>
    <xdr:clientData/>
  </xdr:twoCellAnchor>
  <xdr:twoCellAnchor editAs="oneCell">
    <xdr:from>
      <xdr:col>22</xdr:col>
      <xdr:colOff>95250</xdr:colOff>
      <xdr:row>25</xdr:row>
      <xdr:rowOff>114300</xdr:rowOff>
    </xdr:from>
    <xdr:to>
      <xdr:col>32</xdr:col>
      <xdr:colOff>47625</xdr:colOff>
      <xdr:row>26</xdr:row>
      <xdr:rowOff>190500</xdr:rowOff>
    </xdr:to>
    <xdr:pic>
      <xdr:nvPicPr>
        <xdr:cNvPr id="15" name="CheckBox4"/>
        <xdr:cNvPicPr preferRelativeResize="1">
          <a:picLocks noChangeAspect="1"/>
        </xdr:cNvPicPr>
      </xdr:nvPicPr>
      <xdr:blipFill>
        <a:blip r:embed="rId15"/>
        <a:stretch>
          <a:fillRect/>
        </a:stretch>
      </xdr:blipFill>
      <xdr:spPr>
        <a:xfrm>
          <a:off x="4676775" y="4267200"/>
          <a:ext cx="2219325" cy="228600"/>
        </a:xfrm>
        <a:prstGeom prst="rect">
          <a:avLst/>
        </a:prstGeom>
        <a:solidFill>
          <a:srgbClr val="FFFFFF"/>
        </a:solidFill>
        <a:ln w="1" cmpd="sng">
          <a:noFill/>
        </a:ln>
      </xdr:spPr>
    </xdr:pic>
    <xdr:clientData/>
  </xdr:twoCellAnchor>
  <xdr:twoCellAnchor editAs="oneCell">
    <xdr:from>
      <xdr:col>22</xdr:col>
      <xdr:colOff>95250</xdr:colOff>
      <xdr:row>26</xdr:row>
      <xdr:rowOff>152400</xdr:rowOff>
    </xdr:from>
    <xdr:to>
      <xdr:col>32</xdr:col>
      <xdr:colOff>47625</xdr:colOff>
      <xdr:row>28</xdr:row>
      <xdr:rowOff>0</xdr:rowOff>
    </xdr:to>
    <xdr:pic>
      <xdr:nvPicPr>
        <xdr:cNvPr id="16" name="CheckBox5"/>
        <xdr:cNvPicPr preferRelativeResize="1">
          <a:picLocks noChangeAspect="1"/>
        </xdr:cNvPicPr>
      </xdr:nvPicPr>
      <xdr:blipFill>
        <a:blip r:embed="rId16"/>
        <a:stretch>
          <a:fillRect/>
        </a:stretch>
      </xdr:blipFill>
      <xdr:spPr>
        <a:xfrm>
          <a:off x="4676775" y="4457700"/>
          <a:ext cx="2219325" cy="228600"/>
        </a:xfrm>
        <a:prstGeom prst="rect">
          <a:avLst/>
        </a:prstGeom>
        <a:solidFill>
          <a:srgbClr val="FFFFFF"/>
        </a:solidFill>
        <a:ln w="1" cmpd="sng">
          <a:noFill/>
        </a:ln>
      </xdr:spPr>
    </xdr:pic>
    <xdr:clientData/>
  </xdr:twoCellAnchor>
  <xdr:twoCellAnchor editAs="oneCell">
    <xdr:from>
      <xdr:col>22</xdr:col>
      <xdr:colOff>95250</xdr:colOff>
      <xdr:row>27</xdr:row>
      <xdr:rowOff>123825</xdr:rowOff>
    </xdr:from>
    <xdr:to>
      <xdr:col>32</xdr:col>
      <xdr:colOff>47625</xdr:colOff>
      <xdr:row>28</xdr:row>
      <xdr:rowOff>200025</xdr:rowOff>
    </xdr:to>
    <xdr:pic>
      <xdr:nvPicPr>
        <xdr:cNvPr id="17" name="CheckBox6"/>
        <xdr:cNvPicPr preferRelativeResize="1">
          <a:picLocks noChangeAspect="1"/>
        </xdr:cNvPicPr>
      </xdr:nvPicPr>
      <xdr:blipFill>
        <a:blip r:embed="rId17"/>
        <a:stretch>
          <a:fillRect/>
        </a:stretch>
      </xdr:blipFill>
      <xdr:spPr>
        <a:xfrm>
          <a:off x="4676775" y="4657725"/>
          <a:ext cx="2219325" cy="228600"/>
        </a:xfrm>
        <a:prstGeom prst="rect">
          <a:avLst/>
        </a:prstGeom>
        <a:solidFill>
          <a:srgbClr val="FFFFFF"/>
        </a:solidFill>
        <a:ln w="1" cmpd="sng">
          <a:noFill/>
        </a:ln>
      </xdr:spPr>
    </xdr:pic>
    <xdr:clientData/>
  </xdr:twoCellAnchor>
  <xdr:twoCellAnchor editAs="oneCell">
    <xdr:from>
      <xdr:col>12</xdr:col>
      <xdr:colOff>28575</xdr:colOff>
      <xdr:row>26</xdr:row>
      <xdr:rowOff>0</xdr:rowOff>
    </xdr:from>
    <xdr:to>
      <xdr:col>20</xdr:col>
      <xdr:colOff>266700</xdr:colOff>
      <xdr:row>27</xdr:row>
      <xdr:rowOff>0</xdr:rowOff>
    </xdr:to>
    <xdr:pic>
      <xdr:nvPicPr>
        <xdr:cNvPr id="18" name="FacilityType"/>
        <xdr:cNvPicPr preferRelativeResize="1">
          <a:picLocks noChangeAspect="1"/>
        </xdr:cNvPicPr>
      </xdr:nvPicPr>
      <xdr:blipFill>
        <a:blip r:embed="rId18"/>
        <a:stretch>
          <a:fillRect/>
        </a:stretch>
      </xdr:blipFill>
      <xdr:spPr>
        <a:xfrm>
          <a:off x="2400300" y="4305300"/>
          <a:ext cx="2076450" cy="228600"/>
        </a:xfrm>
        <a:prstGeom prst="rect">
          <a:avLst/>
        </a:prstGeom>
        <a:solidFill>
          <a:srgbClr val="FFFFFF"/>
        </a:solidFill>
        <a:ln w="1" cmpd="sng">
          <a:noFill/>
        </a:ln>
      </xdr:spPr>
    </xdr:pic>
    <xdr:clientData/>
  </xdr:twoCellAnchor>
  <xdr:twoCellAnchor editAs="oneCell">
    <xdr:from>
      <xdr:col>3</xdr:col>
      <xdr:colOff>28575</xdr:colOff>
      <xdr:row>28</xdr:row>
      <xdr:rowOff>0</xdr:rowOff>
    </xdr:from>
    <xdr:to>
      <xdr:col>11</xdr:col>
      <xdr:colOff>161925</xdr:colOff>
      <xdr:row>29</xdr:row>
      <xdr:rowOff>0</xdr:rowOff>
    </xdr:to>
    <xdr:pic>
      <xdr:nvPicPr>
        <xdr:cNvPr id="19" name="Sector"/>
        <xdr:cNvPicPr preferRelativeResize="1">
          <a:picLocks noChangeAspect="1"/>
        </xdr:cNvPicPr>
      </xdr:nvPicPr>
      <xdr:blipFill>
        <a:blip r:embed="rId19"/>
        <a:stretch>
          <a:fillRect/>
        </a:stretch>
      </xdr:blipFill>
      <xdr:spPr>
        <a:xfrm>
          <a:off x="371475" y="4686300"/>
          <a:ext cx="1933575" cy="228600"/>
        </a:xfrm>
        <a:prstGeom prst="rect">
          <a:avLst/>
        </a:prstGeom>
        <a:solidFill>
          <a:srgbClr val="FFFFFF"/>
        </a:solidFill>
        <a:ln w="1" cmpd="sng">
          <a:noFill/>
        </a:ln>
      </xdr:spPr>
    </xdr:pic>
    <xdr:clientData/>
  </xdr:twoCellAnchor>
  <xdr:twoCellAnchor editAs="oneCell">
    <xdr:from>
      <xdr:col>23</xdr:col>
      <xdr:colOff>76200</xdr:colOff>
      <xdr:row>12</xdr:row>
      <xdr:rowOff>142875</xdr:rowOff>
    </xdr:from>
    <xdr:to>
      <xdr:col>32</xdr:col>
      <xdr:colOff>38100</xdr:colOff>
      <xdr:row>13</xdr:row>
      <xdr:rowOff>219075</xdr:rowOff>
    </xdr:to>
    <xdr:pic>
      <xdr:nvPicPr>
        <xdr:cNvPr id="20" name="BusinessTypeBox"/>
        <xdr:cNvPicPr preferRelativeResize="1">
          <a:picLocks noChangeAspect="1"/>
        </xdr:cNvPicPr>
      </xdr:nvPicPr>
      <xdr:blipFill>
        <a:blip r:embed="rId20"/>
        <a:stretch>
          <a:fillRect/>
        </a:stretch>
      </xdr:blipFill>
      <xdr:spPr>
        <a:xfrm>
          <a:off x="4886325" y="2219325"/>
          <a:ext cx="2000250" cy="238125"/>
        </a:xfrm>
        <a:prstGeom prst="rect">
          <a:avLst/>
        </a:prstGeom>
        <a:solidFill>
          <a:srgbClr val="FFFFFF"/>
        </a:solidFill>
        <a:ln w="1" cmpd="sng">
          <a:noFill/>
        </a:ln>
      </xdr:spPr>
    </xdr:pic>
    <xdr:clientData fLocksWithSheet="0"/>
  </xdr:twoCellAnchor>
  <xdr:twoCellAnchor editAs="oneCell">
    <xdr:from>
      <xdr:col>3</xdr:col>
      <xdr:colOff>38100</xdr:colOff>
      <xdr:row>21</xdr:row>
      <xdr:rowOff>142875</xdr:rowOff>
    </xdr:from>
    <xdr:to>
      <xdr:col>15</xdr:col>
      <xdr:colOff>142875</xdr:colOff>
      <xdr:row>22</xdr:row>
      <xdr:rowOff>219075</xdr:rowOff>
    </xdr:to>
    <xdr:pic>
      <xdr:nvPicPr>
        <xdr:cNvPr id="21" name="ComboBox1"/>
        <xdr:cNvPicPr preferRelativeResize="1">
          <a:picLocks noChangeAspect="1"/>
        </xdr:cNvPicPr>
      </xdr:nvPicPr>
      <xdr:blipFill>
        <a:blip r:embed="rId21"/>
        <a:stretch>
          <a:fillRect/>
        </a:stretch>
      </xdr:blipFill>
      <xdr:spPr>
        <a:xfrm>
          <a:off x="381000" y="3533775"/>
          <a:ext cx="2819400" cy="228600"/>
        </a:xfrm>
        <a:prstGeom prst="rect">
          <a:avLst/>
        </a:prstGeom>
        <a:solidFill>
          <a:srgbClr val="FFFFFF"/>
        </a:solidFill>
        <a:ln w="1"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53</xdr:row>
      <xdr:rowOff>104775</xdr:rowOff>
    </xdr:from>
    <xdr:ext cx="3505200" cy="1743075"/>
    <xdr:graphicFrame>
      <xdr:nvGraphicFramePr>
        <xdr:cNvPr id="1" name="Chart 3"/>
        <xdr:cNvGraphicFramePr/>
      </xdr:nvGraphicFramePr>
      <xdr:xfrm>
        <a:off x="476250" y="7486650"/>
        <a:ext cx="3505200" cy="1743075"/>
      </xdr:xfrm>
      <a:graphic>
        <a:graphicData uri="http://schemas.openxmlformats.org/drawingml/2006/chart">
          <c:chart xmlns:c="http://schemas.openxmlformats.org/drawingml/2006/chart" r:id="rId1"/>
        </a:graphicData>
      </a:graphic>
    </xdr:graphicFrame>
    <xdr:clientData/>
  </xdr:oneCellAnchor>
  <xdr:oneCellAnchor>
    <xdr:from>
      <xdr:col>12</xdr:col>
      <xdr:colOff>38100</xdr:colOff>
      <xdr:row>53</xdr:row>
      <xdr:rowOff>104775</xdr:rowOff>
    </xdr:from>
    <xdr:ext cx="3514725" cy="1752600"/>
    <xdr:graphicFrame>
      <xdr:nvGraphicFramePr>
        <xdr:cNvPr id="2" name="Chart 13"/>
        <xdr:cNvGraphicFramePr/>
      </xdr:nvGraphicFramePr>
      <xdr:xfrm>
        <a:off x="4381500" y="7486650"/>
        <a:ext cx="3514725" cy="1752600"/>
      </xdr:xfrm>
      <a:graphic>
        <a:graphicData uri="http://schemas.openxmlformats.org/drawingml/2006/chart">
          <c:chart xmlns:c="http://schemas.openxmlformats.org/drawingml/2006/chart" r:id="rId2"/>
        </a:graphicData>
      </a:graphic>
    </xdr:graphicFrame>
    <xdr:clientData/>
  </xdr:oneCellAnchor>
  <xdr:twoCellAnchor>
    <xdr:from>
      <xdr:col>5</xdr:col>
      <xdr:colOff>57150</xdr:colOff>
      <xdr:row>7</xdr:row>
      <xdr:rowOff>0</xdr:rowOff>
    </xdr:from>
    <xdr:to>
      <xdr:col>7</xdr:col>
      <xdr:colOff>323850</xdr:colOff>
      <xdr:row>7</xdr:row>
      <xdr:rowOff>0</xdr:rowOff>
    </xdr:to>
    <xdr:pic>
      <xdr:nvPicPr>
        <xdr:cNvPr id="3" name="LicenseAccept"/>
        <xdr:cNvPicPr preferRelativeResize="1">
          <a:picLocks noChangeAspect="1"/>
        </xdr:cNvPicPr>
      </xdr:nvPicPr>
      <xdr:blipFill>
        <a:blip r:embed="rId3"/>
        <a:stretch>
          <a:fillRect/>
        </a:stretch>
      </xdr:blipFill>
      <xdr:spPr>
        <a:xfrm>
          <a:off x="2114550" y="1019175"/>
          <a:ext cx="1047750" cy="0"/>
        </a:xfrm>
        <a:prstGeom prst="rect">
          <a:avLst/>
        </a:prstGeom>
        <a:noFill/>
        <a:ln w="9525" cmpd="sng">
          <a:noFill/>
        </a:ln>
      </xdr:spPr>
    </xdr:pic>
    <xdr:clientData/>
  </xdr:twoCellAnchor>
  <xdr:twoCellAnchor>
    <xdr:from>
      <xdr:col>9</xdr:col>
      <xdr:colOff>9525</xdr:colOff>
      <xdr:row>7</xdr:row>
      <xdr:rowOff>0</xdr:rowOff>
    </xdr:from>
    <xdr:to>
      <xdr:col>12</xdr:col>
      <xdr:colOff>400050</xdr:colOff>
      <xdr:row>7</xdr:row>
      <xdr:rowOff>0</xdr:rowOff>
    </xdr:to>
    <xdr:pic>
      <xdr:nvPicPr>
        <xdr:cNvPr id="4" name="LicenseCancel"/>
        <xdr:cNvPicPr preferRelativeResize="1">
          <a:picLocks noChangeAspect="1"/>
        </xdr:cNvPicPr>
      </xdr:nvPicPr>
      <xdr:blipFill>
        <a:blip r:embed="rId4"/>
        <a:stretch>
          <a:fillRect/>
        </a:stretch>
      </xdr:blipFill>
      <xdr:spPr>
        <a:xfrm>
          <a:off x="3429000" y="1019175"/>
          <a:ext cx="1314450" cy="0"/>
        </a:xfrm>
        <a:prstGeom prst="rect">
          <a:avLst/>
        </a:prstGeom>
        <a:noFill/>
        <a:ln w="9525" cmpd="sng">
          <a:noFill/>
        </a:ln>
      </xdr:spPr>
    </xdr:pic>
    <xdr:clientData/>
  </xdr:twoCellAnchor>
  <xdr:twoCellAnchor>
    <xdr:from>
      <xdr:col>18</xdr:col>
      <xdr:colOff>266700</xdr:colOff>
      <xdr:row>34</xdr:row>
      <xdr:rowOff>19050</xdr:rowOff>
    </xdr:from>
    <xdr:to>
      <xdr:col>23</xdr:col>
      <xdr:colOff>352425</xdr:colOff>
      <xdr:row>36</xdr:row>
      <xdr:rowOff>104775</xdr:rowOff>
    </xdr:to>
    <xdr:sp macro="[0]!ToAirDryerButton_Click">
      <xdr:nvSpPr>
        <xdr:cNvPr id="5" name="ToAirDryerButton" hidden="1"/>
        <xdr:cNvSpPr txBox="1">
          <a:spLocks noChangeArrowheads="1"/>
        </xdr:cNvSpPr>
      </xdr:nvSpPr>
      <xdr:spPr>
        <a:xfrm>
          <a:off x="6315075" y="5381625"/>
          <a:ext cx="1895475" cy="333375"/>
        </a:xfrm>
        <a:prstGeom prst="rect">
          <a:avLst/>
        </a:prstGeom>
        <a:gradFill rotWithShape="1">
          <a:gsLst>
            <a:gs pos="0">
              <a:srgbClr val="769535"/>
            </a:gs>
            <a:gs pos="80000">
              <a:srgbClr val="9BC348"/>
            </a:gs>
            <a:gs pos="100000">
              <a:srgbClr val="9CC746"/>
            </a:gs>
          </a:gsLst>
          <a:lin ang="5400000" scaled="1"/>
        </a:gradFill>
        <a:ln w="9525" cmpd="sng">
          <a:noFill/>
        </a:ln>
      </xdr:spPr>
      <xdr:txBody>
        <a:bodyPr vertOverflow="clip" wrap="square" lIns="27432" tIns="22860" rIns="27432" bIns="22860" anchor="ctr"/>
        <a:p>
          <a:pPr algn="ctr">
            <a:defRPr/>
          </a:pPr>
          <a:r>
            <a:rPr lang="en-US" cap="none" sz="1000" b="0" i="0" u="none" baseline="0">
              <a:solidFill>
                <a:srgbClr val="FFFFFF"/>
              </a:solidFill>
            </a:rPr>
            <a:t>Click to move to cycling air dryer page</a:t>
          </a:r>
        </a:p>
      </xdr:txBody>
    </xdr:sp>
    <xdr:clientData fPrintsWithSheet="0"/>
  </xdr:twoCellAnchor>
  <xdr:twoCellAnchor>
    <xdr:from>
      <xdr:col>17</xdr:col>
      <xdr:colOff>0</xdr:colOff>
      <xdr:row>37</xdr:row>
      <xdr:rowOff>57150</xdr:rowOff>
    </xdr:from>
    <xdr:to>
      <xdr:col>17</xdr:col>
      <xdr:colOff>0</xdr:colOff>
      <xdr:row>39</xdr:row>
      <xdr:rowOff>171450</xdr:rowOff>
    </xdr:to>
    <xdr:sp>
      <xdr:nvSpPr>
        <xdr:cNvPr id="6" name="Bent-Up Arrow 21"/>
        <xdr:cNvSpPr>
          <a:spLocks/>
        </xdr:cNvSpPr>
      </xdr:nvSpPr>
      <xdr:spPr>
        <a:xfrm rot="10800000">
          <a:off x="6048375" y="5829300"/>
          <a:ext cx="0" cy="400050"/>
        </a:xfrm>
        <a:custGeom>
          <a:pathLst>
            <a:path h="440702" w="371152">
              <a:moveTo>
                <a:pt x="0" y="347914"/>
              </a:moveTo>
              <a:lnTo>
                <a:pt x="231970" y="347914"/>
              </a:lnTo>
              <a:lnTo>
                <a:pt x="231970" y="185576"/>
              </a:lnTo>
              <a:lnTo>
                <a:pt x="185576" y="185576"/>
              </a:lnTo>
              <a:lnTo>
                <a:pt x="278364" y="0"/>
              </a:lnTo>
              <a:lnTo>
                <a:pt x="371152" y="185576"/>
              </a:lnTo>
              <a:lnTo>
                <a:pt x="324758" y="185576"/>
              </a:lnTo>
              <a:lnTo>
                <a:pt x="324758" y="440702"/>
              </a:lnTo>
              <a:lnTo>
                <a:pt x="0" y="440702"/>
              </a:lnTo>
              <a:lnTo>
                <a:pt x="0" y="347914"/>
              </a:lnTo>
              <a:close/>
            </a:path>
          </a:pathLst>
        </a:custGeom>
        <a:gradFill rotWithShape="1">
          <a:gsLst>
            <a:gs pos="0">
              <a:srgbClr val="769535"/>
            </a:gs>
            <a:gs pos="80000">
              <a:srgbClr val="9BC348"/>
            </a:gs>
            <a:gs pos="100000">
              <a:srgbClr val="9CC746"/>
            </a:gs>
          </a:gsLst>
          <a:lin ang="5400000" scaled="1"/>
        </a:gradFill>
        <a:ln w="9525" cmpd="sng">
          <a:noFill/>
        </a:ln>
      </xdr:spPr>
      <xdr:txBody>
        <a:bodyPr vertOverflow="clip" wrap="square" lIns="18288" tIns="0" rIns="0" bIns="0"/>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5</xdr:col>
      <xdr:colOff>28575</xdr:colOff>
      <xdr:row>11</xdr:row>
      <xdr:rowOff>104775</xdr:rowOff>
    </xdr:from>
    <xdr:to>
      <xdr:col>7</xdr:col>
      <xdr:colOff>66675</xdr:colOff>
      <xdr:row>12</xdr:row>
      <xdr:rowOff>142875</xdr:rowOff>
    </xdr:to>
    <xdr:grpSp>
      <xdr:nvGrpSpPr>
        <xdr:cNvPr id="1" name="Group 16"/>
        <xdr:cNvGrpSpPr>
          <a:grpSpLocks/>
        </xdr:cNvGrpSpPr>
      </xdr:nvGrpSpPr>
      <xdr:grpSpPr>
        <a:xfrm>
          <a:off x="2381250" y="1885950"/>
          <a:ext cx="1104900" cy="190500"/>
          <a:chOff x="215" y="178"/>
          <a:chExt cx="134" cy="38"/>
        </a:xfrm>
        <a:solidFill>
          <a:srgbClr val="FFFFFF"/>
        </a:solidFill>
      </xdr:grpSpPr>
      <xdr:pic>
        <xdr:nvPicPr>
          <xdr:cNvPr id="2" name="BaselineYes"/>
          <xdr:cNvPicPr preferRelativeResize="1">
            <a:picLocks noChangeAspect="1"/>
          </xdr:cNvPicPr>
        </xdr:nvPicPr>
        <xdr:blipFill>
          <a:blip r:embed="rId1"/>
          <a:stretch>
            <a:fillRect/>
          </a:stretch>
        </xdr:blipFill>
        <xdr:spPr>
          <a:xfrm>
            <a:off x="215" y="180"/>
            <a:ext cx="60" cy="34"/>
          </a:xfrm>
          <a:prstGeom prst="rect">
            <a:avLst/>
          </a:prstGeom>
          <a:noFill/>
          <a:ln w="9525" cmpd="sng">
            <a:noFill/>
          </a:ln>
        </xdr:spPr>
      </xdr:pic>
      <xdr:pic>
        <xdr:nvPicPr>
          <xdr:cNvPr id="3" name="BaselineNo"/>
          <xdr:cNvPicPr preferRelativeResize="1">
            <a:picLocks noChangeAspect="1"/>
          </xdr:cNvPicPr>
        </xdr:nvPicPr>
        <xdr:blipFill>
          <a:blip r:embed="rId2"/>
          <a:stretch>
            <a:fillRect/>
          </a:stretch>
        </xdr:blipFill>
        <xdr:spPr>
          <a:xfrm>
            <a:off x="274" y="178"/>
            <a:ext cx="75" cy="38"/>
          </a:xfrm>
          <a:prstGeom prst="rect">
            <a:avLst/>
          </a:prstGeom>
          <a:noFill/>
          <a:ln w="9525" cmpd="sng">
            <a:noFill/>
          </a:ln>
        </xdr:spPr>
      </xdr:pic>
    </xdr:grpSp>
    <xdr:clientData/>
  </xdr:twoCellAnchor>
  <xdr:twoCellAnchor editAs="absolute">
    <xdr:from>
      <xdr:col>8</xdr:col>
      <xdr:colOff>38100</xdr:colOff>
      <xdr:row>11</xdr:row>
      <xdr:rowOff>85725</xdr:rowOff>
    </xdr:from>
    <xdr:to>
      <xdr:col>9</xdr:col>
      <xdr:colOff>552450</xdr:colOff>
      <xdr:row>12</xdr:row>
      <xdr:rowOff>152400</xdr:rowOff>
    </xdr:to>
    <xdr:grpSp>
      <xdr:nvGrpSpPr>
        <xdr:cNvPr id="4" name="Group 13"/>
        <xdr:cNvGrpSpPr>
          <a:grpSpLocks/>
        </xdr:cNvGrpSpPr>
      </xdr:nvGrpSpPr>
      <xdr:grpSpPr>
        <a:xfrm>
          <a:off x="4000500" y="1866900"/>
          <a:ext cx="1019175" cy="219075"/>
          <a:chOff x="224" y="189"/>
          <a:chExt cx="99" cy="26"/>
        </a:xfrm>
        <a:solidFill>
          <a:srgbClr val="FFFFFF"/>
        </a:solidFill>
      </xdr:grpSpPr>
      <xdr:pic>
        <xdr:nvPicPr>
          <xdr:cNvPr id="5" name="UpgradeYes"/>
          <xdr:cNvPicPr preferRelativeResize="1">
            <a:picLocks noChangeAspect="1"/>
          </xdr:cNvPicPr>
        </xdr:nvPicPr>
        <xdr:blipFill>
          <a:blip r:embed="rId3"/>
          <a:stretch>
            <a:fillRect/>
          </a:stretch>
        </xdr:blipFill>
        <xdr:spPr>
          <a:xfrm>
            <a:off x="224" y="189"/>
            <a:ext cx="46" cy="26"/>
          </a:xfrm>
          <a:prstGeom prst="rect">
            <a:avLst/>
          </a:prstGeom>
          <a:noFill/>
          <a:ln w="9525" cmpd="sng">
            <a:noFill/>
          </a:ln>
        </xdr:spPr>
      </xdr:pic>
      <xdr:pic>
        <xdr:nvPicPr>
          <xdr:cNvPr id="6" name="UpgradeNo"/>
          <xdr:cNvPicPr preferRelativeResize="1">
            <a:picLocks noChangeAspect="1"/>
          </xdr:cNvPicPr>
        </xdr:nvPicPr>
        <xdr:blipFill>
          <a:blip r:embed="rId4"/>
          <a:stretch>
            <a:fillRect/>
          </a:stretch>
        </xdr:blipFill>
        <xdr:spPr>
          <a:xfrm>
            <a:off x="278" y="191"/>
            <a:ext cx="45" cy="20"/>
          </a:xfrm>
          <a:prstGeom prst="rect">
            <a:avLst/>
          </a:prstGeom>
          <a:noFill/>
          <a:ln w="9525" cmpd="sng">
            <a:noFill/>
          </a:ln>
        </xdr:spPr>
      </xdr:pic>
    </xdr:grpSp>
    <xdr:clientData/>
  </xdr:twoCellAnchor>
  <xdr:twoCellAnchor>
    <xdr:from>
      <xdr:col>2</xdr:col>
      <xdr:colOff>0</xdr:colOff>
      <xdr:row>41</xdr:row>
      <xdr:rowOff>66675</xdr:rowOff>
    </xdr:from>
    <xdr:to>
      <xdr:col>6</xdr:col>
      <xdr:colOff>438150</xdr:colOff>
      <xdr:row>54</xdr:row>
      <xdr:rowOff>152400</xdr:rowOff>
    </xdr:to>
    <xdr:graphicFrame>
      <xdr:nvGraphicFramePr>
        <xdr:cNvPr id="7" name="Chart 3"/>
        <xdr:cNvGraphicFramePr/>
      </xdr:nvGraphicFramePr>
      <xdr:xfrm>
        <a:off x="466725" y="6657975"/>
        <a:ext cx="2952750" cy="2200275"/>
      </xdr:xfrm>
      <a:graphic>
        <a:graphicData uri="http://schemas.openxmlformats.org/drawingml/2006/chart">
          <c:chart xmlns:c="http://schemas.openxmlformats.org/drawingml/2006/chart" r:id="rId5"/>
        </a:graphicData>
      </a:graphic>
    </xdr:graphicFrame>
    <xdr:clientData/>
  </xdr:twoCellAnchor>
  <xdr:twoCellAnchor>
    <xdr:from>
      <xdr:col>8</xdr:col>
      <xdr:colOff>9525</xdr:colOff>
      <xdr:row>41</xdr:row>
      <xdr:rowOff>66675</xdr:rowOff>
    </xdr:from>
    <xdr:to>
      <xdr:col>14</xdr:col>
      <xdr:colOff>0</xdr:colOff>
      <xdr:row>54</xdr:row>
      <xdr:rowOff>152400</xdr:rowOff>
    </xdr:to>
    <xdr:graphicFrame>
      <xdr:nvGraphicFramePr>
        <xdr:cNvPr id="8" name="Chart 13"/>
        <xdr:cNvGraphicFramePr/>
      </xdr:nvGraphicFramePr>
      <xdr:xfrm>
        <a:off x="3971925" y="6657975"/>
        <a:ext cx="2943225" cy="2200275"/>
      </xdr:xfrm>
      <a:graphic>
        <a:graphicData uri="http://schemas.openxmlformats.org/drawingml/2006/chart">
          <c:chart xmlns:c="http://schemas.openxmlformats.org/drawingml/2006/chart" r:id="rId6"/>
        </a:graphicData>
      </a:graphic>
    </xdr:graphicFrame>
    <xdr:clientData/>
  </xdr:twoCellAnchor>
  <xdr:twoCellAnchor>
    <xdr:from>
      <xdr:col>15</xdr:col>
      <xdr:colOff>0</xdr:colOff>
      <xdr:row>67</xdr:row>
      <xdr:rowOff>114300</xdr:rowOff>
    </xdr:from>
    <xdr:to>
      <xdr:col>15</xdr:col>
      <xdr:colOff>0</xdr:colOff>
      <xdr:row>69</xdr:row>
      <xdr:rowOff>104775</xdr:rowOff>
    </xdr:to>
    <xdr:pic>
      <xdr:nvPicPr>
        <xdr:cNvPr id="9" name="HideBackEndButton"/>
        <xdr:cNvPicPr preferRelativeResize="1">
          <a:picLocks noChangeAspect="1"/>
        </xdr:cNvPicPr>
      </xdr:nvPicPr>
      <xdr:blipFill>
        <a:blip r:embed="rId7"/>
        <a:stretch>
          <a:fillRect/>
        </a:stretch>
      </xdr:blipFill>
      <xdr:spPr>
        <a:xfrm>
          <a:off x="7219950" y="10906125"/>
          <a:ext cx="0" cy="314325"/>
        </a:xfrm>
        <a:prstGeom prst="rect">
          <a:avLst/>
        </a:prstGeom>
        <a:noFill/>
        <a:ln w="9525" cmpd="sng">
          <a:noFill/>
        </a:ln>
      </xdr:spPr>
    </xdr:pic>
    <xdr:clientData/>
  </xdr:twoCellAnchor>
  <xdr:twoCellAnchor>
    <xdr:from>
      <xdr:col>15</xdr:col>
      <xdr:colOff>0</xdr:colOff>
      <xdr:row>5</xdr:row>
      <xdr:rowOff>38100</xdr:rowOff>
    </xdr:from>
    <xdr:to>
      <xdr:col>15</xdr:col>
      <xdr:colOff>0</xdr:colOff>
      <xdr:row>7</xdr:row>
      <xdr:rowOff>95250</xdr:rowOff>
    </xdr:to>
    <xdr:sp>
      <xdr:nvSpPr>
        <xdr:cNvPr id="10" name="Text Box 49"/>
        <xdr:cNvSpPr txBox="1">
          <a:spLocks noChangeArrowheads="1"/>
        </xdr:cNvSpPr>
      </xdr:nvSpPr>
      <xdr:spPr>
        <a:xfrm>
          <a:off x="7219950" y="952500"/>
          <a:ext cx="0" cy="323850"/>
        </a:xfrm>
        <a:prstGeom prst="rect">
          <a:avLst/>
        </a:prstGeom>
        <a:solidFill>
          <a:srgbClr val="FFFFFF"/>
        </a:solidFill>
        <a:ln w="25400" cmpd="sng">
          <a:solidFill>
            <a:srgbClr val="9BBB59"/>
          </a:solidFill>
          <a:headEnd type="none"/>
          <a:tailEnd type="none"/>
        </a:ln>
      </xdr:spPr>
      <xdr:txBody>
        <a:bodyPr vertOverflow="clip" wrap="square" lIns="27432" tIns="22860" rIns="0" bIns="0"/>
        <a:p>
          <a:pPr algn="l">
            <a:defRPr/>
          </a:pPr>
          <a:r>
            <a:rPr lang="en-US" cap="none" sz="900" b="0" i="0" u="none" baseline="0">
              <a:solidFill>
                <a:srgbClr val="000000"/>
              </a:solidFill>
              <a:latin typeface="Arial"/>
              <a:ea typeface="Arial"/>
              <a:cs typeface="Arial"/>
            </a:rPr>
            <a:t>If multiple compressors are connected to the dryer, sum their hp and flow.</a:t>
          </a:r>
        </a:p>
      </xdr:txBody>
    </xdr:sp>
    <xdr:clientData/>
  </xdr:twoCellAnchor>
  <xdr:twoCellAnchor>
    <xdr:from>
      <xdr:col>31</xdr:col>
      <xdr:colOff>495300</xdr:colOff>
      <xdr:row>8</xdr:row>
      <xdr:rowOff>123825</xdr:rowOff>
    </xdr:from>
    <xdr:to>
      <xdr:col>39</xdr:col>
      <xdr:colOff>152400</xdr:colOff>
      <xdr:row>14</xdr:row>
      <xdr:rowOff>19050</xdr:rowOff>
    </xdr:to>
    <xdr:sp>
      <xdr:nvSpPr>
        <xdr:cNvPr id="11" name="TextBox 12"/>
        <xdr:cNvSpPr txBox="1">
          <a:spLocks noChangeArrowheads="1"/>
        </xdr:cNvSpPr>
      </xdr:nvSpPr>
      <xdr:spPr>
        <a:xfrm>
          <a:off x="17792700" y="1400175"/>
          <a:ext cx="4533900" cy="904875"/>
        </a:xfrm>
        <a:prstGeom prst="rect">
          <a:avLst/>
        </a:prstGeom>
        <a:solidFill>
          <a:srgbClr val="FFFFFF"/>
        </a:solidFill>
        <a:ln w="25400" cmpd="sng">
          <a:solidFill>
            <a:srgbClr val="9BBB59"/>
          </a:solidFill>
          <a:headEnd type="none"/>
          <a:tailEnd type="none"/>
        </a:ln>
      </xdr:spPr>
      <xdr:txBody>
        <a:bodyPr vertOverflow="clip" wrap="square"/>
        <a:p>
          <a:pPr algn="l">
            <a:defRPr/>
          </a:pPr>
          <a:r>
            <a:rPr lang="en-US" cap="none" sz="1000" b="0" i="0" u="none" baseline="0">
              <a:solidFill>
                <a:srgbClr val="000000"/>
              </a:solidFill>
              <a:latin typeface="Calibri"/>
              <a:ea typeface="Calibri"/>
              <a:cs typeface="Calibri"/>
            </a:rPr>
            <a:t>If the compressor is located outdoors,</a:t>
          </a:r>
          <a:r>
            <a:rPr lang="en-US" cap="none" sz="1000" b="0" i="0" u="none" baseline="0">
              <a:solidFill>
                <a:srgbClr val="000000"/>
              </a:solidFill>
              <a:latin typeface="Calibri"/>
              <a:ea typeface="Calibri"/>
              <a:cs typeface="Calibri"/>
            </a:rPr>
            <a:t> t</a:t>
          </a:r>
          <a:r>
            <a:rPr lang="en-US" cap="none" sz="1000" b="0" i="0" u="none" baseline="0">
              <a:solidFill>
                <a:srgbClr val="000000"/>
              </a:solidFill>
              <a:latin typeface="Calibri"/>
              <a:ea typeface="Calibri"/>
              <a:cs typeface="Calibri"/>
            </a:rPr>
            <a:t>he ambient air temp is averaged</a:t>
          </a:r>
          <a:r>
            <a:rPr lang="en-US" cap="none" sz="1000" b="0" i="0" u="none" baseline="0">
              <a:solidFill>
                <a:srgbClr val="000000"/>
              </a:solidFill>
              <a:latin typeface="Calibri"/>
              <a:ea typeface="Calibri"/>
              <a:cs typeface="Calibri"/>
            </a:rPr>
            <a:t> over the year based on the annual hours of operation entered below. Under 3000 hours is assumed to be a daytime shift, between 3000 and 6000 hours is assumed to be 2 shifts/day from early morning to evening, and over 6000 hours is assumed to be 3 shifts/day. The temperature average reflects the assumed hours of these shifts.</a:t>
          </a:r>
        </a:p>
      </xdr:txBody>
    </xdr:sp>
    <xdr:clientData/>
  </xdr:twoCellAnchor>
  <xdr:twoCellAnchor>
    <xdr:from>
      <xdr:col>31</xdr:col>
      <xdr:colOff>514350</xdr:colOff>
      <xdr:row>15</xdr:row>
      <xdr:rowOff>9525</xdr:rowOff>
    </xdr:from>
    <xdr:to>
      <xdr:col>39</xdr:col>
      <xdr:colOff>161925</xdr:colOff>
      <xdr:row>17</xdr:row>
      <xdr:rowOff>114300</xdr:rowOff>
    </xdr:to>
    <xdr:sp>
      <xdr:nvSpPr>
        <xdr:cNvPr id="12" name="TextBox 13"/>
        <xdr:cNvSpPr txBox="1">
          <a:spLocks noChangeArrowheads="1"/>
        </xdr:cNvSpPr>
      </xdr:nvSpPr>
      <xdr:spPr>
        <a:xfrm>
          <a:off x="17811750" y="2457450"/>
          <a:ext cx="4524375" cy="438150"/>
        </a:xfrm>
        <a:prstGeom prst="rect">
          <a:avLst/>
        </a:prstGeom>
        <a:solidFill>
          <a:srgbClr val="FFFFFF"/>
        </a:solidFill>
        <a:ln w="25400" cmpd="sng">
          <a:solidFill>
            <a:srgbClr val="9BBB59"/>
          </a:solidFill>
          <a:headEnd type="none"/>
          <a:tailEnd type="none"/>
        </a:ln>
      </xdr:spPr>
      <xdr:txBody>
        <a:bodyPr vertOverflow="clip" wrap="square"/>
        <a:p>
          <a:pPr algn="l">
            <a:defRPr/>
          </a:pPr>
          <a:r>
            <a:rPr lang="en-US" cap="none" sz="1000" b="0" i="0" u="none" baseline="0">
              <a:solidFill>
                <a:srgbClr val="000000"/>
              </a:solidFill>
              <a:latin typeface="Calibri"/>
              <a:ea typeface="Calibri"/>
              <a:cs typeface="Calibri"/>
            </a:rPr>
            <a:t>If</a:t>
          </a:r>
          <a:r>
            <a:rPr lang="en-US" cap="none" sz="1000" b="0" i="0" u="none" baseline="0">
              <a:solidFill>
                <a:srgbClr val="000000"/>
              </a:solidFill>
              <a:latin typeface="Calibri"/>
              <a:ea typeface="Calibri"/>
              <a:cs typeface="Calibri"/>
            </a:rPr>
            <a:t> the compressor is located outdoors, a 15 </a:t>
          </a:r>
          <a:r>
            <a:rPr lang="en-US" cap="none" sz="1000" b="0" i="0" u="none" baseline="0">
              <a:solidFill>
                <a:srgbClr val="000000"/>
              </a:solidFill>
              <a:latin typeface="Calibri"/>
              <a:ea typeface="Calibri"/>
              <a:cs typeface="Calibri"/>
            </a:rPr>
            <a:t>°</a:t>
          </a:r>
          <a:r>
            <a:rPr lang="en-US" cap="none" sz="1000" b="0" i="0" u="none" baseline="0">
              <a:solidFill>
                <a:srgbClr val="000000"/>
              </a:solidFill>
              <a:latin typeface="Calibri"/>
              <a:ea typeface="Calibri"/>
              <a:cs typeface="Calibri"/>
            </a:rPr>
            <a:t>F correction factor is added to the average ambient temperature to account for localized heating. </a:t>
          </a:r>
        </a:p>
      </xdr:txBody>
    </xdr:sp>
    <xdr:clientData/>
  </xdr:twoCellAnchor>
  <xdr:twoCellAnchor>
    <xdr:from>
      <xdr:col>31</xdr:col>
      <xdr:colOff>495300</xdr:colOff>
      <xdr:row>18</xdr:row>
      <xdr:rowOff>66675</xdr:rowOff>
    </xdr:from>
    <xdr:to>
      <xdr:col>41</xdr:col>
      <xdr:colOff>276225</xdr:colOff>
      <xdr:row>21</xdr:row>
      <xdr:rowOff>161925</xdr:rowOff>
    </xdr:to>
    <xdr:sp>
      <xdr:nvSpPr>
        <xdr:cNvPr id="13" name="TextBox 14"/>
        <xdr:cNvSpPr txBox="1">
          <a:spLocks noChangeArrowheads="1"/>
        </xdr:cNvSpPr>
      </xdr:nvSpPr>
      <xdr:spPr>
        <a:xfrm>
          <a:off x="17792700" y="3019425"/>
          <a:ext cx="5876925" cy="600075"/>
        </a:xfrm>
        <a:prstGeom prst="rect">
          <a:avLst/>
        </a:prstGeom>
        <a:solidFill>
          <a:srgbClr val="FFFFFF"/>
        </a:solidFill>
        <a:ln w="25400" cmpd="sng">
          <a:solidFill>
            <a:srgbClr val="9BBB59"/>
          </a:solidFill>
          <a:headEnd type="none"/>
          <a:tailEnd type="none"/>
        </a:ln>
      </xdr:spPr>
      <xdr:txBody>
        <a:bodyPr vertOverflow="clip" wrap="square"/>
        <a:p>
          <a:pPr algn="l">
            <a:defRPr/>
          </a:pPr>
          <a:r>
            <a:rPr lang="en-US" cap="none" sz="1000" b="0" i="0" u="none" baseline="0">
              <a:solidFill>
                <a:srgbClr val="000000"/>
              </a:solidFill>
              <a:latin typeface="Calibri"/>
              <a:ea typeface="Calibri"/>
              <a:cs typeface="Calibri"/>
            </a:rPr>
            <a:t>An air-cooled after cooler is generally designed to discharge air within 15 </a:t>
          </a:r>
          <a:r>
            <a:rPr lang="en-US" cap="none" sz="1000" b="0" i="0" u="none" baseline="0">
              <a:solidFill>
                <a:srgbClr val="000000"/>
              </a:solidFill>
              <a:latin typeface="Calibri"/>
              <a:ea typeface="Calibri"/>
              <a:cs typeface="Calibri"/>
            </a:rPr>
            <a:t>°</a:t>
          </a:r>
          <a:r>
            <a:rPr lang="en-US" cap="none" sz="1000" b="0" i="0" u="none" baseline="0">
              <a:solidFill>
                <a:srgbClr val="000000"/>
              </a:solidFill>
              <a:latin typeface="Calibri"/>
              <a:ea typeface="Calibri"/>
              <a:cs typeface="Calibri"/>
            </a:rPr>
            <a:t>F of ambient conditions. A water-cooled after cooler generally discharges to within 25 </a:t>
          </a:r>
          <a:r>
            <a:rPr lang="en-US" cap="none" sz="1000" b="0" i="0" u="none" baseline="0">
              <a:solidFill>
                <a:srgbClr val="000000"/>
              </a:solidFill>
              <a:latin typeface="Calibri"/>
              <a:ea typeface="Calibri"/>
              <a:cs typeface="Calibri"/>
            </a:rPr>
            <a:t>°</a:t>
          </a:r>
          <a:r>
            <a:rPr lang="en-US" cap="none" sz="1000" b="0" i="0" u="none" baseline="0">
              <a:solidFill>
                <a:srgbClr val="000000"/>
              </a:solidFill>
              <a:latin typeface="Calibri"/>
              <a:ea typeface="Calibri"/>
              <a:cs typeface="Calibri"/>
            </a:rPr>
            <a:t>F of ambient. This approach is known as the CDT, or Cold Temperature Difference. Therefore, the estimated dryer inlet temp is the localized ambient temp + CDT</a:t>
          </a:r>
        </a:p>
      </xdr:txBody>
    </xdr:sp>
    <xdr:clientData/>
  </xdr:twoCellAnchor>
  <xdr:twoCellAnchor>
    <xdr:from>
      <xdr:col>31</xdr:col>
      <xdr:colOff>514350</xdr:colOff>
      <xdr:row>26</xdr:row>
      <xdr:rowOff>38100</xdr:rowOff>
    </xdr:from>
    <xdr:to>
      <xdr:col>41</xdr:col>
      <xdr:colOff>304800</xdr:colOff>
      <xdr:row>29</xdr:row>
      <xdr:rowOff>0</xdr:rowOff>
    </xdr:to>
    <xdr:sp>
      <xdr:nvSpPr>
        <xdr:cNvPr id="14" name="TextBox 15"/>
        <xdr:cNvSpPr txBox="1">
          <a:spLocks noChangeArrowheads="1"/>
        </xdr:cNvSpPr>
      </xdr:nvSpPr>
      <xdr:spPr>
        <a:xfrm>
          <a:off x="17811750" y="4324350"/>
          <a:ext cx="5886450" cy="390525"/>
        </a:xfrm>
        <a:prstGeom prst="rect">
          <a:avLst/>
        </a:prstGeom>
        <a:solidFill>
          <a:srgbClr val="FFFFFF"/>
        </a:solidFill>
        <a:ln w="25400" cmpd="sng">
          <a:solidFill>
            <a:srgbClr val="9BBB59"/>
          </a:solidFill>
          <a:headEnd type="none"/>
          <a:tailEnd type="none"/>
        </a:ln>
      </xdr:spPr>
      <xdr:txBody>
        <a:bodyPr vertOverflow="clip" wrap="square"/>
        <a:p>
          <a:pPr algn="l">
            <a:defRPr/>
          </a:pPr>
          <a:r>
            <a:rPr lang="en-US" cap="none" sz="1000" b="0" i="0" u="none" baseline="0">
              <a:solidFill>
                <a:srgbClr val="000000"/>
              </a:solidFill>
            </a:rPr>
            <a:t>Compressors are rated in ACFM. To adjust for altitude and to compare with the dryer capacity, the compressor capacity is converted to SCFM. </a:t>
          </a:r>
        </a:p>
      </xdr:txBody>
    </xdr:sp>
    <xdr:clientData/>
  </xdr:twoCellAnchor>
  <xdr:twoCellAnchor>
    <xdr:from>
      <xdr:col>31</xdr:col>
      <xdr:colOff>57150</xdr:colOff>
      <xdr:row>16</xdr:row>
      <xdr:rowOff>123825</xdr:rowOff>
    </xdr:from>
    <xdr:to>
      <xdr:col>31</xdr:col>
      <xdr:colOff>400050</xdr:colOff>
      <xdr:row>17</xdr:row>
      <xdr:rowOff>152400</xdr:rowOff>
    </xdr:to>
    <xdr:sp>
      <xdr:nvSpPr>
        <xdr:cNvPr id="15" name="Right Arrow 16"/>
        <xdr:cNvSpPr>
          <a:spLocks/>
        </xdr:cNvSpPr>
      </xdr:nvSpPr>
      <xdr:spPr>
        <a:xfrm rot="10800000">
          <a:off x="17354550" y="2733675"/>
          <a:ext cx="342900" cy="200025"/>
        </a:xfrm>
        <a:prstGeom prst="rightArrow">
          <a:avLst>
            <a:gd name="adj" fmla="val 23611"/>
          </a:avLst>
        </a:prstGeom>
        <a:solidFill>
          <a:srgbClr val="9BBB59"/>
        </a:solidFill>
        <a:ln w="25400" cmpd="sng">
          <a:solidFill>
            <a:srgbClr val="71893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31</xdr:col>
      <xdr:colOff>57150</xdr:colOff>
      <xdr:row>18</xdr:row>
      <xdr:rowOff>57150</xdr:rowOff>
    </xdr:from>
    <xdr:to>
      <xdr:col>31</xdr:col>
      <xdr:colOff>400050</xdr:colOff>
      <xdr:row>19</xdr:row>
      <xdr:rowOff>76200</xdr:rowOff>
    </xdr:to>
    <xdr:sp>
      <xdr:nvSpPr>
        <xdr:cNvPr id="16" name="Right Arrow 17"/>
        <xdr:cNvSpPr>
          <a:spLocks/>
        </xdr:cNvSpPr>
      </xdr:nvSpPr>
      <xdr:spPr>
        <a:xfrm rot="10800000">
          <a:off x="17354550" y="3009900"/>
          <a:ext cx="342900" cy="180975"/>
        </a:xfrm>
        <a:prstGeom prst="rightArrow">
          <a:avLst>
            <a:gd name="adj" fmla="val 23611"/>
          </a:avLst>
        </a:prstGeom>
        <a:solidFill>
          <a:srgbClr val="9BBB59"/>
        </a:solidFill>
        <a:ln w="25400" cmpd="sng">
          <a:solidFill>
            <a:srgbClr val="71893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31</xdr:col>
      <xdr:colOff>95250</xdr:colOff>
      <xdr:row>27</xdr:row>
      <xdr:rowOff>0</xdr:rowOff>
    </xdr:from>
    <xdr:to>
      <xdr:col>31</xdr:col>
      <xdr:colOff>419100</xdr:colOff>
      <xdr:row>28</xdr:row>
      <xdr:rowOff>28575</xdr:rowOff>
    </xdr:to>
    <xdr:sp>
      <xdr:nvSpPr>
        <xdr:cNvPr id="17" name="Right Arrow 18"/>
        <xdr:cNvSpPr>
          <a:spLocks/>
        </xdr:cNvSpPr>
      </xdr:nvSpPr>
      <xdr:spPr>
        <a:xfrm rot="10800000">
          <a:off x="17392650" y="4457700"/>
          <a:ext cx="323850" cy="190500"/>
        </a:xfrm>
        <a:prstGeom prst="rightArrow">
          <a:avLst>
            <a:gd name="adj" fmla="val 23611"/>
          </a:avLst>
        </a:prstGeom>
        <a:solidFill>
          <a:srgbClr val="9BBB59"/>
        </a:solidFill>
        <a:ln w="25400" cmpd="sng">
          <a:solidFill>
            <a:srgbClr val="71893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2</xdr:row>
      <xdr:rowOff>9525</xdr:rowOff>
    </xdr:from>
    <xdr:to>
      <xdr:col>15</xdr:col>
      <xdr:colOff>0</xdr:colOff>
      <xdr:row>4</xdr:row>
      <xdr:rowOff>123825</xdr:rowOff>
    </xdr:to>
    <xdr:sp>
      <xdr:nvSpPr>
        <xdr:cNvPr id="18" name="TextBox 19"/>
        <xdr:cNvSpPr txBox="1">
          <a:spLocks noChangeArrowheads="1"/>
        </xdr:cNvSpPr>
      </xdr:nvSpPr>
      <xdr:spPr>
        <a:xfrm>
          <a:off x="7219950" y="333375"/>
          <a:ext cx="0" cy="514350"/>
        </a:xfrm>
        <a:prstGeom prst="rect">
          <a:avLst/>
        </a:prstGeom>
        <a:solidFill>
          <a:srgbClr val="FFFFFF"/>
        </a:solidFill>
        <a:ln w="25400" cmpd="sng">
          <a:solidFill>
            <a:srgbClr val="9BBB59"/>
          </a:solidFill>
          <a:headEnd type="none"/>
          <a:tailEnd type="none"/>
        </a:ln>
      </xdr:spPr>
      <xdr:txBody>
        <a:bodyPr vertOverflow="clip" wrap="square"/>
        <a:p>
          <a:pPr algn="l">
            <a:defRPr/>
          </a:pPr>
          <a:r>
            <a:rPr lang="en-US" cap="none" sz="1400" b="1" i="0" u="none" baseline="0">
              <a:solidFill>
                <a:srgbClr val="000000"/>
              </a:solidFill>
              <a:latin typeface="Arial"/>
              <a:ea typeface="Arial"/>
              <a:cs typeface="Arial"/>
            </a:rPr>
            <a:t>Energy Savings Calculator</a:t>
          </a:r>
          <a:r>
            <a:rPr lang="en-US" cap="none" sz="1400" b="1"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for Cycling Refrigerated Air Dryers</a:t>
          </a:r>
          <a:r>
            <a:rPr lang="en-US" cap="none" sz="1400" b="1" i="0" u="none" baseline="0">
              <a:solidFill>
                <a:srgbClr val="000000"/>
              </a:solidFill>
              <a:latin typeface="Arial"/>
              <a:ea typeface="Arial"/>
              <a:cs typeface="Arial"/>
            </a:rPr>
            <a:t> </a:t>
          </a:r>
        </a:p>
      </xdr:txBody>
    </xdr:sp>
    <xdr:clientData/>
  </xdr:twoCellAnchor>
  <xdr:oneCellAnchor>
    <xdr:from>
      <xdr:col>31</xdr:col>
      <xdr:colOff>600075</xdr:colOff>
      <xdr:row>31</xdr:row>
      <xdr:rowOff>0</xdr:rowOff>
    </xdr:from>
    <xdr:ext cx="2571750" cy="304800"/>
    <xdr:sp>
      <xdr:nvSpPr>
        <xdr:cNvPr id="19" name="Text Box 49"/>
        <xdr:cNvSpPr txBox="1">
          <a:spLocks noChangeArrowheads="1"/>
        </xdr:cNvSpPr>
      </xdr:nvSpPr>
      <xdr:spPr>
        <a:xfrm>
          <a:off x="17897475" y="4981575"/>
          <a:ext cx="2571750" cy="304800"/>
        </a:xfrm>
        <a:prstGeom prst="rect">
          <a:avLst/>
        </a:prstGeom>
        <a:solidFill>
          <a:srgbClr val="FFFFFF"/>
        </a:solidFill>
        <a:ln w="25400" cmpd="sng">
          <a:solidFill>
            <a:srgbClr val="9BBB59"/>
          </a:solidFill>
          <a:headEnd type="none"/>
          <a:tailEnd type="none"/>
        </a:ln>
      </xdr:spPr>
      <xdr:txBody>
        <a:bodyPr vertOverflow="clip" wrap="square" lIns="27432" tIns="22860" rIns="0" bIns="0" anchor="ctr"/>
        <a:p>
          <a:pPr algn="l">
            <a:defRPr/>
          </a:pPr>
          <a:r>
            <a:rPr lang="en-US" cap="none" sz="1000" b="0" i="0" u="none" baseline="0">
              <a:solidFill>
                <a:srgbClr val="000000"/>
              </a:solidFill>
            </a:rPr>
            <a:t>from Compressor Savings Calculations sheet</a:t>
          </a:r>
        </a:p>
      </xdr:txBody>
    </xdr:sp>
    <xdr:clientData/>
  </xdr:oneCellAnchor>
  <xdr:twoCellAnchor>
    <xdr:from>
      <xdr:col>31</xdr:col>
      <xdr:colOff>57150</xdr:colOff>
      <xdr:row>31</xdr:row>
      <xdr:rowOff>38100</xdr:rowOff>
    </xdr:from>
    <xdr:to>
      <xdr:col>31</xdr:col>
      <xdr:colOff>400050</xdr:colOff>
      <xdr:row>32</xdr:row>
      <xdr:rowOff>47625</xdr:rowOff>
    </xdr:to>
    <xdr:sp>
      <xdr:nvSpPr>
        <xdr:cNvPr id="20" name="Right Arrow 21"/>
        <xdr:cNvSpPr>
          <a:spLocks/>
        </xdr:cNvSpPr>
      </xdr:nvSpPr>
      <xdr:spPr>
        <a:xfrm rot="10800000">
          <a:off x="17354550" y="5019675"/>
          <a:ext cx="342900" cy="171450"/>
        </a:xfrm>
        <a:prstGeom prst="rightArrow">
          <a:avLst>
            <a:gd name="adj" fmla="val 23611"/>
          </a:avLst>
        </a:prstGeom>
        <a:solidFill>
          <a:srgbClr val="9BBB59"/>
        </a:solidFill>
        <a:ln w="25400" cmpd="sng">
          <a:solidFill>
            <a:srgbClr val="71893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2333625</xdr:colOff>
      <xdr:row>225</xdr:row>
      <xdr:rowOff>123825</xdr:rowOff>
    </xdr:from>
    <xdr:to>
      <xdr:col>2</xdr:col>
      <xdr:colOff>952500</xdr:colOff>
      <xdr:row>227</xdr:row>
      <xdr:rowOff>0</xdr:rowOff>
    </xdr:to>
    <xdr:pic>
      <xdr:nvPicPr>
        <xdr:cNvPr id="1" name="CheckBox1"/>
        <xdr:cNvPicPr preferRelativeResize="1">
          <a:picLocks noChangeAspect="0"/>
        </xdr:cNvPicPr>
      </xdr:nvPicPr>
      <xdr:blipFill>
        <a:blip r:embed="rId1"/>
        <a:stretch>
          <a:fillRect/>
        </a:stretch>
      </xdr:blipFill>
      <xdr:spPr>
        <a:xfrm>
          <a:off x="2333625" y="39471600"/>
          <a:ext cx="3971925" cy="257175"/>
        </a:xfrm>
        <a:prstGeom prst="rect">
          <a:avLst/>
        </a:prstGeom>
        <a:solidFill>
          <a:srgbClr val="FFFFFF"/>
        </a:solidFill>
        <a:ln w="1" cmpd="sng">
          <a:noFill/>
        </a:ln>
      </xdr:spPr>
    </xdr:pic>
    <xdr:clientData fLock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200025</xdr:colOff>
      <xdr:row>0</xdr:row>
      <xdr:rowOff>0</xdr:rowOff>
    </xdr:from>
    <xdr:to>
      <xdr:col>13</xdr:col>
      <xdr:colOff>428625</xdr:colOff>
      <xdr:row>0</xdr:row>
      <xdr:rowOff>0</xdr:rowOff>
    </xdr:to>
    <xdr:graphicFrame>
      <xdr:nvGraphicFramePr>
        <xdr:cNvPr id="1" name="Chart 2"/>
        <xdr:cNvGraphicFramePr/>
      </xdr:nvGraphicFramePr>
      <xdr:xfrm>
        <a:off x="6381750" y="0"/>
        <a:ext cx="3886200" cy="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161925</xdr:colOff>
      <xdr:row>22</xdr:row>
      <xdr:rowOff>19050</xdr:rowOff>
    </xdr:from>
    <xdr:to>
      <xdr:col>16</xdr:col>
      <xdr:colOff>47625</xdr:colOff>
      <xdr:row>43</xdr:row>
      <xdr:rowOff>0</xdr:rowOff>
    </xdr:to>
    <xdr:graphicFrame>
      <xdr:nvGraphicFramePr>
        <xdr:cNvPr id="1" name="Chart 4"/>
        <xdr:cNvGraphicFramePr/>
      </xdr:nvGraphicFramePr>
      <xdr:xfrm>
        <a:off x="6115050" y="3648075"/>
        <a:ext cx="4152900" cy="338137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381000</xdr:colOff>
      <xdr:row>7</xdr:row>
      <xdr:rowOff>133350</xdr:rowOff>
    </xdr:from>
    <xdr:to>
      <xdr:col>15</xdr:col>
      <xdr:colOff>161925</xdr:colOff>
      <xdr:row>30</xdr:row>
      <xdr:rowOff>9525</xdr:rowOff>
    </xdr:to>
    <xdr:graphicFrame>
      <xdr:nvGraphicFramePr>
        <xdr:cNvPr id="1" name="Chart 6"/>
        <xdr:cNvGraphicFramePr/>
      </xdr:nvGraphicFramePr>
      <xdr:xfrm>
        <a:off x="6076950" y="1333500"/>
        <a:ext cx="4629150" cy="3600450"/>
      </xdr:xfrm>
      <a:graphic>
        <a:graphicData uri="http://schemas.openxmlformats.org/drawingml/2006/chart">
          <c:chart xmlns:c="http://schemas.openxmlformats.org/drawingml/2006/chart" r:id="rId1"/>
        </a:graphicData>
      </a:graphic>
    </xdr:graphicFrame>
    <xdr:clientData/>
  </xdr:twoCellAnchor>
  <xdr:twoCellAnchor>
    <xdr:from>
      <xdr:col>8</xdr:col>
      <xdr:colOff>304800</xdr:colOff>
      <xdr:row>33</xdr:row>
      <xdr:rowOff>0</xdr:rowOff>
    </xdr:from>
    <xdr:to>
      <xdr:col>15</xdr:col>
      <xdr:colOff>95250</xdr:colOff>
      <xdr:row>55</xdr:row>
      <xdr:rowOff>47625</xdr:rowOff>
    </xdr:to>
    <xdr:graphicFrame>
      <xdr:nvGraphicFramePr>
        <xdr:cNvPr id="2" name="Chart 7"/>
        <xdr:cNvGraphicFramePr/>
      </xdr:nvGraphicFramePr>
      <xdr:xfrm>
        <a:off x="6000750" y="5410200"/>
        <a:ext cx="4638675" cy="3619500"/>
      </xdr:xfrm>
      <a:graphic>
        <a:graphicData uri="http://schemas.openxmlformats.org/drawingml/2006/chart">
          <c:chart xmlns:c="http://schemas.openxmlformats.org/drawingml/2006/chart" r:id="rId2"/>
        </a:graphicData>
      </a:graphic>
    </xdr:graphicFrame>
    <xdr:clientData/>
  </xdr:twoCellAnchor>
  <xdr:twoCellAnchor>
    <xdr:from>
      <xdr:col>9</xdr:col>
      <xdr:colOff>200025</xdr:colOff>
      <xdr:row>87</xdr:row>
      <xdr:rowOff>152400</xdr:rowOff>
    </xdr:from>
    <xdr:to>
      <xdr:col>15</xdr:col>
      <xdr:colOff>276225</xdr:colOff>
      <xdr:row>110</xdr:row>
      <xdr:rowOff>38100</xdr:rowOff>
    </xdr:to>
    <xdr:graphicFrame>
      <xdr:nvGraphicFramePr>
        <xdr:cNvPr id="3" name="Chart 8"/>
        <xdr:cNvGraphicFramePr/>
      </xdr:nvGraphicFramePr>
      <xdr:xfrm>
        <a:off x="6505575" y="14325600"/>
        <a:ext cx="4314825" cy="3609975"/>
      </xdr:xfrm>
      <a:graphic>
        <a:graphicData uri="http://schemas.openxmlformats.org/drawingml/2006/chart">
          <c:chart xmlns:c="http://schemas.openxmlformats.org/drawingml/2006/chart" r:id="rId3"/>
        </a:graphicData>
      </a:graphic>
    </xdr:graphicFrame>
    <xdr:clientData/>
  </xdr:twoCellAnchor>
  <xdr:twoCellAnchor>
    <xdr:from>
      <xdr:col>6</xdr:col>
      <xdr:colOff>504825</xdr:colOff>
      <xdr:row>122</xdr:row>
      <xdr:rowOff>47625</xdr:rowOff>
    </xdr:from>
    <xdr:to>
      <xdr:col>13</xdr:col>
      <xdr:colOff>304800</xdr:colOff>
      <xdr:row>144</xdr:row>
      <xdr:rowOff>104775</xdr:rowOff>
    </xdr:to>
    <xdr:graphicFrame>
      <xdr:nvGraphicFramePr>
        <xdr:cNvPr id="4" name="Chart 9"/>
        <xdr:cNvGraphicFramePr/>
      </xdr:nvGraphicFramePr>
      <xdr:xfrm>
        <a:off x="4714875" y="19888200"/>
        <a:ext cx="4333875" cy="3619500"/>
      </xdr:xfrm>
      <a:graphic>
        <a:graphicData uri="http://schemas.openxmlformats.org/drawingml/2006/chart">
          <c:chart xmlns:c="http://schemas.openxmlformats.org/drawingml/2006/chart" r:id="rId4"/>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J:\Documents%20and%20Settings\dng6482\Local%20Settings\Temporary%20Internet%20Files\OLK150\CustomCalc\CreditCalc_v3_06_tes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UploadData"/>
      <sheetName val="Credit_Payment Calculator"/>
      <sheetName val="BPA Incentives Summary"/>
      <sheetName val="Calculations"/>
      <sheetName val="Reimbursement Data Base"/>
      <sheetName val="PV Value by Measure Life"/>
      <sheetName val="Change History"/>
    </sheetNames>
    <sheetDataSet>
      <sheetData sheetId="1">
        <row r="27">
          <cell r="C27">
            <v>0</v>
          </cell>
        </row>
      </sheetData>
      <sheetData sheetId="3">
        <row r="1">
          <cell r="BI1" t="b">
            <v>0</v>
          </cell>
        </row>
        <row r="3">
          <cell r="AJ3">
            <v>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drawing" Target="../drawings/drawing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3.vml" /><Relationship Id="rId3" Type="http://schemas.openxmlformats.org/officeDocument/2006/relationships/drawing" Target="../drawings/drawing7.xml" /></Relationships>
</file>

<file path=xl/worksheets/sheet1.xml><?xml version="1.0" encoding="utf-8"?>
<worksheet xmlns="http://schemas.openxmlformats.org/spreadsheetml/2006/main" xmlns:r="http://schemas.openxmlformats.org/officeDocument/2006/relationships">
  <sheetPr codeName="Sheet4">
    <pageSetUpPr fitToPage="1"/>
  </sheetPr>
  <dimension ref="A1:BI254"/>
  <sheetViews>
    <sheetView showGridLines="0" tabSelected="1" zoomScale="110" zoomScaleNormal="110" zoomScaleSheetLayoutView="115" zoomScalePageLayoutView="0" workbookViewId="0" topLeftCell="A1">
      <selection activeCell="AJ37" sqref="AJ37"/>
    </sheetView>
  </sheetViews>
  <sheetFormatPr defaultColWidth="9.140625" defaultRowHeight="12.75"/>
  <cols>
    <col min="1" max="1" width="2.57421875" style="0" customWidth="1"/>
    <col min="2" max="2" width="1.1484375" style="0" customWidth="1"/>
    <col min="3" max="3" width="1.421875" style="0" customWidth="1"/>
    <col min="4" max="4" width="3.00390625" style="0" customWidth="1"/>
    <col min="5" max="17" width="3.421875" style="0" customWidth="1"/>
    <col min="18" max="18" width="3.57421875" style="0" customWidth="1"/>
    <col min="19" max="20" width="3.421875" style="0" customWidth="1"/>
    <col min="21" max="21" width="4.57421875" style="0" customWidth="1"/>
    <col min="22" max="22" width="0.9921875" style="0" customWidth="1"/>
    <col min="23" max="23" width="3.421875" style="0" customWidth="1"/>
    <col min="24" max="24" width="3.140625" style="0" customWidth="1"/>
    <col min="25" max="35" width="3.421875" style="0" customWidth="1"/>
    <col min="36" max="36" width="25.8515625" style="0" customWidth="1"/>
    <col min="43" max="43" width="4.8515625" style="0" customWidth="1"/>
    <col min="44" max="44" width="10.8515625" style="0" customWidth="1"/>
    <col min="48" max="48" width="2.421875" style="0" customWidth="1"/>
    <col min="51" max="51" width="2.140625" style="0" customWidth="1"/>
  </cols>
  <sheetData>
    <row r="1" spans="1:53" ht="12.75">
      <c r="A1" s="25"/>
      <c r="B1" s="25"/>
      <c r="C1" s="25"/>
      <c r="D1" s="25"/>
      <c r="E1" s="25"/>
      <c r="F1" s="25"/>
      <c r="G1" s="25"/>
      <c r="H1" s="25"/>
      <c r="I1" s="25"/>
      <c r="J1" s="25"/>
      <c r="K1" s="25"/>
      <c r="L1" s="25"/>
      <c r="M1" s="25"/>
      <c r="N1" s="25"/>
      <c r="O1" s="25"/>
      <c r="P1" s="25"/>
      <c r="Q1" s="25"/>
      <c r="R1" s="25"/>
      <c r="S1" s="25"/>
      <c r="T1" s="25"/>
      <c r="U1" s="25"/>
      <c r="V1" s="25"/>
      <c r="W1" s="25"/>
      <c r="X1" s="25"/>
      <c r="Y1" s="25"/>
      <c r="Z1" s="25"/>
      <c r="AA1" s="25"/>
      <c r="AB1" s="25"/>
      <c r="AC1" s="25"/>
      <c r="AD1" s="25"/>
      <c r="AE1" s="25"/>
      <c r="AF1" s="25"/>
      <c r="AG1" s="305"/>
      <c r="AH1" s="305"/>
      <c r="AI1" s="305"/>
      <c r="AJ1" s="305"/>
      <c r="AK1" s="25"/>
      <c r="AL1" s="25"/>
      <c r="AM1" s="25"/>
      <c r="AN1" s="25"/>
      <c r="AO1" s="25"/>
      <c r="AP1" s="25"/>
      <c r="AQ1" s="25"/>
      <c r="AR1" s="25"/>
      <c r="AS1" s="25"/>
      <c r="AT1" s="25"/>
      <c r="AU1" s="25"/>
      <c r="AV1" s="25"/>
      <c r="AW1" s="25"/>
      <c r="AX1" s="25"/>
      <c r="AY1" s="25"/>
      <c r="AZ1" s="25"/>
      <c r="BA1" s="25"/>
    </row>
    <row r="2" spans="1:53" ht="3.75" customHeight="1">
      <c r="A2" s="25"/>
      <c r="B2" t="b">
        <v>0</v>
      </c>
      <c r="AG2" s="1"/>
      <c r="AH2" s="305"/>
      <c r="AI2" s="305"/>
      <c r="AJ2" s="305"/>
      <c r="AK2" s="25"/>
      <c r="AL2" s="25"/>
      <c r="AM2" s="25"/>
      <c r="AN2" s="25"/>
      <c r="AO2" s="25"/>
      <c r="AP2" s="25"/>
      <c r="AQ2" s="25"/>
      <c r="AR2" s="25"/>
      <c r="AS2" s="25"/>
      <c r="AT2" s="25"/>
      <c r="AU2" s="25"/>
      <c r="AV2" s="25"/>
      <c r="AW2" s="25"/>
      <c r="AX2" s="25"/>
      <c r="AY2" s="25"/>
      <c r="AZ2" s="25"/>
      <c r="BA2" s="25"/>
    </row>
    <row r="3" spans="1:53" ht="7.5" customHeight="1">
      <c r="A3" s="25"/>
      <c r="AG3" s="1"/>
      <c r="AH3" s="305"/>
      <c r="AI3" s="305"/>
      <c r="AJ3" s="305"/>
      <c r="AK3" s="25"/>
      <c r="AL3" s="25"/>
      <c r="AM3" s="25"/>
      <c r="AN3" s="25"/>
      <c r="AO3" s="25"/>
      <c r="AP3" s="25"/>
      <c r="AQ3" s="25"/>
      <c r="AR3" s="25"/>
      <c r="AS3" s="25"/>
      <c r="AT3" s="25"/>
      <c r="AU3" s="25"/>
      <c r="AV3" s="25"/>
      <c r="AW3" s="25"/>
      <c r="AX3" s="25"/>
      <c r="AY3" s="25"/>
      <c r="AZ3" s="25"/>
      <c r="BA3" s="25"/>
    </row>
    <row r="4" spans="1:53" ht="17.25" customHeight="1">
      <c r="A4" s="25"/>
      <c r="D4" s="311" t="s">
        <v>561</v>
      </c>
      <c r="W4" s="1044"/>
      <c r="X4" s="1044"/>
      <c r="Y4" s="1044"/>
      <c r="Z4" s="1044"/>
      <c r="AA4" s="1044"/>
      <c r="AB4" s="1044"/>
      <c r="AC4" s="1044"/>
      <c r="AD4" s="1044"/>
      <c r="AE4" s="1044"/>
      <c r="AF4" s="1044"/>
      <c r="AG4" s="1"/>
      <c r="AH4" s="305"/>
      <c r="AI4" s="305"/>
      <c r="AJ4" s="306"/>
      <c r="AK4" s="25"/>
      <c r="AL4" s="25"/>
      <c r="AM4" s="25"/>
      <c r="AN4" s="25"/>
      <c r="AO4" s="25"/>
      <c r="AP4" s="25"/>
      <c r="AQ4" s="25"/>
      <c r="AR4" s="25"/>
      <c r="AS4" s="25"/>
      <c r="AT4" s="25"/>
      <c r="AU4" s="25"/>
      <c r="AV4" s="25"/>
      <c r="AW4" s="25"/>
      <c r="AX4" s="25"/>
      <c r="AY4" s="25"/>
      <c r="AZ4" s="25"/>
      <c r="BA4" s="25"/>
    </row>
    <row r="5" spans="1:53" ht="19.5" customHeight="1">
      <c r="A5" s="25"/>
      <c r="D5" s="312" t="s">
        <v>562</v>
      </c>
      <c r="W5" s="1044"/>
      <c r="X5" s="1044"/>
      <c r="Y5" s="1044"/>
      <c r="Z5" s="1044"/>
      <c r="AA5" s="1044"/>
      <c r="AB5" s="1044"/>
      <c r="AC5" s="1044"/>
      <c r="AD5" s="1044"/>
      <c r="AE5" s="1044"/>
      <c r="AF5" s="1044"/>
      <c r="AG5" s="1"/>
      <c r="AH5" s="305"/>
      <c r="AI5" s="305"/>
      <c r="AJ5" s="307"/>
      <c r="AK5" s="25"/>
      <c r="AL5" s="25"/>
      <c r="AM5" s="25"/>
      <c r="AN5" s="25"/>
      <c r="AO5" s="25"/>
      <c r="AP5" s="25"/>
      <c r="AQ5" s="25"/>
      <c r="AR5" s="25"/>
      <c r="AS5" s="25"/>
      <c r="AT5" s="25"/>
      <c r="AU5" s="25"/>
      <c r="AV5" s="25"/>
      <c r="AW5" s="25"/>
      <c r="AX5" s="25"/>
      <c r="AY5" s="25"/>
      <c r="AZ5" s="25"/>
      <c r="BA5" s="25"/>
    </row>
    <row r="6" spans="1:53" ht="12.75">
      <c r="A6" s="25"/>
      <c r="D6" s="6" t="s">
        <v>705</v>
      </c>
      <c r="E6" s="6"/>
      <c r="F6" s="6"/>
      <c r="G6" s="6"/>
      <c r="H6" s="6"/>
      <c r="I6" s="6"/>
      <c r="J6" s="6"/>
      <c r="K6" s="6"/>
      <c r="L6" s="6"/>
      <c r="M6" s="6"/>
      <c r="N6" s="6"/>
      <c r="O6" s="6"/>
      <c r="P6" s="6"/>
      <c r="Q6" s="6"/>
      <c r="R6" s="6"/>
      <c r="S6" s="6"/>
      <c r="T6" s="6"/>
      <c r="U6" s="6"/>
      <c r="V6" s="6"/>
      <c r="W6" s="6"/>
      <c r="X6" s="6"/>
      <c r="Y6" s="6"/>
      <c r="Z6" s="6"/>
      <c r="AA6" s="6"/>
      <c r="AB6" s="6"/>
      <c r="AC6" s="6"/>
      <c r="AD6" s="6"/>
      <c r="AE6" s="6"/>
      <c r="AF6" s="6"/>
      <c r="AG6" s="1"/>
      <c r="AH6" s="305"/>
      <c r="AI6" s="305"/>
      <c r="AJ6" s="307"/>
      <c r="AK6" s="25"/>
      <c r="AL6" s="25"/>
      <c r="AM6" s="25"/>
      <c r="AN6" s="25"/>
      <c r="AO6" s="25"/>
      <c r="AP6" s="25"/>
      <c r="AQ6" s="25"/>
      <c r="AR6" s="25"/>
      <c r="AS6" s="25"/>
      <c r="AT6" s="25"/>
      <c r="AU6" s="25"/>
      <c r="AV6" s="25"/>
      <c r="AW6" s="25"/>
      <c r="AX6" s="25"/>
      <c r="AY6" s="25"/>
      <c r="AZ6" s="25"/>
      <c r="BA6" s="25"/>
    </row>
    <row r="7" spans="1:53" ht="12" customHeight="1">
      <c r="A7" s="25"/>
      <c r="D7" s="7" t="s">
        <v>640</v>
      </c>
      <c r="R7" s="848"/>
      <c r="S7" s="847" t="s">
        <v>1098</v>
      </c>
      <c r="T7" s="848"/>
      <c r="U7" s="848"/>
      <c r="V7" s="848"/>
      <c r="W7" s="848"/>
      <c r="X7" s="848"/>
      <c r="Y7" s="848"/>
      <c r="Z7" s="848"/>
      <c r="AA7" s="848"/>
      <c r="AB7" s="849"/>
      <c r="AC7" s="770" t="s">
        <v>289</v>
      </c>
      <c r="AD7" s="1"/>
      <c r="AE7" s="1"/>
      <c r="AF7" s="1"/>
      <c r="AG7" s="1"/>
      <c r="AH7" s="305"/>
      <c r="AI7" s="305"/>
      <c r="AJ7" s="305"/>
      <c r="AK7" s="25"/>
      <c r="AL7" s="25"/>
      <c r="AM7" s="25"/>
      <c r="AN7" s="25"/>
      <c r="AO7" s="25"/>
      <c r="AP7" s="25"/>
      <c r="AQ7" s="25"/>
      <c r="AR7" s="25"/>
      <c r="AS7" s="25"/>
      <c r="AT7" s="25"/>
      <c r="AU7" s="25"/>
      <c r="AV7" s="25"/>
      <c r="AW7" s="25"/>
      <c r="AX7" s="25"/>
      <c r="AY7" s="25"/>
      <c r="AZ7" s="25"/>
      <c r="BA7" s="25"/>
    </row>
    <row r="8" spans="1:53" ht="18" customHeight="1">
      <c r="A8" s="25"/>
      <c r="D8" s="1029"/>
      <c r="E8" s="1029"/>
      <c r="F8" s="1029"/>
      <c r="G8" s="1029"/>
      <c r="H8" s="1029"/>
      <c r="I8" s="1029"/>
      <c r="J8" s="1029"/>
      <c r="K8" s="1029"/>
      <c r="L8" s="1029"/>
      <c r="M8" s="1029"/>
      <c r="N8" s="1029"/>
      <c r="O8" s="1029"/>
      <c r="P8" s="1029"/>
      <c r="Q8" s="1029"/>
      <c r="R8" s="1030"/>
      <c r="S8" s="1042"/>
      <c r="T8" s="1029"/>
      <c r="U8" s="1029"/>
      <c r="V8" s="1029"/>
      <c r="W8" s="1029"/>
      <c r="X8" s="1029"/>
      <c r="Y8" s="1029"/>
      <c r="Z8" s="1029"/>
      <c r="AA8" s="1029"/>
      <c r="AB8" s="1030"/>
      <c r="AC8" s="1026"/>
      <c r="AD8" s="1027"/>
      <c r="AE8" s="1027"/>
      <c r="AF8" s="1028"/>
      <c r="AG8" s="1"/>
      <c r="AH8" s="305"/>
      <c r="AI8" s="305"/>
      <c r="AJ8" s="305"/>
      <c r="AK8" s="25"/>
      <c r="AL8" s="25"/>
      <c r="AM8" s="25"/>
      <c r="AN8" s="25"/>
      <c r="AO8" s="25"/>
      <c r="AP8" s="25"/>
      <c r="AQ8" s="25"/>
      <c r="AR8" s="25"/>
      <c r="AS8" s="25"/>
      <c r="AT8" s="25"/>
      <c r="AU8" s="25"/>
      <c r="AV8" s="25"/>
      <c r="AW8" s="25"/>
      <c r="AX8" s="25"/>
      <c r="AY8" s="25"/>
      <c r="AZ8" s="25"/>
      <c r="BA8" s="25"/>
    </row>
    <row r="9" spans="1:53" ht="12" customHeight="1">
      <c r="A9" s="25"/>
      <c r="D9" s="7" t="s">
        <v>707</v>
      </c>
      <c r="Q9" s="15"/>
      <c r="R9" s="7" t="s">
        <v>688</v>
      </c>
      <c r="AG9" s="1"/>
      <c r="AH9" s="305"/>
      <c r="AI9" s="305"/>
      <c r="AJ9" s="305"/>
      <c r="AK9" s="25"/>
      <c r="AL9" s="25"/>
      <c r="AM9" s="25"/>
      <c r="AN9" s="25"/>
      <c r="AO9" s="25"/>
      <c r="AP9" s="25"/>
      <c r="AQ9" s="25"/>
      <c r="AR9" s="25"/>
      <c r="AS9" s="25"/>
      <c r="AT9" s="25"/>
      <c r="AU9" s="25"/>
      <c r="AV9" s="25"/>
      <c r="AW9" s="25"/>
      <c r="AX9" s="25"/>
      <c r="AY9" s="25"/>
      <c r="AZ9" s="25"/>
      <c r="BA9" s="25"/>
    </row>
    <row r="10" spans="1:53" ht="18" customHeight="1">
      <c r="A10" s="25"/>
      <c r="D10" s="1029"/>
      <c r="E10" s="1029"/>
      <c r="F10" s="1029"/>
      <c r="G10" s="1029"/>
      <c r="H10" s="1029"/>
      <c r="I10" s="1029"/>
      <c r="J10" s="1029"/>
      <c r="K10" s="1029"/>
      <c r="L10" s="1029"/>
      <c r="M10" s="1029"/>
      <c r="N10" s="1029"/>
      <c r="O10" s="1029"/>
      <c r="P10" s="1029"/>
      <c r="Q10" s="1030"/>
      <c r="R10" s="1042"/>
      <c r="S10" s="1029"/>
      <c r="T10" s="1029"/>
      <c r="U10" s="1029"/>
      <c r="V10" s="1029"/>
      <c r="W10" s="1029"/>
      <c r="X10" s="1029"/>
      <c r="Y10" s="1029"/>
      <c r="Z10" s="1029"/>
      <c r="AA10" s="1029"/>
      <c r="AB10" s="1029"/>
      <c r="AC10" s="1029"/>
      <c r="AD10" s="1029"/>
      <c r="AE10" s="1029"/>
      <c r="AF10" s="1029"/>
      <c r="AG10" s="1"/>
      <c r="AH10" s="305"/>
      <c r="AI10" s="305"/>
      <c r="AJ10" s="305"/>
      <c r="AK10" s="25"/>
      <c r="AL10" s="25"/>
      <c r="AM10" s="25"/>
      <c r="AN10" s="25"/>
      <c r="AO10" s="25"/>
      <c r="AP10" s="25"/>
      <c r="AQ10" s="25"/>
      <c r="AR10" s="25"/>
      <c r="AS10" s="25"/>
      <c r="AT10" s="25"/>
      <c r="AU10" s="25"/>
      <c r="AV10" s="25"/>
      <c r="AW10" s="25"/>
      <c r="AX10" s="25"/>
      <c r="AY10" s="25"/>
      <c r="AZ10" s="25"/>
      <c r="BA10" s="25"/>
    </row>
    <row r="11" spans="1:53" ht="12" customHeight="1">
      <c r="A11" s="25"/>
      <c r="D11" s="7" t="s">
        <v>622</v>
      </c>
      <c r="Q11" s="15"/>
      <c r="R11" s="7" t="s">
        <v>708</v>
      </c>
      <c r="Y11" s="15"/>
      <c r="Z11" s="7" t="s">
        <v>709</v>
      </c>
      <c r="AB11" s="15"/>
      <c r="AC11" s="7" t="s">
        <v>710</v>
      </c>
      <c r="AG11" s="1"/>
      <c r="AH11" s="305"/>
      <c r="AI11" s="305"/>
      <c r="AJ11" s="305"/>
      <c r="AK11" s="25"/>
      <c r="AL11" s="25"/>
      <c r="AM11" s="25"/>
      <c r="AN11" s="25"/>
      <c r="AO11" s="25"/>
      <c r="AP11" s="25"/>
      <c r="AQ11" s="25"/>
      <c r="AR11" s="25"/>
      <c r="AS11" s="25"/>
      <c r="AT11" s="25"/>
      <c r="AU11" s="25"/>
      <c r="AV11" s="25"/>
      <c r="AW11" s="25"/>
      <c r="AX11" s="25"/>
      <c r="AY11" s="25"/>
      <c r="AZ11" s="25"/>
      <c r="BA11" s="25"/>
    </row>
    <row r="12" spans="1:53" ht="18" customHeight="1">
      <c r="A12" s="25"/>
      <c r="D12" s="1029"/>
      <c r="E12" s="1029"/>
      <c r="F12" s="1043"/>
      <c r="G12" s="1043"/>
      <c r="H12" s="1043"/>
      <c r="I12" s="1029"/>
      <c r="J12" s="1029"/>
      <c r="K12" s="1029"/>
      <c r="L12" s="1029"/>
      <c r="M12" s="1029"/>
      <c r="N12" s="1029"/>
      <c r="O12" s="1029"/>
      <c r="P12" s="1029"/>
      <c r="Q12" s="1030"/>
      <c r="R12" s="1042"/>
      <c r="S12" s="1029"/>
      <c r="T12" s="1029"/>
      <c r="U12" s="1029"/>
      <c r="V12" s="1029"/>
      <c r="W12" s="1029"/>
      <c r="X12" s="1029"/>
      <c r="Y12" s="1030"/>
      <c r="Z12" s="1028"/>
      <c r="AA12" s="1047"/>
      <c r="AB12" s="1048"/>
      <c r="AC12" s="1047"/>
      <c r="AD12" s="1047"/>
      <c r="AE12" s="1047"/>
      <c r="AF12" s="1047"/>
      <c r="AG12" s="1"/>
      <c r="AH12" s="305"/>
      <c r="AI12" s="305"/>
      <c r="AJ12" s="305"/>
      <c r="AK12" s="25"/>
      <c r="AL12" s="25"/>
      <c r="AM12" s="25"/>
      <c r="AN12" s="25"/>
      <c r="AO12" s="25"/>
      <c r="AP12" s="25"/>
      <c r="AQ12" s="25"/>
      <c r="AR12" s="25"/>
      <c r="AS12" s="25"/>
      <c r="AT12" s="25"/>
      <c r="AU12" s="25"/>
      <c r="AV12" s="25"/>
      <c r="AW12" s="25"/>
      <c r="AX12" s="25"/>
      <c r="AY12" s="25"/>
      <c r="AZ12" s="25"/>
      <c r="BA12" s="25"/>
    </row>
    <row r="13" spans="1:53" ht="12.75">
      <c r="A13" s="25"/>
      <c r="D13" s="863" t="s">
        <v>706</v>
      </c>
      <c r="E13" s="864"/>
      <c r="F13" s="866"/>
      <c r="G13" s="12"/>
      <c r="H13" s="12"/>
      <c r="I13" s="865" t="s">
        <v>641</v>
      </c>
      <c r="L13" s="866"/>
      <c r="M13" s="866"/>
      <c r="N13" s="867"/>
      <c r="O13" s="863" t="s">
        <v>621</v>
      </c>
      <c r="P13" s="864"/>
      <c r="Q13" s="864"/>
      <c r="R13" s="864"/>
      <c r="S13" s="864"/>
      <c r="T13" s="864"/>
      <c r="U13" s="864"/>
      <c r="V13" s="864"/>
      <c r="W13" s="867"/>
      <c r="X13" s="863" t="s">
        <v>1177</v>
      </c>
      <c r="Y13" s="864"/>
      <c r="Z13" s="864"/>
      <c r="AA13" s="864"/>
      <c r="AB13" s="864"/>
      <c r="AC13" s="868"/>
      <c r="AG13" s="1"/>
      <c r="AH13" s="305"/>
      <c r="AI13" s="305"/>
      <c r="AJ13" s="305"/>
      <c r="AK13" s="25"/>
      <c r="AL13" s="25"/>
      <c r="AM13" s="25"/>
      <c r="AN13" s="25"/>
      <c r="AO13" s="25"/>
      <c r="AP13" s="25"/>
      <c r="AQ13" s="25"/>
      <c r="AR13" s="25"/>
      <c r="AS13" s="25"/>
      <c r="AT13" s="25"/>
      <c r="AU13" s="25"/>
      <c r="AV13" s="25"/>
      <c r="AW13" s="25"/>
      <c r="AX13" s="25"/>
      <c r="AY13" s="25"/>
      <c r="AZ13" s="25"/>
      <c r="BA13" s="25"/>
    </row>
    <row r="14" spans="1:53" ht="18" customHeight="1">
      <c r="A14" s="25"/>
      <c r="C14" s="1034"/>
      <c r="D14" s="1034"/>
      <c r="E14" s="1034"/>
      <c r="F14" s="1034"/>
      <c r="G14" s="1034"/>
      <c r="H14" s="1035"/>
      <c r="I14" s="1033"/>
      <c r="J14" s="1034"/>
      <c r="K14" s="1034"/>
      <c r="L14" s="1034"/>
      <c r="M14" s="1034"/>
      <c r="N14" s="1035"/>
      <c r="O14" s="1057"/>
      <c r="P14" s="1058"/>
      <c r="Q14" s="1058"/>
      <c r="R14" s="1058"/>
      <c r="S14" s="1058"/>
      <c r="T14" s="1058"/>
      <c r="U14" s="1058"/>
      <c r="V14" s="1058"/>
      <c r="W14" s="1059"/>
      <c r="X14" s="1053" t="s">
        <v>1129</v>
      </c>
      <c r="Y14" s="1054"/>
      <c r="Z14" s="1054"/>
      <c r="AA14" s="1054"/>
      <c r="AB14" s="1054"/>
      <c r="AC14" s="1054"/>
      <c r="AD14" s="1054"/>
      <c r="AE14" s="1054"/>
      <c r="AF14" s="1054"/>
      <c r="AG14" s="1"/>
      <c r="AH14" s="305"/>
      <c r="AI14" s="305"/>
      <c r="AJ14" s="305"/>
      <c r="AK14" s="25"/>
      <c r="AL14" s="25"/>
      <c r="AM14" s="25"/>
      <c r="AN14" s="25"/>
      <c r="AO14" s="25"/>
      <c r="AP14" s="25"/>
      <c r="AQ14" s="25"/>
      <c r="AR14" s="25"/>
      <c r="AS14" s="25"/>
      <c r="AT14" s="25"/>
      <c r="AU14" s="25"/>
      <c r="AV14" s="25"/>
      <c r="AW14" s="25"/>
      <c r="AX14" s="25"/>
      <c r="AY14" s="25"/>
      <c r="AZ14" s="25"/>
      <c r="BA14" s="25"/>
    </row>
    <row r="15" spans="1:53" ht="14.25" customHeight="1">
      <c r="A15" s="25"/>
      <c r="D15" s="22"/>
      <c r="E15" s="22"/>
      <c r="F15" s="22"/>
      <c r="G15" s="22"/>
      <c r="H15" s="22"/>
      <c r="I15" s="22"/>
      <c r="J15" s="22"/>
      <c r="K15" s="22"/>
      <c r="L15" s="22"/>
      <c r="M15" s="22"/>
      <c r="N15" s="22"/>
      <c r="O15" s="22"/>
      <c r="P15" s="22"/>
      <c r="Q15" s="22"/>
      <c r="R15" s="22"/>
      <c r="S15" s="23"/>
      <c r="T15" s="22"/>
      <c r="U15" s="22"/>
      <c r="V15" s="22"/>
      <c r="W15" s="22"/>
      <c r="X15" s="22"/>
      <c r="Y15" s="22"/>
      <c r="Z15" s="22"/>
      <c r="AA15" s="22"/>
      <c r="AB15" s="22"/>
      <c r="AC15" s="22"/>
      <c r="AD15" s="22"/>
      <c r="AE15" s="22"/>
      <c r="AF15" s="22"/>
      <c r="AG15" s="1"/>
      <c r="AH15" s="305"/>
      <c r="AI15" s="305"/>
      <c r="AJ15" s="305"/>
      <c r="AK15" s="25"/>
      <c r="AL15" s="25"/>
      <c r="AM15" s="25"/>
      <c r="AN15" s="25"/>
      <c r="AO15" s="25"/>
      <c r="AP15" s="25"/>
      <c r="AQ15" s="25"/>
      <c r="AR15" s="25"/>
      <c r="AS15" s="25"/>
      <c r="AT15" s="25"/>
      <c r="AU15" s="25"/>
      <c r="AV15" s="25"/>
      <c r="AW15" s="25"/>
      <c r="AX15" s="25"/>
      <c r="AY15" s="25"/>
      <c r="AZ15" s="25"/>
      <c r="BA15" s="25"/>
    </row>
    <row r="16" spans="1:53" ht="5.25" customHeight="1">
      <c r="A16" s="25"/>
      <c r="AG16" s="1"/>
      <c r="AH16" s="305"/>
      <c r="AI16" s="305"/>
      <c r="AJ16" s="308"/>
      <c r="AK16" s="25"/>
      <c r="AL16" s="25"/>
      <c r="AM16" s="25"/>
      <c r="AN16" s="25"/>
      <c r="AO16" s="25"/>
      <c r="AP16" s="25"/>
      <c r="AQ16" s="25"/>
      <c r="AR16" s="25"/>
      <c r="AS16" s="25"/>
      <c r="AT16" s="25"/>
      <c r="AU16" s="25"/>
      <c r="AV16" s="25"/>
      <c r="AW16" s="25"/>
      <c r="AX16" s="25"/>
      <c r="AY16" s="25"/>
      <c r="AZ16" s="25"/>
      <c r="BA16" s="25"/>
    </row>
    <row r="17" spans="1:53" ht="12.75">
      <c r="A17" s="25"/>
      <c r="D17" s="6" t="s">
        <v>711</v>
      </c>
      <c r="E17" s="6"/>
      <c r="F17" s="6"/>
      <c r="G17" s="6"/>
      <c r="H17" s="6"/>
      <c r="I17" s="6"/>
      <c r="J17" s="6"/>
      <c r="K17" s="6"/>
      <c r="L17" s="6"/>
      <c r="M17" s="11"/>
      <c r="N17" s="11"/>
      <c r="O17" s="11"/>
      <c r="P17" s="11"/>
      <c r="Q17" s="11"/>
      <c r="R17" s="11"/>
      <c r="S17" s="11"/>
      <c r="T17" s="11"/>
      <c r="U17" s="11"/>
      <c r="V17" s="11"/>
      <c r="W17" s="10"/>
      <c r="X17" s="6"/>
      <c r="Y17" s="6"/>
      <c r="Z17" s="6"/>
      <c r="AA17" s="6"/>
      <c r="AB17" s="6"/>
      <c r="AC17" s="6"/>
      <c r="AD17" s="6"/>
      <c r="AE17" s="6"/>
      <c r="AF17" s="6"/>
      <c r="AG17" s="1"/>
      <c r="AH17" s="305"/>
      <c r="AI17" s="305"/>
      <c r="AJ17" s="305"/>
      <c r="AK17" s="25"/>
      <c r="AL17" s="25"/>
      <c r="AM17" s="25"/>
      <c r="AN17" s="25"/>
      <c r="AO17" s="25"/>
      <c r="AP17" s="25"/>
      <c r="AQ17" s="25"/>
      <c r="AR17" s="25"/>
      <c r="AS17" s="25"/>
      <c r="AT17" s="25"/>
      <c r="AU17" s="25"/>
      <c r="AV17" s="25"/>
      <c r="AW17" s="25"/>
      <c r="AX17" s="25"/>
      <c r="AY17" s="25"/>
      <c r="AZ17" s="25"/>
      <c r="BA17" s="25"/>
    </row>
    <row r="18" spans="1:53" ht="1.5" customHeight="1">
      <c r="A18" s="25"/>
      <c r="AG18" s="1"/>
      <c r="AH18" s="305"/>
      <c r="AI18" s="305"/>
      <c r="AJ18" s="305"/>
      <c r="AK18" s="25"/>
      <c r="AL18" s="25"/>
      <c r="AM18" s="25"/>
      <c r="AN18" s="25"/>
      <c r="AO18" s="25"/>
      <c r="AP18" s="25"/>
      <c r="AQ18" s="25"/>
      <c r="AR18" s="25"/>
      <c r="AS18" s="25"/>
      <c r="AT18" s="25"/>
      <c r="AU18" s="25"/>
      <c r="AV18" s="25"/>
      <c r="AW18" s="25"/>
      <c r="AX18" s="25"/>
      <c r="AY18" s="25"/>
      <c r="AZ18" s="25"/>
      <c r="BA18" s="25"/>
    </row>
    <row r="19" spans="1:53" ht="18" customHeight="1">
      <c r="A19" s="25"/>
      <c r="D19" s="328" t="s">
        <v>920</v>
      </c>
      <c r="L19" s="2"/>
      <c r="M19" s="2"/>
      <c r="N19" s="2"/>
      <c r="O19" s="2"/>
      <c r="P19" s="2"/>
      <c r="Q19" s="2"/>
      <c r="R19" s="2"/>
      <c r="S19" s="2"/>
      <c r="T19" s="2"/>
      <c r="U19" s="2"/>
      <c r="V19" s="4"/>
      <c r="W19" s="218"/>
      <c r="X19" s="218"/>
      <c r="Y19" s="218"/>
      <c r="Z19" s="2"/>
      <c r="AA19" s="2"/>
      <c r="AB19" s="2"/>
      <c r="AC19" s="2"/>
      <c r="AD19" s="2"/>
      <c r="AE19" s="2"/>
      <c r="AF19" s="2"/>
      <c r="AG19" s="1"/>
      <c r="AH19" s="305"/>
      <c r="AI19" s="305"/>
      <c r="AJ19" s="305"/>
      <c r="AK19" s="25"/>
      <c r="AL19" s="25"/>
      <c r="AM19" s="25"/>
      <c r="AN19" s="25"/>
      <c r="AO19" s="25"/>
      <c r="AP19" s="25"/>
      <c r="AQ19" s="25"/>
      <c r="AR19" s="25"/>
      <c r="AS19" s="25"/>
      <c r="AT19" s="25"/>
      <c r="AU19" s="25"/>
      <c r="AV19" s="25"/>
      <c r="AW19" s="25"/>
      <c r="AX19" s="25"/>
      <c r="AY19" s="25"/>
      <c r="AZ19" s="25"/>
      <c r="BA19" s="25"/>
    </row>
    <row r="20" spans="1:53" ht="15" customHeight="1">
      <c r="A20" s="25"/>
      <c r="D20" s="328" t="s">
        <v>921</v>
      </c>
      <c r="L20" s="2"/>
      <c r="M20" s="2"/>
      <c r="N20" s="2"/>
      <c r="O20" s="2"/>
      <c r="P20" s="2"/>
      <c r="Q20" s="2"/>
      <c r="R20" s="2"/>
      <c r="S20" s="2"/>
      <c r="T20" s="2"/>
      <c r="U20" s="2"/>
      <c r="V20" s="1"/>
      <c r="W20" s="20"/>
      <c r="X20" s="20"/>
      <c r="Y20" s="20"/>
      <c r="AB20" s="18"/>
      <c r="AG20" s="1"/>
      <c r="AH20" s="305"/>
      <c r="AI20" s="305"/>
      <c r="AJ20" s="305"/>
      <c r="AK20" s="25"/>
      <c r="AL20" s="25"/>
      <c r="AM20" s="25"/>
      <c r="AN20" s="25"/>
      <c r="AO20" s="25"/>
      <c r="AP20" s="25"/>
      <c r="AQ20" s="25"/>
      <c r="AR20" s="25"/>
      <c r="AS20" s="25"/>
      <c r="AT20" s="25"/>
      <c r="AU20" s="25"/>
      <c r="AV20" s="25"/>
      <c r="AW20" s="25"/>
      <c r="AX20" s="25"/>
      <c r="AY20" s="25"/>
      <c r="AZ20" s="25"/>
      <c r="BA20" s="25"/>
    </row>
    <row r="21" spans="1:53" ht="6" customHeight="1">
      <c r="A21" s="25"/>
      <c r="D21" s="8"/>
      <c r="V21" s="1"/>
      <c r="W21" s="20"/>
      <c r="X21" s="20"/>
      <c r="Y21" s="20"/>
      <c r="Z21" s="1"/>
      <c r="AA21" s="1"/>
      <c r="AB21" s="1"/>
      <c r="AC21" s="1"/>
      <c r="AG21" s="1"/>
      <c r="AH21" s="305"/>
      <c r="AI21" s="305"/>
      <c r="AJ21" s="305"/>
      <c r="AK21" s="25"/>
      <c r="AL21" s="25"/>
      <c r="AM21" s="25"/>
      <c r="AN21" s="25"/>
      <c r="AO21" s="25"/>
      <c r="AP21" s="25"/>
      <c r="AQ21" s="25"/>
      <c r="AR21" s="25"/>
      <c r="AS21" s="25"/>
      <c r="AT21" s="25"/>
      <c r="AU21" s="25"/>
      <c r="AV21" s="25"/>
      <c r="AW21" s="25"/>
      <c r="AX21" s="25"/>
      <c r="AY21" s="25"/>
      <c r="AZ21" s="25"/>
      <c r="BA21" s="25"/>
    </row>
    <row r="22" spans="1:53" ht="12" customHeight="1">
      <c r="A22" s="25"/>
      <c r="D22" s="17" t="s">
        <v>443</v>
      </c>
      <c r="E22" s="12"/>
      <c r="F22" s="12"/>
      <c r="G22" s="12"/>
      <c r="H22" s="12"/>
      <c r="I22" s="12"/>
      <c r="J22" s="12"/>
      <c r="K22" s="12"/>
      <c r="L22" s="12"/>
      <c r="M22" s="12"/>
      <c r="N22" s="12"/>
      <c r="O22" s="12"/>
      <c r="P22" s="12"/>
      <c r="Q22" s="37" t="s">
        <v>1325</v>
      </c>
      <c r="R22" s="39"/>
      <c r="S22" s="12"/>
      <c r="T22" s="12"/>
      <c r="U22" s="12"/>
      <c r="V22" s="12"/>
      <c r="W22" s="21"/>
      <c r="X22" s="21"/>
      <c r="Y22" s="21"/>
      <c r="Z22" s="37" t="s">
        <v>866</v>
      </c>
      <c r="AA22" s="12"/>
      <c r="AB22" s="12"/>
      <c r="AC22" s="38"/>
      <c r="AD22" s="12"/>
      <c r="AE22" s="12"/>
      <c r="AF22" s="12"/>
      <c r="AG22" s="1"/>
      <c r="AH22" s="305"/>
      <c r="AI22" s="305"/>
      <c r="AJ22" s="305"/>
      <c r="AK22" s="25"/>
      <c r="AL22" s="25"/>
      <c r="AM22" s="25"/>
      <c r="AN22" s="25"/>
      <c r="AO22" s="25"/>
      <c r="AP22" s="25"/>
      <c r="AQ22" s="25"/>
      <c r="AR22" s="25"/>
      <c r="AS22" s="25"/>
      <c r="AT22" s="25"/>
      <c r="AU22" s="25"/>
      <c r="AV22" s="25"/>
      <c r="AW22" s="25"/>
      <c r="AX22" s="25"/>
      <c r="AY22" s="25"/>
      <c r="AZ22" s="25"/>
      <c r="BA22" s="25"/>
    </row>
    <row r="23" spans="1:53" ht="18" customHeight="1">
      <c r="A23" s="25"/>
      <c r="D23" s="1049"/>
      <c r="E23" s="1050"/>
      <c r="F23" s="1050"/>
      <c r="G23" s="1050"/>
      <c r="H23" s="1050"/>
      <c r="I23" s="1050"/>
      <c r="J23" s="1050"/>
      <c r="K23" s="1050"/>
      <c r="L23" s="1050"/>
      <c r="M23" s="1050"/>
      <c r="N23" s="1050"/>
      <c r="O23" s="1050"/>
      <c r="P23" s="1051"/>
      <c r="Q23" s="1039">
        <f>_xlfn.IFERROR(VLOOKUP('Master Outputs'!#REF!,'Master Outputs'!#REF!,3,0),"")</f>
      </c>
      <c r="R23" s="1040"/>
      <c r="S23" s="1040"/>
      <c r="T23" s="1040"/>
      <c r="U23" s="1040"/>
      <c r="V23" s="1040"/>
      <c r="W23" s="1040"/>
      <c r="X23" s="1040"/>
      <c r="Y23" s="1041"/>
      <c r="Z23" s="1055">
        <v>0.045</v>
      </c>
      <c r="AA23" s="1056"/>
      <c r="AB23" s="1056"/>
      <c r="AC23" s="1056"/>
      <c r="AD23" s="1056"/>
      <c r="AE23" s="1056"/>
      <c r="AF23" s="1056"/>
      <c r="AG23" s="1"/>
      <c r="AH23" s="305"/>
      <c r="AI23" s="305"/>
      <c r="AJ23" s="305"/>
      <c r="AK23" s="25"/>
      <c r="AL23" s="25"/>
      <c r="AM23" s="25"/>
      <c r="AN23" s="25"/>
      <c r="AO23" s="25"/>
      <c r="AP23" s="25"/>
      <c r="AQ23" s="25"/>
      <c r="AR23" s="25"/>
      <c r="AS23" s="25"/>
      <c r="AT23" s="25"/>
      <c r="AU23" s="25"/>
      <c r="AV23" s="25"/>
      <c r="AW23" s="25"/>
      <c r="AX23" s="25"/>
      <c r="AY23" s="25"/>
      <c r="AZ23" s="25"/>
      <c r="BA23" s="25"/>
    </row>
    <row r="24" spans="1:53" ht="12" customHeight="1">
      <c r="A24" s="25"/>
      <c r="D24" s="13" t="s">
        <v>801</v>
      </c>
      <c r="E24" s="1"/>
      <c r="F24" s="1"/>
      <c r="G24" s="1"/>
      <c r="H24" s="1"/>
      <c r="I24" s="1"/>
      <c r="J24" s="1"/>
      <c r="K24" s="1"/>
      <c r="L24" s="1"/>
      <c r="M24" s="1"/>
      <c r="N24" s="1"/>
      <c r="O24" s="1"/>
      <c r="P24" s="1"/>
      <c r="Q24" s="37" t="s">
        <v>708</v>
      </c>
      <c r="R24" s="13"/>
      <c r="S24" s="1"/>
      <c r="T24" s="1"/>
      <c r="U24" s="1"/>
      <c r="V24" s="1"/>
      <c r="W24" s="1"/>
      <c r="X24" s="1"/>
      <c r="Y24" s="15"/>
      <c r="Z24" s="13" t="s">
        <v>710</v>
      </c>
      <c r="AA24" s="1"/>
      <c r="AB24" s="1"/>
      <c r="AC24" s="13"/>
      <c r="AD24" s="1"/>
      <c r="AE24" s="1"/>
      <c r="AF24" s="1"/>
      <c r="AG24" s="1"/>
      <c r="AH24" s="305"/>
      <c r="AI24" s="305"/>
      <c r="AJ24" s="305"/>
      <c r="AK24" s="25"/>
      <c r="AL24" s="25"/>
      <c r="AM24" s="25"/>
      <c r="AN24" s="25"/>
      <c r="AO24" s="25"/>
      <c r="AP24" s="25"/>
      <c r="AQ24" s="25"/>
      <c r="AR24" s="25"/>
      <c r="AS24" s="25"/>
      <c r="AT24" s="25"/>
      <c r="AU24" s="25"/>
      <c r="AV24" s="25"/>
      <c r="AW24" s="25"/>
      <c r="AX24" s="25"/>
      <c r="AY24" s="25"/>
      <c r="AZ24" s="25"/>
      <c r="BA24" s="25"/>
    </row>
    <row r="25" spans="1:53" ht="18" customHeight="1">
      <c r="A25" s="25"/>
      <c r="D25" s="1029"/>
      <c r="E25" s="1029"/>
      <c r="F25" s="1029"/>
      <c r="G25" s="1029"/>
      <c r="H25" s="1029"/>
      <c r="I25" s="1029"/>
      <c r="J25" s="1029"/>
      <c r="K25" s="1029"/>
      <c r="L25" s="1029"/>
      <c r="M25" s="1029"/>
      <c r="N25" s="1029"/>
      <c r="O25" s="1029"/>
      <c r="P25" s="1030"/>
      <c r="Q25" s="1042"/>
      <c r="R25" s="1029"/>
      <c r="S25" s="1029"/>
      <c r="T25" s="1029"/>
      <c r="U25" s="1029"/>
      <c r="V25" s="1029"/>
      <c r="W25" s="1029"/>
      <c r="X25" s="1029"/>
      <c r="Y25" s="1030"/>
      <c r="Z25" s="1029"/>
      <c r="AA25" s="1029"/>
      <c r="AB25" s="1029"/>
      <c r="AC25" s="1029"/>
      <c r="AD25" s="1029"/>
      <c r="AE25" s="1029"/>
      <c r="AF25" s="1029"/>
      <c r="AG25" s="1"/>
      <c r="AH25" s="305"/>
      <c r="AI25" s="305"/>
      <c r="AJ25" s="309"/>
      <c r="AK25" s="25"/>
      <c r="AL25" s="25"/>
      <c r="AM25" s="25"/>
      <c r="AN25" s="25"/>
      <c r="AO25" s="25"/>
      <c r="AP25" s="25"/>
      <c r="AQ25" s="25"/>
      <c r="AR25" s="25"/>
      <c r="AS25" s="25"/>
      <c r="AT25" s="25"/>
      <c r="AU25" s="25"/>
      <c r="AV25" s="25"/>
      <c r="AW25" s="25"/>
      <c r="AX25" s="25"/>
      <c r="AY25" s="25"/>
      <c r="AZ25" s="25"/>
      <c r="BA25" s="25"/>
    </row>
    <row r="26" spans="1:53" ht="12" customHeight="1">
      <c r="A26" s="25"/>
      <c r="D26" s="7" t="s">
        <v>689</v>
      </c>
      <c r="E26" s="48"/>
      <c r="F26" s="48"/>
      <c r="G26" s="48"/>
      <c r="H26" s="48"/>
      <c r="I26" s="48"/>
      <c r="J26" s="7"/>
      <c r="K26" s="605"/>
      <c r="L26" s="606"/>
      <c r="M26" s="7" t="s">
        <v>522</v>
      </c>
      <c r="N26" s="605"/>
      <c r="O26" s="605"/>
      <c r="P26" s="605"/>
      <c r="Q26" s="605"/>
      <c r="R26" s="7"/>
      <c r="S26" s="48"/>
      <c r="T26" s="48"/>
      <c r="U26" s="48"/>
      <c r="V26" s="48"/>
      <c r="W26" s="7" t="s">
        <v>1330</v>
      </c>
      <c r="X26" s="48"/>
      <c r="AA26" s="9"/>
      <c r="AG26" s="4"/>
      <c r="AH26" s="305"/>
      <c r="AI26" s="305"/>
      <c r="AJ26" s="309"/>
      <c r="AK26" s="25"/>
      <c r="AL26" s="25"/>
      <c r="AM26" s="25"/>
      <c r="AN26" s="25"/>
      <c r="AO26" s="25"/>
      <c r="AP26" s="25"/>
      <c r="AQ26" s="25"/>
      <c r="AR26" s="25"/>
      <c r="AS26" s="25"/>
      <c r="AT26" s="25"/>
      <c r="AU26" s="25"/>
      <c r="AV26" s="25"/>
      <c r="AW26" s="25"/>
      <c r="AX26" s="25"/>
      <c r="AY26" s="25"/>
      <c r="AZ26" s="25"/>
      <c r="BA26" s="25"/>
    </row>
    <row r="27" spans="1:53" ht="18" customHeight="1">
      <c r="A27" s="25"/>
      <c r="D27" s="1029"/>
      <c r="E27" s="1029"/>
      <c r="F27" s="1029"/>
      <c r="G27" s="1029"/>
      <c r="H27" s="1029"/>
      <c r="I27" s="1029"/>
      <c r="J27" s="1029"/>
      <c r="K27" s="1029"/>
      <c r="L27" s="1030"/>
      <c r="M27" s="1045"/>
      <c r="N27" s="1046"/>
      <c r="O27" s="1046"/>
      <c r="P27" s="1046"/>
      <c r="Q27" s="1046"/>
      <c r="R27" s="1046"/>
      <c r="S27" s="1046"/>
      <c r="T27" s="1046"/>
      <c r="U27" s="1046"/>
      <c r="W27" s="2"/>
      <c r="X27" s="2"/>
      <c r="Y27" s="2"/>
      <c r="Z27" s="2"/>
      <c r="AA27" s="2"/>
      <c r="AB27" s="2"/>
      <c r="AC27" s="2"/>
      <c r="AD27" s="2"/>
      <c r="AE27" s="2"/>
      <c r="AF27" s="2"/>
      <c r="AG27" s="4"/>
      <c r="AH27" s="305"/>
      <c r="AI27" s="305"/>
      <c r="AJ27" s="310"/>
      <c r="AK27" s="25"/>
      <c r="AL27" s="25"/>
      <c r="AM27" s="25"/>
      <c r="AN27" s="25"/>
      <c r="AO27" s="25"/>
      <c r="AP27" s="25"/>
      <c r="AQ27" s="25"/>
      <c r="AR27" s="25"/>
      <c r="AS27" s="25"/>
      <c r="AT27" s="25"/>
      <c r="AU27" s="25"/>
      <c r="AV27" s="25"/>
      <c r="AW27" s="25"/>
      <c r="AX27" s="25"/>
      <c r="AY27" s="25"/>
      <c r="AZ27" s="25"/>
      <c r="BA27" s="25"/>
    </row>
    <row r="28" spans="1:53" ht="12" customHeight="1">
      <c r="A28" s="25"/>
      <c r="D28" s="38" t="s">
        <v>328</v>
      </c>
      <c r="E28" s="605"/>
      <c r="F28" s="605"/>
      <c r="G28" s="605"/>
      <c r="H28" s="605"/>
      <c r="I28" s="38"/>
      <c r="J28" s="605"/>
      <c r="K28" s="605"/>
      <c r="L28" s="605"/>
      <c r="W28" s="2"/>
      <c r="X28" s="2"/>
      <c r="Y28" s="2"/>
      <c r="Z28" s="2"/>
      <c r="AA28" s="2"/>
      <c r="AB28" s="2"/>
      <c r="AC28" s="2"/>
      <c r="AD28" s="2"/>
      <c r="AE28" s="2"/>
      <c r="AF28" s="2"/>
      <c r="AG28" s="4"/>
      <c r="AH28" s="305"/>
      <c r="AI28" s="305"/>
      <c r="AJ28" s="305"/>
      <c r="AK28" s="25"/>
      <c r="AL28" s="25"/>
      <c r="AM28" s="25"/>
      <c r="AN28" s="25"/>
      <c r="AO28" s="25"/>
      <c r="AP28" s="25"/>
      <c r="AQ28" s="25"/>
      <c r="AR28" s="25"/>
      <c r="AS28" s="25"/>
      <c r="AT28" s="25"/>
      <c r="AU28" s="25"/>
      <c r="AV28" s="25"/>
      <c r="AW28" s="25"/>
      <c r="AX28" s="25"/>
      <c r="AY28" s="25"/>
      <c r="AZ28" s="25"/>
      <c r="BA28" s="25"/>
    </row>
    <row r="29" spans="1:53" ht="18" customHeight="1">
      <c r="A29" s="25"/>
      <c r="D29" s="1046"/>
      <c r="E29" s="1046"/>
      <c r="F29" s="1046"/>
      <c r="G29" s="1046"/>
      <c r="H29" s="1046"/>
      <c r="I29" s="1046"/>
      <c r="J29" s="1046"/>
      <c r="K29" s="1046"/>
      <c r="L29" s="1046"/>
      <c r="M29" s="14"/>
      <c r="N29" s="14"/>
      <c r="O29" s="14"/>
      <c r="P29" s="14"/>
      <c r="Q29" s="14"/>
      <c r="R29" s="14"/>
      <c r="S29" s="14"/>
      <c r="T29" s="14"/>
      <c r="U29" s="14"/>
      <c r="W29" s="2"/>
      <c r="X29" s="2"/>
      <c r="Y29" s="2"/>
      <c r="Z29" s="2"/>
      <c r="AA29" s="2"/>
      <c r="AB29" s="2"/>
      <c r="AC29" s="2"/>
      <c r="AD29" s="2"/>
      <c r="AE29" s="2"/>
      <c r="AF29" s="2"/>
      <c r="AG29" s="4"/>
      <c r="AH29" s="305"/>
      <c r="AI29" s="305"/>
      <c r="AJ29" s="305"/>
      <c r="AK29" s="25"/>
      <c r="AL29" s="25"/>
      <c r="AM29" s="25"/>
      <c r="AN29" s="25"/>
      <c r="AO29" s="25"/>
      <c r="AP29" s="25"/>
      <c r="AQ29" s="25"/>
      <c r="AR29" s="25"/>
      <c r="AS29" s="25"/>
      <c r="AT29" s="25"/>
      <c r="AU29" s="25"/>
      <c r="AV29" s="25"/>
      <c r="AW29" s="25"/>
      <c r="AX29" s="25"/>
      <c r="AY29" s="25"/>
      <c r="AZ29" s="25"/>
      <c r="BA29" s="25"/>
    </row>
    <row r="30" spans="1:53" ht="12.75">
      <c r="A30" s="25"/>
      <c r="W30" s="2"/>
      <c r="X30" s="2"/>
      <c r="Y30" s="2"/>
      <c r="Z30" s="2"/>
      <c r="AA30" s="2"/>
      <c r="AB30" s="2"/>
      <c r="AC30" s="2"/>
      <c r="AD30" s="2"/>
      <c r="AE30" s="2"/>
      <c r="AF30" s="2"/>
      <c r="AG30" s="4"/>
      <c r="AH30" s="305"/>
      <c r="AI30" s="305"/>
      <c r="AJ30" s="305"/>
      <c r="AK30" s="25"/>
      <c r="AL30" s="25"/>
      <c r="AM30" s="25"/>
      <c r="AN30" s="25"/>
      <c r="AO30" s="25"/>
      <c r="AP30" s="25"/>
      <c r="AQ30" s="25"/>
      <c r="AR30" s="25"/>
      <c r="AS30" s="25"/>
      <c r="AT30" s="25"/>
      <c r="AU30" s="25"/>
      <c r="AV30" s="25"/>
      <c r="AW30" s="25"/>
      <c r="AX30" s="25"/>
      <c r="AY30" s="25"/>
      <c r="AZ30" s="25"/>
      <c r="BA30" s="25"/>
    </row>
    <row r="31" spans="1:53" ht="12.75">
      <c r="A31" s="25"/>
      <c r="D31" s="6" t="s">
        <v>862</v>
      </c>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4"/>
      <c r="AH31" s="305"/>
      <c r="AI31" s="305"/>
      <c r="AJ31" s="305"/>
      <c r="AK31" s="25"/>
      <c r="AL31" s="25"/>
      <c r="AM31" s="25"/>
      <c r="AN31" s="25"/>
      <c r="AO31" s="25"/>
      <c r="AP31" s="25"/>
      <c r="AQ31" s="25"/>
      <c r="AR31" s="25"/>
      <c r="AS31" s="25"/>
      <c r="AT31" s="25"/>
      <c r="AU31" s="25"/>
      <c r="AV31" s="25"/>
      <c r="AW31" s="25"/>
      <c r="AX31" s="25"/>
      <c r="AY31" s="25"/>
      <c r="AZ31" s="25"/>
      <c r="BA31" s="25"/>
    </row>
    <row r="32" spans="1:53" ht="12.75">
      <c r="A32" s="25"/>
      <c r="D32" s="9" t="s">
        <v>860</v>
      </c>
      <c r="H32" s="1"/>
      <c r="I32" s="1"/>
      <c r="J32" s="1"/>
      <c r="K32" s="1"/>
      <c r="M32" s="24" t="s">
        <v>864</v>
      </c>
      <c r="V32" s="16" t="s">
        <v>550</v>
      </c>
      <c r="W32" s="9"/>
      <c r="AG32" s="4"/>
      <c r="AH32" s="305"/>
      <c r="AI32" s="305"/>
      <c r="AJ32" s="305"/>
      <c r="AK32" s="25"/>
      <c r="AL32" s="25"/>
      <c r="AM32" s="25"/>
      <c r="AN32" s="25"/>
      <c r="AO32" s="25"/>
      <c r="AP32" s="25"/>
      <c r="AQ32" s="25"/>
      <c r="AR32" s="25"/>
      <c r="AS32" s="25"/>
      <c r="AT32" s="25"/>
      <c r="AU32" s="25"/>
      <c r="AV32" s="25"/>
      <c r="AW32" s="25"/>
      <c r="AX32" s="25"/>
      <c r="AY32" s="25"/>
      <c r="AZ32" s="25"/>
      <c r="BA32" s="25"/>
    </row>
    <row r="33" spans="1:53" ht="18" customHeight="1">
      <c r="A33" s="25"/>
      <c r="D33" s="1060"/>
      <c r="E33" s="1060"/>
      <c r="F33" s="1060"/>
      <c r="G33" s="214" t="s">
        <v>861</v>
      </c>
      <c r="H33" s="215"/>
      <c r="I33" s="215"/>
      <c r="J33" s="216"/>
      <c r="K33" s="216"/>
      <c r="L33" s="217"/>
      <c r="M33" s="1031"/>
      <c r="N33" s="1032"/>
      <c r="O33" s="1032"/>
      <c r="P33" s="214" t="s">
        <v>863</v>
      </c>
      <c r="Q33" s="215"/>
      <c r="R33" s="215"/>
      <c r="S33" s="216"/>
      <c r="T33" s="216"/>
      <c r="U33" s="217"/>
      <c r="V33" s="1037"/>
      <c r="W33" s="1038"/>
      <c r="X33" s="1038"/>
      <c r="Y33" s="1038"/>
      <c r="Z33" s="1038"/>
      <c r="AA33" s="1038"/>
      <c r="AB33" s="1038"/>
      <c r="AC33" s="1038"/>
      <c r="AD33" s="1038"/>
      <c r="AE33" s="1038"/>
      <c r="AF33" s="1038"/>
      <c r="AG33" s="1"/>
      <c r="AH33" s="305"/>
      <c r="AI33" s="305"/>
      <c r="AJ33" s="305"/>
      <c r="AK33" s="25"/>
      <c r="AL33" s="25"/>
      <c r="AM33" s="25"/>
      <c r="AN33" s="25"/>
      <c r="AO33" s="25"/>
      <c r="AP33" s="25"/>
      <c r="AQ33" s="25"/>
      <c r="AR33" s="25"/>
      <c r="AS33" s="25"/>
      <c r="AT33" s="25"/>
      <c r="AU33" s="25"/>
      <c r="AV33" s="25"/>
      <c r="AW33" s="25"/>
      <c r="AX33" s="25"/>
      <c r="AY33" s="25"/>
      <c r="AZ33" s="25"/>
      <c r="BA33" s="25"/>
    </row>
    <row r="34" spans="1:53" ht="9.75" customHeight="1">
      <c r="A34" s="25"/>
      <c r="AG34" s="1"/>
      <c r="AH34" s="305"/>
      <c r="AI34" s="305"/>
      <c r="AJ34" s="305"/>
      <c r="AK34" s="25"/>
      <c r="AL34" s="25"/>
      <c r="AM34" s="25"/>
      <c r="AN34" s="25"/>
      <c r="AO34" s="25"/>
      <c r="AP34" s="25"/>
      <c r="AQ34" s="25"/>
      <c r="AR34" s="25"/>
      <c r="AS34" s="25"/>
      <c r="AT34" s="25"/>
      <c r="AU34" s="25"/>
      <c r="AV34" s="25"/>
      <c r="AW34" s="25"/>
      <c r="AX34" s="25"/>
      <c r="AY34" s="25"/>
      <c r="AZ34" s="25"/>
      <c r="BA34" s="25"/>
    </row>
    <row r="35" spans="1:53" ht="5.25" customHeight="1">
      <c r="A35" s="25"/>
      <c r="AG35" s="1"/>
      <c r="AH35" s="305"/>
      <c r="AI35" s="305"/>
      <c r="AJ35" s="305"/>
      <c r="AK35" s="25"/>
      <c r="AL35" s="25"/>
      <c r="AM35" s="25"/>
      <c r="AN35" s="25"/>
      <c r="AO35" s="25"/>
      <c r="AP35" s="25"/>
      <c r="AQ35" s="25"/>
      <c r="AR35" s="25"/>
      <c r="AS35" s="25"/>
      <c r="AT35" s="25"/>
      <c r="AU35" s="25"/>
      <c r="AV35" s="25"/>
      <c r="AW35" s="25"/>
      <c r="AX35" s="25"/>
      <c r="AY35" s="25"/>
      <c r="AZ35" s="25"/>
      <c r="BA35" s="25"/>
    </row>
    <row r="36" spans="1:53" ht="12.75" customHeight="1">
      <c r="A36" s="25"/>
      <c r="D36" s="6" t="s">
        <v>713</v>
      </c>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1"/>
      <c r="AH36" s="305"/>
      <c r="AI36" s="305"/>
      <c r="AJ36" s="305"/>
      <c r="AK36" s="25"/>
      <c r="AL36" s="25"/>
      <c r="AM36" s="25"/>
      <c r="AN36" s="25"/>
      <c r="AO36" s="25"/>
      <c r="AP36" s="25"/>
      <c r="AQ36" s="25"/>
      <c r="AR36" s="25"/>
      <c r="AS36" s="25"/>
      <c r="AT36" s="25"/>
      <c r="AU36" s="25"/>
      <c r="AV36" s="25"/>
      <c r="AW36" s="25"/>
      <c r="AX36" s="25"/>
      <c r="AY36" s="25"/>
      <c r="AZ36" s="25"/>
      <c r="BA36" s="25"/>
    </row>
    <row r="37" spans="1:53" ht="12" customHeight="1">
      <c r="A37" s="25"/>
      <c r="D37" s="7" t="s">
        <v>672</v>
      </c>
      <c r="O37" s="15"/>
      <c r="P37" s="7" t="s">
        <v>714</v>
      </c>
      <c r="X37" s="15"/>
      <c r="Y37" s="7" t="s">
        <v>706</v>
      </c>
      <c r="AG37" s="1"/>
      <c r="AH37" s="305"/>
      <c r="AI37" s="305"/>
      <c r="AJ37" s="305"/>
      <c r="AK37" s="25"/>
      <c r="AL37" s="25"/>
      <c r="AM37" s="25"/>
      <c r="AN37" s="25"/>
      <c r="AO37" s="25"/>
      <c r="AP37" s="25"/>
      <c r="AQ37" s="25"/>
      <c r="AR37" s="25"/>
      <c r="AS37" s="25"/>
      <c r="AT37" s="25"/>
      <c r="AU37" s="25"/>
      <c r="AV37" s="25"/>
      <c r="AW37" s="25"/>
      <c r="AX37" s="25"/>
      <c r="AY37" s="25"/>
      <c r="AZ37" s="25"/>
      <c r="BA37" s="25"/>
    </row>
    <row r="38" spans="1:53" ht="15" customHeight="1">
      <c r="A38" s="25"/>
      <c r="D38" s="1029"/>
      <c r="E38" s="1029"/>
      <c r="F38" s="1029"/>
      <c r="G38" s="1029"/>
      <c r="H38" s="1029"/>
      <c r="I38" s="1029"/>
      <c r="J38" s="1029"/>
      <c r="K38" s="1029"/>
      <c r="L38" s="1029"/>
      <c r="M38" s="1029"/>
      <c r="N38" s="1029"/>
      <c r="O38" s="1030"/>
      <c r="P38" s="1029"/>
      <c r="Q38" s="1029"/>
      <c r="R38" s="1029"/>
      <c r="S38" s="1029"/>
      <c r="T38" s="1029"/>
      <c r="U38" s="1029"/>
      <c r="V38" s="1029"/>
      <c r="W38" s="1029"/>
      <c r="X38" s="1030"/>
      <c r="Y38" s="1052"/>
      <c r="Z38" s="1052"/>
      <c r="AA38" s="1052"/>
      <c r="AB38" s="1052"/>
      <c r="AC38" s="1052"/>
      <c r="AD38" s="1052"/>
      <c r="AE38" s="1052"/>
      <c r="AF38" s="1052"/>
      <c r="AG38" s="1"/>
      <c r="AH38" s="305"/>
      <c r="AI38" s="305"/>
      <c r="AJ38" s="305"/>
      <c r="AK38" s="25"/>
      <c r="AL38" s="25"/>
      <c r="AM38" s="25"/>
      <c r="AN38" s="25"/>
      <c r="AO38" s="25"/>
      <c r="AP38" s="25"/>
      <c r="AQ38" s="25"/>
      <c r="AR38" s="25"/>
      <c r="AS38" s="25"/>
      <c r="AT38" s="25"/>
      <c r="AU38" s="25"/>
      <c r="AV38" s="25"/>
      <c r="AW38" s="25"/>
      <c r="AX38" s="25"/>
      <c r="AY38" s="25"/>
      <c r="AZ38" s="25"/>
      <c r="BA38" s="25"/>
    </row>
    <row r="39" spans="1:53" ht="3" customHeight="1">
      <c r="A39" s="25"/>
      <c r="D39" s="728"/>
      <c r="E39" s="728"/>
      <c r="F39" s="728"/>
      <c r="G39" s="728"/>
      <c r="H39" s="728"/>
      <c r="I39" s="728"/>
      <c r="J39" s="728"/>
      <c r="K39" s="728"/>
      <c r="L39" s="728"/>
      <c r="M39" s="728"/>
      <c r="N39" s="728"/>
      <c r="O39" s="728"/>
      <c r="P39" s="728"/>
      <c r="Q39" s="728"/>
      <c r="R39" s="728"/>
      <c r="S39" s="728"/>
      <c r="T39" s="728"/>
      <c r="U39" s="728"/>
      <c r="V39" s="728"/>
      <c r="W39" s="728"/>
      <c r="X39" s="728"/>
      <c r="Y39" s="54"/>
      <c r="Z39" s="54"/>
      <c r="AA39" s="54"/>
      <c r="AB39" s="54"/>
      <c r="AC39" s="54"/>
      <c r="AD39" s="54"/>
      <c r="AE39" s="54"/>
      <c r="AF39" s="54"/>
      <c r="AG39" s="4"/>
      <c r="AH39" s="305"/>
      <c r="AI39" s="305"/>
      <c r="AJ39" s="305"/>
      <c r="AK39" s="25"/>
      <c r="AL39" s="25"/>
      <c r="AM39" s="25"/>
      <c r="AN39" s="25"/>
      <c r="AO39" s="25"/>
      <c r="AP39" s="25"/>
      <c r="AQ39" s="25"/>
      <c r="AR39" s="25"/>
      <c r="AS39" s="25"/>
      <c r="AT39" s="25"/>
      <c r="AU39" s="25"/>
      <c r="AV39" s="25"/>
      <c r="AW39" s="25"/>
      <c r="AX39" s="25"/>
      <c r="AY39" s="25"/>
      <c r="AZ39" s="25"/>
      <c r="BA39" s="25"/>
    </row>
    <row r="40" spans="1:53" ht="3" customHeight="1">
      <c r="A40" s="25"/>
      <c r="B40" s="2"/>
      <c r="C40" s="2"/>
      <c r="D40" s="2"/>
      <c r="E40" s="324"/>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4"/>
      <c r="AH40" s="305"/>
      <c r="AI40" s="305"/>
      <c r="AJ40" s="305"/>
      <c r="AK40" s="25"/>
      <c r="AL40" s="25"/>
      <c r="AM40" s="25"/>
      <c r="AN40" s="25"/>
      <c r="AO40" s="25"/>
      <c r="AP40" s="25"/>
      <c r="AQ40" s="25"/>
      <c r="AR40" s="25"/>
      <c r="AS40" s="25"/>
      <c r="AT40" s="25"/>
      <c r="AU40" s="25"/>
      <c r="AV40" s="25"/>
      <c r="AW40" s="25"/>
      <c r="AX40" s="25"/>
      <c r="AY40" s="25"/>
      <c r="AZ40" s="25"/>
      <c r="BA40" s="25"/>
    </row>
    <row r="41" spans="1:53" ht="15" customHeight="1">
      <c r="A41" s="25"/>
      <c r="B41" s="2"/>
      <c r="C41" s="3"/>
      <c r="D41" s="3"/>
      <c r="E41" s="325"/>
      <c r="F41" s="325"/>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05"/>
      <c r="AI41" s="305"/>
      <c r="AJ41" s="305"/>
      <c r="AK41" s="25"/>
      <c r="AL41" s="25"/>
      <c r="AM41" s="25"/>
      <c r="AN41" s="25"/>
      <c r="AO41" s="25"/>
      <c r="AP41" s="25"/>
      <c r="AQ41" s="25"/>
      <c r="AR41" s="25"/>
      <c r="AS41" s="25"/>
      <c r="AT41" s="25"/>
      <c r="AU41" s="25"/>
      <c r="AV41" s="25"/>
      <c r="AW41" s="25"/>
      <c r="AX41" s="25"/>
      <c r="AY41" s="25"/>
      <c r="AZ41" s="25"/>
      <c r="BA41" s="25"/>
    </row>
    <row r="42" spans="1:53" ht="15" customHeight="1">
      <c r="A42" s="323"/>
      <c r="B42" s="318"/>
      <c r="C42" s="319"/>
      <c r="D42" s="318" t="s">
        <v>876</v>
      </c>
      <c r="E42" s="320"/>
      <c r="F42" s="320"/>
      <c r="G42" s="320"/>
      <c r="H42" s="320"/>
      <c r="I42" s="320"/>
      <c r="J42" s="320"/>
      <c r="K42" s="320"/>
      <c r="L42" s="320"/>
      <c r="M42" s="320"/>
      <c r="N42" s="320"/>
      <c r="O42" s="320"/>
      <c r="P42" s="320"/>
      <c r="Q42" s="320"/>
      <c r="R42" s="320"/>
      <c r="S42" s="320"/>
      <c r="T42" s="320"/>
      <c r="U42" s="320"/>
      <c r="V42" s="320"/>
      <c r="W42" s="320"/>
      <c r="X42" s="320"/>
      <c r="Y42" s="320"/>
      <c r="Z42" s="320"/>
      <c r="AA42" s="320"/>
      <c r="AB42" s="320"/>
      <c r="AC42" s="320"/>
      <c r="AD42" s="320"/>
      <c r="AE42" s="320"/>
      <c r="AF42" s="320"/>
      <c r="AG42" s="50"/>
      <c r="AH42" s="305"/>
      <c r="AI42" s="305"/>
      <c r="AJ42" s="305"/>
      <c r="AK42" s="25"/>
      <c r="AL42" s="25"/>
      <c r="AM42" s="25"/>
      <c r="AN42" s="25"/>
      <c r="AO42" s="25"/>
      <c r="AP42" s="25"/>
      <c r="AQ42" s="25"/>
      <c r="AR42" s="25"/>
      <c r="AS42" s="25"/>
      <c r="AT42" s="25"/>
      <c r="AU42" s="25"/>
      <c r="AV42" s="25"/>
      <c r="AW42" s="25"/>
      <c r="AX42" s="25"/>
      <c r="AY42" s="25"/>
      <c r="AZ42" s="25"/>
      <c r="BA42" s="25"/>
    </row>
    <row r="43" spans="1:53" ht="12.75">
      <c r="A43" s="25"/>
      <c r="B43" s="70"/>
      <c r="C43" s="50"/>
      <c r="D43" s="208"/>
      <c r="E43" s="208" t="s">
        <v>794</v>
      </c>
      <c r="F43" s="208" t="s">
        <v>347</v>
      </c>
      <c r="G43" s="208"/>
      <c r="H43" s="208"/>
      <c r="I43" s="208"/>
      <c r="J43" s="208"/>
      <c r="K43" s="208"/>
      <c r="L43" s="93"/>
      <c r="M43" s="93"/>
      <c r="N43" s="93"/>
      <c r="O43" s="93"/>
      <c r="P43" s="93"/>
      <c r="Q43" s="93"/>
      <c r="R43" s="93"/>
      <c r="S43" s="93"/>
      <c r="T43" s="93"/>
      <c r="U43" s="93"/>
      <c r="V43" s="93"/>
      <c r="W43" s="93"/>
      <c r="X43" s="93"/>
      <c r="Y43" s="93"/>
      <c r="Z43" s="93"/>
      <c r="AA43" s="93"/>
      <c r="AB43" s="93"/>
      <c r="AC43" s="93"/>
      <c r="AD43" s="93"/>
      <c r="AE43" s="93"/>
      <c r="AF43" s="93"/>
      <c r="AG43" s="50"/>
      <c r="AH43" s="305"/>
      <c r="AI43" s="305"/>
      <c r="AJ43" s="305"/>
      <c r="AK43" s="25"/>
      <c r="AL43" s="25"/>
      <c r="AM43" s="25"/>
      <c r="AN43" s="25"/>
      <c r="AO43" s="25"/>
      <c r="AP43" s="25"/>
      <c r="AQ43" s="25"/>
      <c r="AR43" s="25"/>
      <c r="AS43" s="25"/>
      <c r="AT43" s="25"/>
      <c r="AU43" s="25"/>
      <c r="AV43" s="25"/>
      <c r="AW43" s="25"/>
      <c r="AX43" s="25"/>
      <c r="AY43" s="25"/>
      <c r="AZ43" s="25"/>
      <c r="BA43" s="25"/>
    </row>
    <row r="44" spans="1:53" ht="12.75">
      <c r="A44" s="25"/>
      <c r="B44" s="70"/>
      <c r="C44" s="50"/>
      <c r="D44" s="208"/>
      <c r="E44" s="208"/>
      <c r="F44" s="208" t="s">
        <v>570</v>
      </c>
      <c r="G44" s="208"/>
      <c r="H44" s="208"/>
      <c r="I44" s="208"/>
      <c r="J44" s="208"/>
      <c r="K44" s="208"/>
      <c r="L44" s="93"/>
      <c r="M44" s="93"/>
      <c r="N44" s="93"/>
      <c r="O44" s="93"/>
      <c r="P44" s="93"/>
      <c r="Q44" s="93"/>
      <c r="R44" s="93"/>
      <c r="S44" s="93"/>
      <c r="T44" s="93"/>
      <c r="U44" s="93"/>
      <c r="V44" s="93"/>
      <c r="W44" s="93"/>
      <c r="X44" s="93"/>
      <c r="Y44" s="93"/>
      <c r="Z44" s="93"/>
      <c r="AA44" s="93"/>
      <c r="AB44" s="93"/>
      <c r="AC44" s="93"/>
      <c r="AD44" s="93"/>
      <c r="AE44" s="93"/>
      <c r="AF44" s="93"/>
      <c r="AG44" s="50"/>
      <c r="AH44" s="305"/>
      <c r="AI44" s="305"/>
      <c r="AJ44" s="305"/>
      <c r="AK44" s="25"/>
      <c r="AL44" s="25"/>
      <c r="AM44" s="25"/>
      <c r="AN44" s="25"/>
      <c r="AO44" s="25"/>
      <c r="AP44" s="25"/>
      <c r="AQ44" s="25"/>
      <c r="AR44" s="25"/>
      <c r="AS44" s="25"/>
      <c r="AT44" s="25"/>
      <c r="AU44" s="25"/>
      <c r="AV44" s="25"/>
      <c r="AW44" s="25"/>
      <c r="AX44" s="25"/>
      <c r="AY44" s="25"/>
      <c r="AZ44" s="25"/>
      <c r="BA44" s="25"/>
    </row>
    <row r="45" spans="1:53" ht="12.75">
      <c r="A45" s="25"/>
      <c r="B45" s="70"/>
      <c r="C45" s="50"/>
      <c r="D45" s="208"/>
      <c r="E45" s="208" t="s">
        <v>795</v>
      </c>
      <c r="F45" s="208" t="s">
        <v>587</v>
      </c>
      <c r="G45" s="208"/>
      <c r="H45" s="93"/>
      <c r="I45" s="93"/>
      <c r="J45" s="93"/>
      <c r="K45" s="93"/>
      <c r="L45" s="93"/>
      <c r="M45" s="93"/>
      <c r="N45" s="93"/>
      <c r="O45" s="93"/>
      <c r="P45" s="93"/>
      <c r="Q45" s="93"/>
      <c r="R45" s="93"/>
      <c r="S45" s="93"/>
      <c r="T45" s="93"/>
      <c r="U45" s="93"/>
      <c r="V45" s="93"/>
      <c r="W45" s="93"/>
      <c r="X45" s="93"/>
      <c r="Y45" s="93"/>
      <c r="Z45" s="93"/>
      <c r="AA45" s="93"/>
      <c r="AB45" s="93"/>
      <c r="AC45" s="93"/>
      <c r="AD45" s="93"/>
      <c r="AE45" s="93"/>
      <c r="AF45" s="93"/>
      <c r="AG45" s="50"/>
      <c r="AH45" s="305"/>
      <c r="AI45" s="305"/>
      <c r="AJ45" s="305"/>
      <c r="AK45" s="25"/>
      <c r="AL45" s="25"/>
      <c r="AM45" s="25"/>
      <c r="AN45" s="25"/>
      <c r="AO45" s="25"/>
      <c r="AP45" s="25"/>
      <c r="AQ45" s="25"/>
      <c r="AR45" s="25"/>
      <c r="AS45" s="25"/>
      <c r="AT45" s="25"/>
      <c r="AU45" s="25"/>
      <c r="AV45" s="25"/>
      <c r="AW45" s="25"/>
      <c r="AX45" s="25"/>
      <c r="AY45" s="25"/>
      <c r="AZ45" s="25"/>
      <c r="BA45" s="25"/>
    </row>
    <row r="46" spans="1:53" ht="12.75">
      <c r="A46" s="25"/>
      <c r="B46" s="70"/>
      <c r="C46" s="50"/>
      <c r="D46" s="208"/>
      <c r="E46" s="208"/>
      <c r="F46" s="208" t="s">
        <v>873</v>
      </c>
      <c r="G46" s="208"/>
      <c r="H46" s="93"/>
      <c r="I46" s="93"/>
      <c r="J46" s="93"/>
      <c r="K46" s="93"/>
      <c r="L46" s="93"/>
      <c r="M46" s="93"/>
      <c r="N46" s="93"/>
      <c r="O46" s="93"/>
      <c r="P46" s="93"/>
      <c r="Q46" s="93"/>
      <c r="R46" s="93"/>
      <c r="S46" s="93"/>
      <c r="T46" s="93"/>
      <c r="U46" s="93"/>
      <c r="V46" s="93"/>
      <c r="W46" s="93"/>
      <c r="X46" s="93"/>
      <c r="Y46" s="93"/>
      <c r="Z46" s="93"/>
      <c r="AA46" s="93"/>
      <c r="AB46" s="93"/>
      <c r="AC46" s="93"/>
      <c r="AD46" s="93"/>
      <c r="AE46" s="93"/>
      <c r="AF46" s="93"/>
      <c r="AG46" s="50"/>
      <c r="AH46" s="305"/>
      <c r="AI46" s="305"/>
      <c r="AJ46" s="305"/>
      <c r="AK46" s="25"/>
      <c r="AL46" s="25"/>
      <c r="AM46" s="25"/>
      <c r="AN46" s="25"/>
      <c r="AO46" s="25"/>
      <c r="AP46" s="25"/>
      <c r="AQ46" s="25"/>
      <c r="AR46" s="25"/>
      <c r="AS46" s="25"/>
      <c r="AT46" s="25"/>
      <c r="AU46" s="25"/>
      <c r="AV46" s="25"/>
      <c r="AW46" s="25"/>
      <c r="AX46" s="25"/>
      <c r="AY46" s="25"/>
      <c r="AZ46" s="25"/>
      <c r="BA46" s="25"/>
    </row>
    <row r="47" spans="1:53" ht="12.75">
      <c r="A47" s="25"/>
      <c r="B47" s="70"/>
      <c r="C47" s="50"/>
      <c r="D47" s="208"/>
      <c r="E47" s="208" t="s">
        <v>796</v>
      </c>
      <c r="F47" s="208" t="s">
        <v>571</v>
      </c>
      <c r="G47" s="208"/>
      <c r="H47" s="93"/>
      <c r="I47" s="93"/>
      <c r="J47" s="93"/>
      <c r="K47" s="93"/>
      <c r="L47" s="93"/>
      <c r="M47" s="93"/>
      <c r="N47" s="93"/>
      <c r="O47" s="93"/>
      <c r="P47" s="93"/>
      <c r="Q47" s="93"/>
      <c r="R47" s="93"/>
      <c r="S47" s="93"/>
      <c r="T47" s="93"/>
      <c r="U47" s="93"/>
      <c r="V47" s="93"/>
      <c r="W47" s="93"/>
      <c r="X47" s="93"/>
      <c r="Y47" s="93"/>
      <c r="Z47" s="93"/>
      <c r="AA47" s="93"/>
      <c r="AB47" s="93"/>
      <c r="AC47" s="93"/>
      <c r="AD47" s="93"/>
      <c r="AE47" s="93"/>
      <c r="AF47" s="93"/>
      <c r="AG47" s="50"/>
      <c r="AH47" s="305"/>
      <c r="AI47" s="305"/>
      <c r="AJ47" s="305"/>
      <c r="AK47" s="25"/>
      <c r="AL47" s="25"/>
      <c r="AM47" s="25"/>
      <c r="AN47" s="25"/>
      <c r="AO47" s="25"/>
      <c r="AP47" s="25"/>
      <c r="AQ47" s="25"/>
      <c r="AR47" s="25"/>
      <c r="AS47" s="25"/>
      <c r="AT47" s="25"/>
      <c r="AU47" s="25"/>
      <c r="AV47" s="25"/>
      <c r="AW47" s="25"/>
      <c r="AX47" s="25"/>
      <c r="AY47" s="25"/>
      <c r="AZ47" s="25"/>
      <c r="BA47" s="25"/>
    </row>
    <row r="48" spans="1:53" ht="12.75">
      <c r="A48" s="25"/>
      <c r="B48" s="70"/>
      <c r="C48" s="50"/>
      <c r="D48" s="208"/>
      <c r="E48" s="208"/>
      <c r="F48" s="208" t="s">
        <v>581</v>
      </c>
      <c r="G48" s="208"/>
      <c r="H48" s="93"/>
      <c r="I48" s="93"/>
      <c r="J48" s="93"/>
      <c r="K48" s="93"/>
      <c r="L48" s="93"/>
      <c r="M48" s="93"/>
      <c r="N48" s="93"/>
      <c r="O48" s="93"/>
      <c r="P48" s="93"/>
      <c r="Q48" s="93"/>
      <c r="R48" s="93"/>
      <c r="S48" s="93"/>
      <c r="T48" s="93"/>
      <c r="U48" s="93"/>
      <c r="V48" s="93"/>
      <c r="W48" s="93"/>
      <c r="X48" s="93"/>
      <c r="Y48" s="93"/>
      <c r="Z48" s="93"/>
      <c r="AA48" s="93"/>
      <c r="AB48" s="93"/>
      <c r="AC48" s="93"/>
      <c r="AD48" s="93"/>
      <c r="AE48" s="93"/>
      <c r="AF48" s="93"/>
      <c r="AG48" s="50"/>
      <c r="AH48" s="305"/>
      <c r="AI48" s="305"/>
      <c r="AJ48" s="305"/>
      <c r="AK48" s="25"/>
      <c r="AL48" s="25"/>
      <c r="AM48" s="25"/>
      <c r="AN48" s="25"/>
      <c r="AO48" s="25"/>
      <c r="AP48" s="25"/>
      <c r="AQ48" s="25"/>
      <c r="AR48" s="25"/>
      <c r="AS48" s="25"/>
      <c r="AT48" s="25"/>
      <c r="AU48" s="25"/>
      <c r="AV48" s="25"/>
      <c r="AW48" s="25"/>
      <c r="AX48" s="25"/>
      <c r="AY48" s="25"/>
      <c r="AZ48" s="25"/>
      <c r="BA48" s="25"/>
    </row>
    <row r="49" spans="1:53" ht="12.75">
      <c r="A49" s="25"/>
      <c r="B49" s="70"/>
      <c r="C49" s="50"/>
      <c r="D49" s="208"/>
      <c r="E49" s="208" t="s">
        <v>798</v>
      </c>
      <c r="F49" s="208" t="s">
        <v>349</v>
      </c>
      <c r="G49" s="208"/>
      <c r="H49" s="93"/>
      <c r="I49" s="93"/>
      <c r="J49" s="93"/>
      <c r="K49" s="93"/>
      <c r="L49" s="93"/>
      <c r="M49" s="93"/>
      <c r="N49" s="93"/>
      <c r="O49" s="93"/>
      <c r="P49" s="93"/>
      <c r="Q49" s="93"/>
      <c r="R49" s="93"/>
      <c r="S49" s="93"/>
      <c r="T49" s="93"/>
      <c r="U49" s="93"/>
      <c r="V49" s="93"/>
      <c r="W49" s="93"/>
      <c r="X49" s="93"/>
      <c r="Y49" s="93"/>
      <c r="Z49" s="93"/>
      <c r="AA49" s="93"/>
      <c r="AB49" s="93"/>
      <c r="AC49" s="93"/>
      <c r="AD49" s="93"/>
      <c r="AE49" s="93"/>
      <c r="AF49" s="93"/>
      <c r="AG49" s="50"/>
      <c r="AH49" s="305"/>
      <c r="AI49" s="305"/>
      <c r="AJ49" s="305"/>
      <c r="AK49" s="25"/>
      <c r="AL49" s="25"/>
      <c r="AM49" s="25"/>
      <c r="AN49" s="25"/>
      <c r="AO49" s="25"/>
      <c r="AP49" s="25"/>
      <c r="AQ49" s="25"/>
      <c r="AR49" s="25"/>
      <c r="AS49" s="25"/>
      <c r="AT49" s="25"/>
      <c r="AU49" s="25"/>
      <c r="AV49" s="25"/>
      <c r="AW49" s="25"/>
      <c r="AX49" s="25"/>
      <c r="AY49" s="25"/>
      <c r="AZ49" s="25"/>
      <c r="BA49" s="25"/>
    </row>
    <row r="50" spans="1:53" ht="12.75">
      <c r="A50" s="25"/>
      <c r="B50" s="70"/>
      <c r="C50" s="50"/>
      <c r="D50" s="208"/>
      <c r="E50" s="208"/>
      <c r="F50" s="208" t="s">
        <v>572</v>
      </c>
      <c r="G50" s="208"/>
      <c r="H50" s="93"/>
      <c r="I50" s="93"/>
      <c r="J50" s="93"/>
      <c r="K50" s="93"/>
      <c r="L50" s="93"/>
      <c r="M50" s="93"/>
      <c r="N50" s="93"/>
      <c r="O50" s="93"/>
      <c r="P50" s="93"/>
      <c r="Q50" s="93"/>
      <c r="R50" s="93"/>
      <c r="S50" s="93"/>
      <c r="T50" s="93"/>
      <c r="U50" s="93"/>
      <c r="V50" s="93"/>
      <c r="W50" s="93"/>
      <c r="X50" s="93"/>
      <c r="Y50" s="93"/>
      <c r="Z50" s="93"/>
      <c r="AA50" s="93"/>
      <c r="AB50" s="93"/>
      <c r="AC50" s="93"/>
      <c r="AD50" s="93"/>
      <c r="AE50" s="93"/>
      <c r="AF50" s="93"/>
      <c r="AG50" s="50"/>
      <c r="AH50" s="305"/>
      <c r="AI50" s="305"/>
      <c r="AJ50" s="305"/>
      <c r="AK50" s="25"/>
      <c r="AL50" s="25"/>
      <c r="AM50" s="25"/>
      <c r="AN50" s="25"/>
      <c r="AO50" s="25"/>
      <c r="AP50" s="25"/>
      <c r="AQ50" s="25"/>
      <c r="AR50" s="25"/>
      <c r="AS50" s="25"/>
      <c r="AT50" s="25"/>
      <c r="AU50" s="25"/>
      <c r="AV50" s="25"/>
      <c r="AW50" s="25"/>
      <c r="AX50" s="25"/>
      <c r="AY50" s="25"/>
      <c r="AZ50" s="25"/>
      <c r="BA50" s="25"/>
    </row>
    <row r="51" spans="1:53" ht="12.75">
      <c r="A51" s="25"/>
      <c r="B51" s="70"/>
      <c r="C51" s="50"/>
      <c r="D51" s="208"/>
      <c r="E51" s="208"/>
      <c r="F51" s="208" t="s">
        <v>910</v>
      </c>
      <c r="G51" s="208"/>
      <c r="H51" s="93"/>
      <c r="I51" s="93"/>
      <c r="J51" s="93"/>
      <c r="K51" s="93"/>
      <c r="L51" s="93"/>
      <c r="M51" s="93"/>
      <c r="N51" s="93"/>
      <c r="O51" s="93"/>
      <c r="P51" s="93"/>
      <c r="Q51" s="93"/>
      <c r="R51" s="93"/>
      <c r="S51" s="93"/>
      <c r="T51" s="93"/>
      <c r="U51" s="93"/>
      <c r="V51" s="93"/>
      <c r="W51" s="93"/>
      <c r="X51" s="93"/>
      <c r="Y51" s="93"/>
      <c r="Z51" s="93"/>
      <c r="AA51" s="93"/>
      <c r="AB51" s="93"/>
      <c r="AC51" s="93"/>
      <c r="AD51" s="93"/>
      <c r="AE51" s="93"/>
      <c r="AF51" s="93"/>
      <c r="AG51" s="50"/>
      <c r="AH51" s="305"/>
      <c r="AI51" s="305"/>
      <c r="AJ51" s="305"/>
      <c r="AK51" s="25"/>
      <c r="AL51" s="25"/>
      <c r="AM51" s="25"/>
      <c r="AN51" s="25"/>
      <c r="AO51" s="25"/>
      <c r="AP51" s="25"/>
      <c r="AQ51" s="25"/>
      <c r="AR51" s="25"/>
      <c r="AS51" s="25"/>
      <c r="AT51" s="25"/>
      <c r="AU51" s="25"/>
      <c r="AV51" s="25"/>
      <c r="AW51" s="25"/>
      <c r="AX51" s="25"/>
      <c r="AY51" s="25"/>
      <c r="AZ51" s="25"/>
      <c r="BA51" s="25"/>
    </row>
    <row r="52" spans="1:53" ht="12.75">
      <c r="A52" s="25"/>
      <c r="B52" s="70"/>
      <c r="C52" s="50"/>
      <c r="D52" s="208"/>
      <c r="E52" s="208"/>
      <c r="F52" s="208" t="s">
        <v>573</v>
      </c>
      <c r="G52" s="208"/>
      <c r="H52" s="93"/>
      <c r="I52" s="93"/>
      <c r="J52" s="93"/>
      <c r="K52" s="93"/>
      <c r="L52" s="93"/>
      <c r="M52" s="93"/>
      <c r="N52" s="93"/>
      <c r="O52" s="93"/>
      <c r="P52" s="93"/>
      <c r="Q52" s="93"/>
      <c r="R52" s="93"/>
      <c r="S52" s="93"/>
      <c r="T52" s="93"/>
      <c r="U52" s="93"/>
      <c r="V52" s="93"/>
      <c r="W52" s="93"/>
      <c r="X52" s="93"/>
      <c r="Y52" s="93"/>
      <c r="Z52" s="93"/>
      <c r="AA52" s="93"/>
      <c r="AB52" s="93"/>
      <c r="AC52" s="93"/>
      <c r="AD52" s="93"/>
      <c r="AE52" s="93"/>
      <c r="AF52" s="93"/>
      <c r="AG52" s="50"/>
      <c r="AH52" s="305"/>
      <c r="AI52" s="305"/>
      <c r="AJ52" s="305"/>
      <c r="AK52" s="25"/>
      <c r="AL52" s="25"/>
      <c r="AM52" s="25"/>
      <c r="AN52" s="25"/>
      <c r="AO52" s="25"/>
      <c r="AP52" s="25"/>
      <c r="AQ52" s="25"/>
      <c r="AR52" s="25"/>
      <c r="AS52" s="25"/>
      <c r="AT52" s="25"/>
      <c r="AU52" s="25"/>
      <c r="AV52" s="25"/>
      <c r="AW52" s="25"/>
      <c r="AX52" s="25"/>
      <c r="AY52" s="25"/>
      <c r="AZ52" s="25"/>
      <c r="BA52" s="25"/>
    </row>
    <row r="53" spans="1:53" ht="12.75">
      <c r="A53" s="25"/>
      <c r="B53" s="70"/>
      <c r="C53" s="50"/>
      <c r="D53" s="208"/>
      <c r="E53" s="208"/>
      <c r="F53" s="208" t="s">
        <v>574</v>
      </c>
      <c r="G53" s="208"/>
      <c r="H53" s="93"/>
      <c r="I53" s="93"/>
      <c r="J53" s="93"/>
      <c r="K53" s="93"/>
      <c r="L53" s="93"/>
      <c r="M53" s="93"/>
      <c r="N53" s="93"/>
      <c r="O53" s="93"/>
      <c r="P53" s="93"/>
      <c r="Q53" s="93"/>
      <c r="R53" s="93"/>
      <c r="S53" s="93"/>
      <c r="T53" s="93"/>
      <c r="U53" s="93"/>
      <c r="V53" s="93"/>
      <c r="W53" s="93"/>
      <c r="X53" s="93"/>
      <c r="Y53" s="93"/>
      <c r="Z53" s="93"/>
      <c r="AA53" s="93"/>
      <c r="AB53" s="93"/>
      <c r="AC53" s="93"/>
      <c r="AD53" s="93"/>
      <c r="AE53" s="93"/>
      <c r="AF53" s="93"/>
      <c r="AG53" s="50"/>
      <c r="AH53" s="305"/>
      <c r="AI53" s="305"/>
      <c r="AJ53" s="305"/>
      <c r="AK53" s="25"/>
      <c r="AL53" s="25"/>
      <c r="AM53" s="25"/>
      <c r="AN53" s="25"/>
      <c r="AO53" s="25"/>
      <c r="AP53" s="25"/>
      <c r="AQ53" s="25"/>
      <c r="AR53" s="25"/>
      <c r="AS53" s="25"/>
      <c r="AT53" s="25"/>
      <c r="AU53" s="25"/>
      <c r="AV53" s="25"/>
      <c r="AW53" s="25"/>
      <c r="AX53" s="25"/>
      <c r="AY53" s="25"/>
      <c r="AZ53" s="25"/>
      <c r="BA53" s="25"/>
    </row>
    <row r="54" spans="1:53" ht="12.75">
      <c r="A54" s="25"/>
      <c r="B54" s="70"/>
      <c r="C54" s="50"/>
      <c r="D54" s="208"/>
      <c r="E54" s="208" t="s">
        <v>800</v>
      </c>
      <c r="F54" s="208" t="s">
        <v>887</v>
      </c>
      <c r="G54" s="208"/>
      <c r="H54" s="93"/>
      <c r="I54" s="93"/>
      <c r="J54" s="93"/>
      <c r="K54" s="93"/>
      <c r="L54" s="93"/>
      <c r="M54" s="93"/>
      <c r="N54" s="93"/>
      <c r="O54" s="93"/>
      <c r="P54" s="93"/>
      <c r="Q54" s="93"/>
      <c r="R54" s="93"/>
      <c r="S54" s="93"/>
      <c r="T54" s="93"/>
      <c r="U54" s="93"/>
      <c r="V54" s="93"/>
      <c r="W54" s="93"/>
      <c r="X54" s="93"/>
      <c r="Y54" s="93"/>
      <c r="Z54" s="93"/>
      <c r="AA54" s="93"/>
      <c r="AB54" s="93"/>
      <c r="AC54" s="93"/>
      <c r="AD54" s="93"/>
      <c r="AE54" s="93"/>
      <c r="AF54" s="93"/>
      <c r="AG54" s="50"/>
      <c r="AH54" s="305"/>
      <c r="AI54" s="305"/>
      <c r="AJ54" s="305"/>
      <c r="AK54" s="25"/>
      <c r="AL54" s="25"/>
      <c r="AM54" s="25"/>
      <c r="AN54" s="25"/>
      <c r="AO54" s="25"/>
      <c r="AP54" s="25"/>
      <c r="AQ54" s="25"/>
      <c r="AR54" s="25"/>
      <c r="AS54" s="25"/>
      <c r="AT54" s="25"/>
      <c r="AU54" s="25"/>
      <c r="AV54" s="25"/>
      <c r="AW54" s="25"/>
      <c r="AX54" s="25"/>
      <c r="AY54" s="25"/>
      <c r="AZ54" s="25"/>
      <c r="BA54" s="25"/>
    </row>
    <row r="55" spans="1:53" ht="12.75">
      <c r="A55" s="25"/>
      <c r="B55" s="70"/>
      <c r="C55" s="50"/>
      <c r="D55" s="208"/>
      <c r="E55" s="208"/>
      <c r="F55" s="208" t="s">
        <v>575</v>
      </c>
      <c r="G55" s="208"/>
      <c r="H55" s="93"/>
      <c r="I55" s="93"/>
      <c r="J55" s="93"/>
      <c r="K55" s="93"/>
      <c r="L55" s="93"/>
      <c r="M55" s="93"/>
      <c r="N55" s="93"/>
      <c r="O55" s="93"/>
      <c r="P55" s="93"/>
      <c r="Q55" s="93"/>
      <c r="R55" s="93"/>
      <c r="S55" s="93"/>
      <c r="T55" s="93"/>
      <c r="U55" s="93"/>
      <c r="V55" s="93"/>
      <c r="W55" s="93"/>
      <c r="X55" s="93"/>
      <c r="Y55" s="93"/>
      <c r="Z55" s="93"/>
      <c r="AA55" s="93"/>
      <c r="AB55" s="93"/>
      <c r="AC55" s="93"/>
      <c r="AD55" s="93"/>
      <c r="AE55" s="93"/>
      <c r="AF55" s="93"/>
      <c r="AG55" s="50"/>
      <c r="AH55" s="305"/>
      <c r="AI55" s="305"/>
      <c r="AJ55" s="305"/>
      <c r="AK55" s="25"/>
      <c r="AL55" s="25"/>
      <c r="AM55" s="25"/>
      <c r="AN55" s="25"/>
      <c r="AO55" s="25"/>
      <c r="AP55" s="25"/>
      <c r="AQ55" s="25"/>
      <c r="AR55" s="25"/>
      <c r="AS55" s="25"/>
      <c r="AT55" s="25"/>
      <c r="AU55" s="25"/>
      <c r="AV55" s="25"/>
      <c r="AW55" s="25"/>
      <c r="AX55" s="25"/>
      <c r="AY55" s="25"/>
      <c r="AZ55" s="25"/>
      <c r="BA55" s="25"/>
    </row>
    <row r="56" spans="1:53" ht="12.75">
      <c r="A56" s="25"/>
      <c r="B56" s="70"/>
      <c r="C56" s="50"/>
      <c r="D56" s="208"/>
      <c r="E56" s="208"/>
      <c r="F56" s="208" t="s">
        <v>576</v>
      </c>
      <c r="G56" s="208"/>
      <c r="H56" s="93"/>
      <c r="I56" s="93"/>
      <c r="J56" s="93"/>
      <c r="K56" s="93"/>
      <c r="L56" s="93"/>
      <c r="M56" s="93"/>
      <c r="N56" s="93"/>
      <c r="O56" s="93"/>
      <c r="P56" s="93"/>
      <c r="Q56" s="93"/>
      <c r="R56" s="93"/>
      <c r="S56" s="93"/>
      <c r="T56" s="93"/>
      <c r="U56" s="93"/>
      <c r="V56" s="93"/>
      <c r="W56" s="93"/>
      <c r="X56" s="93"/>
      <c r="Y56" s="93"/>
      <c r="Z56" s="93"/>
      <c r="AA56" s="93"/>
      <c r="AB56" s="93"/>
      <c r="AC56" s="93"/>
      <c r="AD56" s="93"/>
      <c r="AE56" s="93"/>
      <c r="AF56" s="93"/>
      <c r="AG56" s="50"/>
      <c r="AH56" s="305"/>
      <c r="AI56" s="305"/>
      <c r="AJ56" s="305"/>
      <c r="AK56" s="25"/>
      <c r="AL56" s="25"/>
      <c r="AM56" s="25"/>
      <c r="AN56" s="25"/>
      <c r="AO56" s="25"/>
      <c r="AP56" s="25"/>
      <c r="AQ56" s="25"/>
      <c r="AR56" s="25"/>
      <c r="AS56" s="25"/>
      <c r="AT56" s="25"/>
      <c r="AU56" s="25"/>
      <c r="AV56" s="25"/>
      <c r="AW56" s="25"/>
      <c r="AX56" s="25"/>
      <c r="AY56" s="25"/>
      <c r="AZ56" s="25"/>
      <c r="BA56" s="25"/>
    </row>
    <row r="57" spans="1:53" ht="12.75">
      <c r="A57" s="25"/>
      <c r="B57" s="70"/>
      <c r="C57" s="50"/>
      <c r="D57" s="208"/>
      <c r="E57" s="208" t="s">
        <v>886</v>
      </c>
      <c r="F57" s="208" t="s">
        <v>577</v>
      </c>
      <c r="G57" s="208"/>
      <c r="H57" s="93"/>
      <c r="I57" s="93"/>
      <c r="J57" s="93"/>
      <c r="K57" s="93"/>
      <c r="L57" s="93"/>
      <c r="M57" s="93"/>
      <c r="N57" s="93"/>
      <c r="O57" s="93"/>
      <c r="P57" s="93"/>
      <c r="Q57" s="93"/>
      <c r="R57" s="93"/>
      <c r="S57" s="93"/>
      <c r="T57" s="93"/>
      <c r="U57" s="93"/>
      <c r="V57" s="93"/>
      <c r="W57" s="93"/>
      <c r="X57" s="93"/>
      <c r="Y57" s="93"/>
      <c r="Z57" s="93"/>
      <c r="AA57" s="93"/>
      <c r="AB57" s="93"/>
      <c r="AC57" s="93"/>
      <c r="AD57" s="93"/>
      <c r="AE57" s="93"/>
      <c r="AF57" s="93"/>
      <c r="AG57" s="50"/>
      <c r="AH57" s="305"/>
      <c r="AI57" s="305"/>
      <c r="AJ57" s="305"/>
      <c r="AK57" s="25"/>
      <c r="AL57" s="25"/>
      <c r="AM57" s="25"/>
      <c r="AN57" s="25"/>
      <c r="AO57" s="25"/>
      <c r="AP57" s="25"/>
      <c r="AQ57" s="25"/>
      <c r="AR57" s="25"/>
      <c r="AS57" s="25"/>
      <c r="AT57" s="25"/>
      <c r="AU57" s="25"/>
      <c r="AV57" s="25"/>
      <c r="AW57" s="25"/>
      <c r="AX57" s="25"/>
      <c r="AY57" s="25"/>
      <c r="AZ57" s="25"/>
      <c r="BA57" s="25"/>
    </row>
    <row r="58" spans="1:53" ht="12.75" customHeight="1">
      <c r="A58" s="323"/>
      <c r="B58" s="318"/>
      <c r="C58" s="319"/>
      <c r="D58" s="208"/>
      <c r="E58" s="208"/>
      <c r="F58" s="208" t="s">
        <v>578</v>
      </c>
      <c r="G58" s="208"/>
      <c r="H58" s="93"/>
      <c r="I58" s="93"/>
      <c r="J58" s="93"/>
      <c r="K58" s="93"/>
      <c r="L58" s="93"/>
      <c r="M58" s="93"/>
      <c r="N58" s="93"/>
      <c r="O58" s="93"/>
      <c r="P58" s="93"/>
      <c r="Q58" s="93"/>
      <c r="R58" s="93"/>
      <c r="S58" s="93"/>
      <c r="T58" s="93"/>
      <c r="U58" s="93"/>
      <c r="V58" s="93"/>
      <c r="W58" s="93"/>
      <c r="X58" s="93"/>
      <c r="Y58" s="93"/>
      <c r="Z58" s="93"/>
      <c r="AA58" s="93"/>
      <c r="AB58" s="93"/>
      <c r="AC58" s="93"/>
      <c r="AD58" s="93"/>
      <c r="AE58" s="93"/>
      <c r="AF58" s="93"/>
      <c r="AG58" s="319"/>
      <c r="AH58" s="305"/>
      <c r="AI58" s="25"/>
      <c r="AJ58" s="25"/>
      <c r="AK58" s="25"/>
      <c r="AL58" s="25"/>
      <c r="AM58" s="25"/>
      <c r="AN58" s="25"/>
      <c r="AO58" s="25"/>
      <c r="AP58" s="25"/>
      <c r="AQ58" s="25"/>
      <c r="AR58" s="25"/>
      <c r="AS58" s="25"/>
      <c r="AT58" s="25"/>
      <c r="AU58" s="25"/>
      <c r="AV58" s="25"/>
      <c r="AW58" s="25"/>
      <c r="AX58" s="25"/>
      <c r="AY58" s="25"/>
      <c r="AZ58" s="25"/>
      <c r="BA58" s="25"/>
    </row>
    <row r="59" spans="1:53" ht="12.75" customHeight="1">
      <c r="A59" s="323"/>
      <c r="B59" s="318"/>
      <c r="C59" s="319"/>
      <c r="D59" s="208"/>
      <c r="E59" s="208"/>
      <c r="F59" s="208" t="s">
        <v>579</v>
      </c>
      <c r="G59" s="208"/>
      <c r="H59" s="93"/>
      <c r="I59" s="93"/>
      <c r="J59" s="93"/>
      <c r="K59" s="93"/>
      <c r="L59" s="93"/>
      <c r="M59" s="93"/>
      <c r="N59" s="93"/>
      <c r="O59" s="93"/>
      <c r="P59" s="93"/>
      <c r="Q59" s="93"/>
      <c r="R59" s="93"/>
      <c r="S59" s="93"/>
      <c r="T59" s="93"/>
      <c r="U59" s="93"/>
      <c r="V59" s="93"/>
      <c r="W59" s="93"/>
      <c r="X59" s="93"/>
      <c r="Y59" s="93"/>
      <c r="Z59" s="93"/>
      <c r="AA59" s="93"/>
      <c r="AB59" s="93"/>
      <c r="AC59" s="93"/>
      <c r="AD59" s="93"/>
      <c r="AE59" s="93"/>
      <c r="AF59" s="93"/>
      <c r="AG59" s="319"/>
      <c r="AH59" s="305"/>
      <c r="AI59" s="25"/>
      <c r="AJ59" s="25"/>
      <c r="AK59" s="25"/>
      <c r="AL59" s="25"/>
      <c r="AM59" s="25"/>
      <c r="AN59" s="25"/>
      <c r="AO59" s="25"/>
      <c r="AP59" s="25"/>
      <c r="AQ59" s="25"/>
      <c r="AR59" s="25"/>
      <c r="AS59" s="25"/>
      <c r="AT59" s="25"/>
      <c r="AU59" s="25"/>
      <c r="AV59" s="25"/>
      <c r="AW59" s="25"/>
      <c r="AX59" s="25"/>
      <c r="AY59" s="25"/>
      <c r="AZ59" s="25"/>
      <c r="BA59" s="25"/>
    </row>
    <row r="60" spans="1:53" ht="12.75" customHeight="1">
      <c r="A60" s="323"/>
      <c r="B60" s="318"/>
      <c r="C60" s="319"/>
      <c r="D60" s="208"/>
      <c r="E60" s="208"/>
      <c r="F60" s="208" t="s">
        <v>518</v>
      </c>
      <c r="G60" s="208"/>
      <c r="H60" s="93"/>
      <c r="I60" s="93"/>
      <c r="J60" s="93"/>
      <c r="K60" s="93"/>
      <c r="L60" s="93"/>
      <c r="M60" s="93"/>
      <c r="N60" s="93"/>
      <c r="O60" s="93"/>
      <c r="P60" s="93"/>
      <c r="Q60" s="93"/>
      <c r="R60" s="93"/>
      <c r="S60" s="93"/>
      <c r="T60" s="93"/>
      <c r="U60" s="93"/>
      <c r="V60" s="93"/>
      <c r="W60" s="93"/>
      <c r="X60" s="93"/>
      <c r="Y60" s="93"/>
      <c r="Z60" s="93"/>
      <c r="AA60" s="93"/>
      <c r="AB60" s="93"/>
      <c r="AC60" s="93"/>
      <c r="AD60" s="93"/>
      <c r="AE60" s="93"/>
      <c r="AF60" s="93"/>
      <c r="AG60" s="319"/>
      <c r="AH60" s="305"/>
      <c r="AI60" s="25"/>
      <c r="AJ60" s="25"/>
      <c r="AK60" s="25"/>
      <c r="AL60" s="25"/>
      <c r="AM60" s="25"/>
      <c r="AN60" s="25"/>
      <c r="AO60" s="25"/>
      <c r="AP60" s="25"/>
      <c r="AQ60" s="25"/>
      <c r="AR60" s="25"/>
      <c r="AS60" s="25"/>
      <c r="AT60" s="25"/>
      <c r="AU60" s="25"/>
      <c r="AV60" s="25"/>
      <c r="AW60" s="25"/>
      <c r="AX60" s="25"/>
      <c r="AY60" s="25"/>
      <c r="AZ60" s="25"/>
      <c r="BA60" s="25"/>
    </row>
    <row r="61" spans="1:53" ht="12.75">
      <c r="A61" s="323"/>
      <c r="B61" s="321"/>
      <c r="C61" s="321"/>
      <c r="D61" s="208"/>
      <c r="E61" s="208"/>
      <c r="F61" s="208" t="s">
        <v>517</v>
      </c>
      <c r="G61" s="208"/>
      <c r="H61" s="93"/>
      <c r="I61" s="93"/>
      <c r="J61" s="93"/>
      <c r="K61" s="93"/>
      <c r="L61" s="93"/>
      <c r="M61" s="93"/>
      <c r="N61" s="93"/>
      <c r="O61" s="93"/>
      <c r="P61" s="93"/>
      <c r="Q61" s="93"/>
      <c r="R61" s="93"/>
      <c r="S61" s="93"/>
      <c r="T61" s="93"/>
      <c r="U61" s="93"/>
      <c r="V61" s="93"/>
      <c r="W61" s="93"/>
      <c r="X61" s="93"/>
      <c r="Y61" s="93"/>
      <c r="Z61" s="93"/>
      <c r="AA61" s="93"/>
      <c r="AB61" s="93"/>
      <c r="AC61" s="93"/>
      <c r="AD61" s="93"/>
      <c r="AE61" s="93"/>
      <c r="AF61" s="93"/>
      <c r="AG61" s="329"/>
      <c r="AH61" s="305"/>
      <c r="AI61" s="25"/>
      <c r="AJ61" s="25"/>
      <c r="AK61" s="25"/>
      <c r="AL61" s="25"/>
      <c r="AM61" s="25"/>
      <c r="AN61" s="25"/>
      <c r="AO61" s="25"/>
      <c r="AP61" s="25"/>
      <c r="AQ61" s="25"/>
      <c r="AR61" s="25"/>
      <c r="AS61" s="25"/>
      <c r="AT61" s="25"/>
      <c r="AU61" s="25"/>
      <c r="AV61" s="25"/>
      <c r="AW61" s="25"/>
      <c r="AX61" s="25"/>
      <c r="AY61" s="25"/>
      <c r="AZ61" s="25"/>
      <c r="BA61" s="25"/>
    </row>
    <row r="62" spans="1:53" ht="6" customHeight="1">
      <c r="A62" s="323"/>
      <c r="B62" s="321"/>
      <c r="C62" s="321"/>
      <c r="D62" s="320"/>
      <c r="E62" s="320"/>
      <c r="F62" s="320"/>
      <c r="G62" s="320"/>
      <c r="H62" s="320"/>
      <c r="I62" s="320"/>
      <c r="J62" s="320"/>
      <c r="K62" s="320"/>
      <c r="L62" s="320"/>
      <c r="M62" s="320"/>
      <c r="N62" s="320"/>
      <c r="O62" s="320"/>
      <c r="P62" s="320"/>
      <c r="Q62" s="320"/>
      <c r="R62" s="320"/>
      <c r="S62" s="320"/>
      <c r="T62" s="320"/>
      <c r="U62" s="320"/>
      <c r="V62" s="320"/>
      <c r="W62" s="320"/>
      <c r="X62" s="320"/>
      <c r="Y62" s="320"/>
      <c r="Z62" s="320"/>
      <c r="AA62" s="320"/>
      <c r="AB62" s="320"/>
      <c r="AC62" s="320"/>
      <c r="AD62" s="320"/>
      <c r="AE62" s="320"/>
      <c r="AF62" s="320"/>
      <c r="AG62" s="329"/>
      <c r="AH62" s="305"/>
      <c r="AI62" s="25"/>
      <c r="AJ62" s="25"/>
      <c r="AK62" s="25"/>
      <c r="AL62" s="25"/>
      <c r="AM62" s="25"/>
      <c r="AN62" s="25"/>
      <c r="AO62" s="25"/>
      <c r="AP62" s="25"/>
      <c r="AQ62" s="25"/>
      <c r="AR62" s="25"/>
      <c r="AS62" s="25"/>
      <c r="AT62" s="25"/>
      <c r="AU62" s="25"/>
      <c r="AV62" s="25"/>
      <c r="AW62" s="25"/>
      <c r="AX62" s="25"/>
      <c r="AY62" s="25"/>
      <c r="AZ62" s="25"/>
      <c r="BA62" s="25"/>
    </row>
    <row r="63" spans="1:53" ht="36.75" customHeight="1">
      <c r="A63" s="25"/>
      <c r="B63" s="35"/>
      <c r="C63" s="35"/>
      <c r="D63" s="1036" t="s">
        <v>269</v>
      </c>
      <c r="E63" s="1036"/>
      <c r="F63" s="1036"/>
      <c r="G63" s="1036"/>
      <c r="H63" s="1036"/>
      <c r="I63" s="1036"/>
      <c r="J63" s="1036"/>
      <c r="K63" s="1036"/>
      <c r="L63" s="1036"/>
      <c r="M63" s="1036"/>
      <c r="N63" s="1036"/>
      <c r="O63" s="1036"/>
      <c r="P63" s="1036"/>
      <c r="Q63" s="1036"/>
      <c r="R63" s="1036"/>
      <c r="S63" s="1036"/>
      <c r="T63" s="1036"/>
      <c r="U63" s="1036"/>
      <c r="V63" s="1036"/>
      <c r="W63" s="1036"/>
      <c r="X63" s="1036"/>
      <c r="Y63" s="1036"/>
      <c r="Z63" s="1036"/>
      <c r="AA63" s="1036"/>
      <c r="AB63" s="1036"/>
      <c r="AC63" s="1036"/>
      <c r="AD63" s="1036"/>
      <c r="AE63" s="1036"/>
      <c r="AF63" s="1036"/>
      <c r="AG63" s="35"/>
      <c r="AH63" s="25"/>
      <c r="AI63" s="25"/>
      <c r="AJ63" s="25"/>
      <c r="AK63" s="25"/>
      <c r="AL63" s="25"/>
      <c r="AM63" s="25"/>
      <c r="AN63" s="25"/>
      <c r="AO63" s="25"/>
      <c r="AP63" s="25"/>
      <c r="AQ63" s="25"/>
      <c r="AR63" s="25"/>
      <c r="AS63" s="25"/>
      <c r="AT63" s="25"/>
      <c r="AU63" s="25"/>
      <c r="AV63" s="25"/>
      <c r="AW63" s="25"/>
      <c r="AX63" s="25"/>
      <c r="AY63" s="25"/>
      <c r="AZ63" s="25"/>
      <c r="BA63" s="25"/>
    </row>
    <row r="64" spans="1:53" ht="12.75">
      <c r="A64" s="25"/>
      <c r="B64" s="428" t="str">
        <f ca="1">" Cascade Energy, Inc. © "&amp;YEAR(TODAY())</f>
        <v> Cascade Energy, Inc. © 2023</v>
      </c>
      <c r="C64" s="35"/>
      <c r="D64" s="35"/>
      <c r="E64" s="35"/>
      <c r="F64" s="35"/>
      <c r="G64" s="35"/>
      <c r="H64" s="35"/>
      <c r="I64" s="35"/>
      <c r="J64" s="35"/>
      <c r="K64" s="35"/>
      <c r="L64" s="35"/>
      <c r="M64" s="35"/>
      <c r="N64" s="35"/>
      <c r="O64" s="35"/>
      <c r="P64" s="35"/>
      <c r="Q64" s="35"/>
      <c r="R64" s="35"/>
      <c r="S64" s="35"/>
      <c r="T64" s="35"/>
      <c r="U64" s="35"/>
      <c r="V64" s="35"/>
      <c r="W64" s="35"/>
      <c r="X64" s="35"/>
      <c r="Y64" s="35"/>
      <c r="Z64" s="35"/>
      <c r="AA64" s="35"/>
      <c r="AB64" s="35"/>
      <c r="AC64" s="35"/>
      <c r="AD64" s="35"/>
      <c r="AF64" s="772"/>
      <c r="AG64" s="772" t="str">
        <f>ToolName&amp;"   v"&amp;ToolVersion&amp;"  "</f>
        <v>BPA NW Regional Compressed Air Tool   v4.1  </v>
      </c>
      <c r="AH64" s="25"/>
      <c r="AI64" s="25"/>
      <c r="AJ64" s="25"/>
      <c r="AK64" s="25"/>
      <c r="AL64" s="25"/>
      <c r="AM64" s="25"/>
      <c r="AN64" s="25"/>
      <c r="AO64" s="25"/>
      <c r="AP64" s="25"/>
      <c r="AQ64" s="25"/>
      <c r="AR64" s="25"/>
      <c r="AS64" s="25"/>
      <c r="AT64" s="25"/>
      <c r="AU64" s="25"/>
      <c r="AV64" s="25"/>
      <c r="AW64" s="25"/>
      <c r="AX64" s="25"/>
      <c r="AY64" s="25"/>
      <c r="AZ64" s="25"/>
      <c r="BA64" s="25"/>
    </row>
    <row r="65" spans="1:53" ht="12.75">
      <c r="A65" s="25"/>
      <c r="B65" s="25"/>
      <c r="C65" s="25"/>
      <c r="D65" s="25"/>
      <c r="E65" s="25"/>
      <c r="F65" s="25"/>
      <c r="G65" s="25"/>
      <c r="H65" s="25"/>
      <c r="I65" s="25"/>
      <c r="J65" s="25"/>
      <c r="K65" s="25"/>
      <c r="L65" s="25"/>
      <c r="M65" s="25"/>
      <c r="N65" s="25"/>
      <c r="O65" s="25"/>
      <c r="P65" s="25"/>
      <c r="Q65" s="25"/>
      <c r="R65" s="25"/>
      <c r="S65" s="25"/>
      <c r="T65" s="25"/>
      <c r="U65" s="25"/>
      <c r="V65" s="25"/>
      <c r="W65" s="25"/>
      <c r="X65" s="25"/>
      <c r="Y65" s="25"/>
      <c r="Z65" s="25"/>
      <c r="AA65" s="25"/>
      <c r="AB65" s="25"/>
      <c r="AC65" s="25"/>
      <c r="AD65" s="25"/>
      <c r="AE65" s="25"/>
      <c r="AF65" s="25"/>
      <c r="AG65" s="25"/>
      <c r="AH65" s="25"/>
      <c r="AI65" s="25"/>
      <c r="AJ65" s="25"/>
      <c r="AK65" s="25"/>
      <c r="AL65" s="25"/>
      <c r="AM65" s="25"/>
      <c r="AN65" s="25"/>
      <c r="AO65" s="25"/>
      <c r="AP65" s="25"/>
      <c r="AQ65" s="25"/>
      <c r="AR65" s="25"/>
      <c r="AS65" s="25"/>
      <c r="AT65" s="25"/>
      <c r="AU65" s="25"/>
      <c r="AV65" s="25"/>
      <c r="AW65" s="25"/>
      <c r="AX65" s="25"/>
      <c r="AY65" s="25"/>
      <c r="AZ65" s="25"/>
      <c r="BA65" s="25"/>
    </row>
    <row r="66" spans="1:53" ht="12.75">
      <c r="A66" s="25"/>
      <c r="B66" s="25"/>
      <c r="C66" s="25"/>
      <c r="D66" s="25"/>
      <c r="E66" s="25"/>
      <c r="F66" s="25"/>
      <c r="G66" s="25"/>
      <c r="H66" s="25"/>
      <c r="I66" s="25"/>
      <c r="J66" s="25"/>
      <c r="K66" s="25"/>
      <c r="L66" s="25"/>
      <c r="M66" s="25"/>
      <c r="N66" s="25"/>
      <c r="O66" s="25"/>
      <c r="P66" s="25"/>
      <c r="Q66" s="25"/>
      <c r="R66" s="25"/>
      <c r="S66" s="25"/>
      <c r="T66" s="25"/>
      <c r="U66" s="25"/>
      <c r="V66" s="25"/>
      <c r="W66" s="25"/>
      <c r="X66" s="25"/>
      <c r="Y66" s="25"/>
      <c r="Z66" s="25"/>
      <c r="AA66" s="25"/>
      <c r="AB66" s="25"/>
      <c r="AC66" s="25"/>
      <c r="AD66" s="25"/>
      <c r="AE66" s="25"/>
      <c r="AF66" s="25"/>
      <c r="AG66" s="25"/>
      <c r="AH66" s="25"/>
      <c r="AI66" s="25"/>
      <c r="AJ66" s="25"/>
      <c r="AK66" s="25"/>
      <c r="AL66" s="25"/>
      <c r="AM66" s="25"/>
      <c r="AN66" s="25"/>
      <c r="AO66" s="25"/>
      <c r="AP66" s="25"/>
      <c r="AQ66" s="25"/>
      <c r="AR66" s="25"/>
      <c r="AS66" s="25"/>
      <c r="AT66" s="25"/>
      <c r="AU66" s="25"/>
      <c r="AV66" s="25"/>
      <c r="AW66" s="25"/>
      <c r="AX66" s="25"/>
      <c r="AY66" s="25"/>
      <c r="AZ66" s="25"/>
      <c r="BA66" s="25"/>
    </row>
    <row r="67" spans="1:53" ht="12.75">
      <c r="A67" s="25"/>
      <c r="B67" s="25"/>
      <c r="C67" s="25"/>
      <c r="D67" s="25"/>
      <c r="E67" s="25"/>
      <c r="F67" s="25"/>
      <c r="G67" s="25"/>
      <c r="H67" s="25"/>
      <c r="I67" s="25"/>
      <c r="J67" s="25"/>
      <c r="K67" s="25"/>
      <c r="L67" s="25"/>
      <c r="M67" s="25"/>
      <c r="N67" s="25"/>
      <c r="O67" s="25"/>
      <c r="P67" s="25"/>
      <c r="Q67" s="25"/>
      <c r="R67" s="25"/>
      <c r="S67" s="25"/>
      <c r="T67" s="25"/>
      <c r="U67" s="25"/>
      <c r="V67" s="25"/>
      <c r="W67" s="25"/>
      <c r="X67" s="25"/>
      <c r="Y67" s="25"/>
      <c r="Z67" s="25"/>
      <c r="AA67" s="25"/>
      <c r="AB67" s="25"/>
      <c r="AC67" s="25"/>
      <c r="AD67" s="25"/>
      <c r="AE67" s="25"/>
      <c r="AF67" s="25"/>
      <c r="AG67" s="25"/>
      <c r="AH67" s="25"/>
      <c r="AI67" s="25"/>
      <c r="AJ67" s="25"/>
      <c r="AK67" s="25"/>
      <c r="AL67" s="25"/>
      <c r="AM67" s="25"/>
      <c r="AN67" s="25"/>
      <c r="AO67" s="25"/>
      <c r="AP67" s="25"/>
      <c r="AQ67" s="25"/>
      <c r="AR67" s="25"/>
      <c r="AS67" s="25"/>
      <c r="AT67" s="25"/>
      <c r="AU67" s="25"/>
      <c r="AV67" s="25"/>
      <c r="AW67" s="25"/>
      <c r="AX67" s="25"/>
      <c r="AY67" s="25"/>
      <c r="AZ67" s="25"/>
      <c r="BA67" s="25"/>
    </row>
    <row r="68" spans="1:53" ht="12.75">
      <c r="A68" s="25"/>
      <c r="B68" s="25"/>
      <c r="C68" s="25"/>
      <c r="D68" s="25"/>
      <c r="E68" s="25"/>
      <c r="F68" s="25"/>
      <c r="G68" s="25"/>
      <c r="H68" s="25"/>
      <c r="I68" s="25"/>
      <c r="J68" s="25"/>
      <c r="K68" s="25"/>
      <c r="L68" s="25"/>
      <c r="M68" s="25"/>
      <c r="N68" s="25"/>
      <c r="O68" s="25"/>
      <c r="P68" s="25"/>
      <c r="Q68" s="25"/>
      <c r="R68" s="25"/>
      <c r="S68" s="25"/>
      <c r="T68" s="25"/>
      <c r="U68" s="25"/>
      <c r="V68" s="25"/>
      <c r="W68" s="25"/>
      <c r="X68" s="25"/>
      <c r="Y68" s="25"/>
      <c r="Z68" s="25"/>
      <c r="AA68" s="25"/>
      <c r="AB68" s="25"/>
      <c r="AC68" s="25"/>
      <c r="AD68" s="25"/>
      <c r="AE68" s="25"/>
      <c r="AF68" s="25"/>
      <c r="AG68" s="25"/>
      <c r="AH68" s="25"/>
      <c r="AI68" s="25"/>
      <c r="AJ68" s="25"/>
      <c r="AK68" s="25"/>
      <c r="AL68" s="25"/>
      <c r="AM68" s="25"/>
      <c r="AN68" s="25"/>
      <c r="AO68" s="25"/>
      <c r="AP68" s="25"/>
      <c r="AQ68" s="25"/>
      <c r="AR68" s="25"/>
      <c r="AS68" s="25"/>
      <c r="AT68" s="25"/>
      <c r="AU68" s="25"/>
      <c r="AV68" s="25"/>
      <c r="AW68" s="25"/>
      <c r="AX68" s="25"/>
      <c r="AY68" s="25"/>
      <c r="AZ68" s="25"/>
      <c r="BA68" s="25"/>
    </row>
    <row r="69" spans="1:53" ht="12.75">
      <c r="A69" s="25"/>
      <c r="B69" s="25"/>
      <c r="C69" s="25"/>
      <c r="D69" s="25"/>
      <c r="E69" s="25"/>
      <c r="F69" s="25"/>
      <c r="G69" s="25"/>
      <c r="H69" s="25"/>
      <c r="I69" s="25"/>
      <c r="J69" s="25"/>
      <c r="K69" s="25"/>
      <c r="L69" s="25"/>
      <c r="M69" s="25"/>
      <c r="N69" s="25"/>
      <c r="O69" s="25"/>
      <c r="P69" s="25"/>
      <c r="Q69" s="25"/>
      <c r="R69" s="25"/>
      <c r="S69" s="25"/>
      <c r="T69" s="25"/>
      <c r="U69" s="25"/>
      <c r="V69" s="25"/>
      <c r="W69" s="25"/>
      <c r="X69" s="25"/>
      <c r="Y69" s="25"/>
      <c r="Z69" s="25"/>
      <c r="AA69" s="25"/>
      <c r="AB69" s="25"/>
      <c r="AC69" s="25"/>
      <c r="AD69" s="25"/>
      <c r="AE69" s="25"/>
      <c r="AF69" s="25"/>
      <c r="AG69" s="25"/>
      <c r="AH69" s="25"/>
      <c r="AI69" s="25"/>
      <c r="AJ69" s="25"/>
      <c r="AK69" s="25"/>
      <c r="AL69" s="25"/>
      <c r="AM69" s="25"/>
      <c r="AN69" s="25"/>
      <c r="AO69" s="25"/>
      <c r="AP69" s="25"/>
      <c r="AQ69" s="25"/>
      <c r="AR69" s="25"/>
      <c r="AS69" s="25"/>
      <c r="AT69" s="25"/>
      <c r="AU69" s="25"/>
      <c r="AV69" s="25"/>
      <c r="AW69" s="25"/>
      <c r="AX69" s="25"/>
      <c r="AY69" s="25"/>
      <c r="AZ69" s="25"/>
      <c r="BA69" s="25"/>
    </row>
    <row r="70" spans="1:53" ht="12.75">
      <c r="A70" s="25"/>
      <c r="B70" s="25"/>
      <c r="C70" s="25"/>
      <c r="D70" s="25"/>
      <c r="E70" s="25"/>
      <c r="F70" s="25"/>
      <c r="G70" s="25"/>
      <c r="H70" s="25"/>
      <c r="I70" s="25"/>
      <c r="J70" s="25"/>
      <c r="K70" s="25"/>
      <c r="L70" s="25"/>
      <c r="M70" s="25"/>
      <c r="N70" s="25"/>
      <c r="O70" s="25"/>
      <c r="P70" s="25"/>
      <c r="Q70" s="25"/>
      <c r="R70" s="25"/>
      <c r="S70" s="25"/>
      <c r="T70" s="25"/>
      <c r="U70" s="25"/>
      <c r="V70" s="25"/>
      <c r="W70" s="25"/>
      <c r="X70" s="25"/>
      <c r="Y70" s="25"/>
      <c r="Z70" s="25"/>
      <c r="AA70" s="25"/>
      <c r="AB70" s="25"/>
      <c r="AC70" s="25"/>
      <c r="AD70" s="25"/>
      <c r="AE70" s="25"/>
      <c r="AF70" s="25"/>
      <c r="AG70" s="25"/>
      <c r="AH70" s="25"/>
      <c r="AI70" s="25"/>
      <c r="AJ70" s="25"/>
      <c r="AK70" s="25"/>
      <c r="AL70" s="25"/>
      <c r="AM70" s="25"/>
      <c r="AN70" s="25"/>
      <c r="AO70" s="25"/>
      <c r="AP70" s="25"/>
      <c r="AQ70" s="25"/>
      <c r="AR70" s="25"/>
      <c r="AS70" s="25"/>
      <c r="AT70" s="25"/>
      <c r="AU70" s="25"/>
      <c r="AV70" s="25"/>
      <c r="AW70" s="25"/>
      <c r="AX70" s="25"/>
      <c r="AY70" s="25"/>
      <c r="AZ70" s="25"/>
      <c r="BA70" s="25"/>
    </row>
    <row r="71" spans="1:53" ht="12.75">
      <c r="A71" s="25"/>
      <c r="B71" s="25"/>
      <c r="C71" s="25"/>
      <c r="D71" s="25"/>
      <c r="E71" s="25"/>
      <c r="F71" s="25"/>
      <c r="G71" s="25"/>
      <c r="H71" s="25"/>
      <c r="I71" s="25"/>
      <c r="J71" s="25"/>
      <c r="K71" s="25"/>
      <c r="L71" s="25"/>
      <c r="M71" s="25"/>
      <c r="N71" s="25"/>
      <c r="O71" s="25"/>
      <c r="P71" s="25"/>
      <c r="Q71" s="25"/>
      <c r="R71" s="25"/>
      <c r="S71" s="25"/>
      <c r="T71" s="25"/>
      <c r="U71" s="25"/>
      <c r="V71" s="25"/>
      <c r="W71" s="25"/>
      <c r="X71" s="25"/>
      <c r="Y71" s="25"/>
      <c r="Z71" s="25"/>
      <c r="AA71" s="25"/>
      <c r="AB71" s="25"/>
      <c r="AC71" s="25"/>
      <c r="AD71" s="25"/>
      <c r="AE71" s="25"/>
      <c r="AF71" s="25"/>
      <c r="AG71" s="25"/>
      <c r="AH71" s="25"/>
      <c r="AI71" s="25"/>
      <c r="AJ71" s="25"/>
      <c r="AK71" s="25"/>
      <c r="AL71" s="25"/>
      <c r="AM71" s="25"/>
      <c r="AN71" s="25"/>
      <c r="AO71" s="25"/>
      <c r="AP71" s="25"/>
      <c r="AQ71" s="25"/>
      <c r="AR71" s="25"/>
      <c r="AS71" s="25"/>
      <c r="AT71" s="25"/>
      <c r="AU71" s="25"/>
      <c r="AV71" s="25"/>
      <c r="AW71" s="25"/>
      <c r="AX71" s="25"/>
      <c r="AY71" s="25"/>
      <c r="AZ71" s="25"/>
      <c r="BA71" s="25"/>
    </row>
    <row r="72" spans="1:53" ht="12.75">
      <c r="A72" s="25"/>
      <c r="B72" s="25"/>
      <c r="C72" s="25"/>
      <c r="D72" s="25"/>
      <c r="E72" s="25"/>
      <c r="F72" s="25"/>
      <c r="G72" s="25"/>
      <c r="H72" s="25"/>
      <c r="I72" s="25"/>
      <c r="J72" s="25"/>
      <c r="K72" s="25"/>
      <c r="L72" s="25"/>
      <c r="M72" s="25"/>
      <c r="N72" s="25"/>
      <c r="O72" s="25"/>
      <c r="P72" s="25"/>
      <c r="Q72" s="25"/>
      <c r="R72" s="25"/>
      <c r="S72" s="25"/>
      <c r="T72" s="25"/>
      <c r="U72" s="25"/>
      <c r="V72" s="25"/>
      <c r="W72" s="25"/>
      <c r="X72" s="25"/>
      <c r="Y72" s="25"/>
      <c r="Z72" s="25"/>
      <c r="AA72" s="25"/>
      <c r="AB72" s="25"/>
      <c r="AC72" s="25"/>
      <c r="AD72" s="25"/>
      <c r="AE72" s="25"/>
      <c r="AF72" s="25"/>
      <c r="AG72" s="25"/>
      <c r="AH72" s="25"/>
      <c r="AI72" s="25"/>
      <c r="AJ72" s="25"/>
      <c r="AK72" s="25"/>
      <c r="AL72" s="25"/>
      <c r="AM72" s="25"/>
      <c r="AN72" s="25"/>
      <c r="AO72" s="25"/>
      <c r="AP72" s="25"/>
      <c r="AQ72" s="25"/>
      <c r="AR72" s="25"/>
      <c r="AS72" s="25"/>
      <c r="AT72" s="25"/>
      <c r="AU72" s="25"/>
      <c r="AV72" s="25"/>
      <c r="AW72" s="25"/>
      <c r="AX72" s="25"/>
      <c r="AY72" s="25"/>
      <c r="AZ72" s="25"/>
      <c r="BA72" s="25"/>
    </row>
    <row r="73" spans="1:53" ht="12.75">
      <c r="A73" s="25"/>
      <c r="B73" s="25"/>
      <c r="C73" s="25"/>
      <c r="D73" s="25"/>
      <c r="E73" s="25"/>
      <c r="F73" s="25"/>
      <c r="G73" s="25"/>
      <c r="H73" s="25"/>
      <c r="I73" s="25"/>
      <c r="J73" s="25"/>
      <c r="K73" s="25"/>
      <c r="L73" s="25"/>
      <c r="M73" s="25"/>
      <c r="N73" s="25"/>
      <c r="O73" s="25"/>
      <c r="P73" s="25"/>
      <c r="Q73" s="25"/>
      <c r="R73" s="25"/>
      <c r="S73" s="25"/>
      <c r="T73" s="25"/>
      <c r="U73" s="25"/>
      <c r="V73" s="25"/>
      <c r="W73" s="25"/>
      <c r="X73" s="25"/>
      <c r="Y73" s="25"/>
      <c r="Z73" s="25"/>
      <c r="AA73" s="25"/>
      <c r="AB73" s="25"/>
      <c r="AC73" s="25"/>
      <c r="AD73" s="25"/>
      <c r="AE73" s="25"/>
      <c r="AF73" s="25"/>
      <c r="AG73" s="25"/>
      <c r="AH73" s="25"/>
      <c r="AI73" s="25"/>
      <c r="AJ73" s="25"/>
      <c r="AK73" s="25"/>
      <c r="AL73" s="25"/>
      <c r="AM73" s="25"/>
      <c r="AN73" s="25"/>
      <c r="AO73" s="25"/>
      <c r="AP73" s="25"/>
      <c r="AQ73" s="25"/>
      <c r="AR73" s="25"/>
      <c r="AS73" s="25"/>
      <c r="AT73" s="25"/>
      <c r="AU73" s="25"/>
      <c r="AV73" s="25"/>
      <c r="AW73" s="25"/>
      <c r="AX73" s="25"/>
      <c r="AY73" s="25"/>
      <c r="AZ73" s="25"/>
      <c r="BA73" s="25"/>
    </row>
    <row r="74" spans="1:53" ht="12.75">
      <c r="A74" s="25"/>
      <c r="B74" s="25"/>
      <c r="C74" s="25"/>
      <c r="D74" s="25"/>
      <c r="E74" s="25"/>
      <c r="F74" s="25"/>
      <c r="G74" s="25"/>
      <c r="H74" s="25"/>
      <c r="I74" s="25"/>
      <c r="J74" s="25"/>
      <c r="K74" s="25"/>
      <c r="L74" s="25"/>
      <c r="M74" s="25"/>
      <c r="N74" s="25"/>
      <c r="O74" s="25"/>
      <c r="P74" s="25"/>
      <c r="Q74" s="25"/>
      <c r="R74" s="25"/>
      <c r="S74" s="25"/>
      <c r="T74" s="25"/>
      <c r="U74" s="25"/>
      <c r="V74" s="25"/>
      <c r="W74" s="25"/>
      <c r="X74" s="25"/>
      <c r="Y74" s="25"/>
      <c r="Z74" s="25"/>
      <c r="AA74" s="25"/>
      <c r="AB74" s="25"/>
      <c r="AC74" s="25"/>
      <c r="AD74" s="25"/>
      <c r="AE74" s="25"/>
      <c r="AF74" s="25"/>
      <c r="AG74" s="25"/>
      <c r="AH74" s="25"/>
      <c r="AI74" s="25"/>
      <c r="AJ74" s="25"/>
      <c r="AK74" s="25"/>
      <c r="AL74" s="25"/>
      <c r="AM74" s="25"/>
      <c r="AN74" s="25"/>
      <c r="AO74" s="25"/>
      <c r="AP74" s="25"/>
      <c r="AQ74" s="25"/>
      <c r="AR74" s="25"/>
      <c r="AS74" s="25"/>
      <c r="AT74" s="25"/>
      <c r="AU74" s="25"/>
      <c r="AV74" s="25"/>
      <c r="AW74" s="25"/>
      <c r="AX74" s="25"/>
      <c r="AY74" s="25"/>
      <c r="AZ74" s="25"/>
      <c r="BA74" s="25"/>
    </row>
    <row r="75" spans="1:53" ht="12.75">
      <c r="A75" s="25"/>
      <c r="B75" s="25"/>
      <c r="C75" s="25"/>
      <c r="D75" s="25"/>
      <c r="E75" s="25"/>
      <c r="F75" s="25"/>
      <c r="G75" s="25"/>
      <c r="H75" s="25"/>
      <c r="I75" s="25"/>
      <c r="J75" s="25"/>
      <c r="K75" s="25"/>
      <c r="L75" s="25"/>
      <c r="M75" s="25"/>
      <c r="N75" s="25"/>
      <c r="O75" s="25"/>
      <c r="P75" s="25"/>
      <c r="Q75" s="25"/>
      <c r="R75" s="25"/>
      <c r="S75" s="25"/>
      <c r="T75" s="25"/>
      <c r="U75" s="25"/>
      <c r="V75" s="25"/>
      <c r="W75" s="25"/>
      <c r="X75" s="25"/>
      <c r="Y75" s="25"/>
      <c r="Z75" s="25"/>
      <c r="AA75" s="25"/>
      <c r="AB75" s="25"/>
      <c r="AC75" s="25"/>
      <c r="AD75" s="25"/>
      <c r="AE75" s="25"/>
      <c r="AF75" s="25"/>
      <c r="AG75" s="25"/>
      <c r="AH75" s="25"/>
      <c r="AI75" s="25"/>
      <c r="AJ75" s="25"/>
      <c r="AK75" s="25"/>
      <c r="AL75" s="25"/>
      <c r="AM75" s="25"/>
      <c r="AN75" s="25"/>
      <c r="AO75" s="25"/>
      <c r="AP75" s="25"/>
      <c r="AQ75" s="25"/>
      <c r="AR75" s="25"/>
      <c r="AS75" s="25"/>
      <c r="AT75" s="25"/>
      <c r="AU75" s="25"/>
      <c r="AV75" s="25"/>
      <c r="AW75" s="25"/>
      <c r="AX75" s="25"/>
      <c r="AY75" s="25"/>
      <c r="AZ75" s="25"/>
      <c r="BA75" s="25"/>
    </row>
    <row r="76" spans="1:53" ht="12.75">
      <c r="A76" s="25"/>
      <c r="B76" s="25"/>
      <c r="C76" s="25"/>
      <c r="D76" s="25"/>
      <c r="E76" s="25"/>
      <c r="F76" s="25"/>
      <c r="G76" s="25"/>
      <c r="H76" s="25"/>
      <c r="I76" s="25"/>
      <c r="J76" s="25"/>
      <c r="K76" s="25"/>
      <c r="L76" s="25"/>
      <c r="M76" s="25"/>
      <c r="N76" s="25"/>
      <c r="O76" s="25"/>
      <c r="P76" s="25"/>
      <c r="Q76" s="25"/>
      <c r="R76" s="25"/>
      <c r="S76" s="25"/>
      <c r="T76" s="25"/>
      <c r="U76" s="25"/>
      <c r="V76" s="25"/>
      <c r="W76" s="25"/>
      <c r="X76" s="25"/>
      <c r="Y76" s="25"/>
      <c r="Z76" s="25"/>
      <c r="AA76" s="25"/>
      <c r="AB76" s="25"/>
      <c r="AC76" s="25"/>
      <c r="AD76" s="25"/>
      <c r="AE76" s="25"/>
      <c r="AF76" s="25"/>
      <c r="AG76" s="25"/>
      <c r="AH76" s="25"/>
      <c r="AI76" s="25"/>
      <c r="AJ76" s="25"/>
      <c r="AK76" s="25"/>
      <c r="AL76" s="25"/>
      <c r="AM76" s="25"/>
      <c r="AN76" s="25"/>
      <c r="AO76" s="25"/>
      <c r="AP76" s="25"/>
      <c r="AQ76" s="25"/>
      <c r="AR76" s="25"/>
      <c r="AS76" s="25"/>
      <c r="AT76" s="25"/>
      <c r="AU76" s="25"/>
      <c r="AV76" s="25"/>
      <c r="AW76" s="25"/>
      <c r="AX76" s="25"/>
      <c r="AY76" s="25"/>
      <c r="AZ76" s="25"/>
      <c r="BA76" s="25"/>
    </row>
    <row r="77" spans="1:53" ht="12.75">
      <c r="A77" s="25"/>
      <c r="B77" s="25"/>
      <c r="C77" s="25"/>
      <c r="D77" s="25"/>
      <c r="E77" s="25"/>
      <c r="F77" s="25"/>
      <c r="G77" s="25"/>
      <c r="H77" s="25"/>
      <c r="I77" s="25"/>
      <c r="J77" s="25"/>
      <c r="K77" s="25"/>
      <c r="L77" s="25"/>
      <c r="M77" s="25"/>
      <c r="N77" s="25"/>
      <c r="O77" s="25"/>
      <c r="P77" s="25"/>
      <c r="Q77" s="25"/>
      <c r="R77" s="25"/>
      <c r="S77" s="25"/>
      <c r="T77" s="25"/>
      <c r="U77" s="25"/>
      <c r="V77" s="25"/>
      <c r="W77" s="25"/>
      <c r="X77" s="25"/>
      <c r="Y77" s="25"/>
      <c r="Z77" s="25"/>
      <c r="AA77" s="25"/>
      <c r="AB77" s="25"/>
      <c r="AC77" s="25"/>
      <c r="AD77" s="25"/>
      <c r="AE77" s="25"/>
      <c r="AF77" s="25"/>
      <c r="AG77" s="25"/>
      <c r="AH77" s="25"/>
      <c r="AI77" s="25"/>
      <c r="AJ77" s="25"/>
      <c r="AK77" s="25"/>
      <c r="AL77" s="25"/>
      <c r="AM77" s="25"/>
      <c r="AN77" s="25"/>
      <c r="AO77" s="25"/>
      <c r="AP77" s="25"/>
      <c r="AQ77" s="25"/>
      <c r="AR77" s="25"/>
      <c r="AS77" s="25"/>
      <c r="AT77" s="25"/>
      <c r="AU77" s="25"/>
      <c r="AV77" s="25"/>
      <c r="AW77" s="25"/>
      <c r="AX77" s="25"/>
      <c r="AY77" s="25"/>
      <c r="AZ77" s="25"/>
      <c r="BA77" s="25"/>
    </row>
    <row r="78" spans="1:53" ht="12.75">
      <c r="A78" s="25"/>
      <c r="B78" s="25"/>
      <c r="C78" s="25"/>
      <c r="D78" s="25"/>
      <c r="E78" s="25"/>
      <c r="F78" s="25"/>
      <c r="G78" s="25"/>
      <c r="H78" s="25"/>
      <c r="I78" s="25"/>
      <c r="J78" s="25"/>
      <c r="K78" s="25"/>
      <c r="L78" s="25"/>
      <c r="M78" s="25"/>
      <c r="N78" s="25"/>
      <c r="O78" s="25"/>
      <c r="P78" s="25"/>
      <c r="Q78" s="25"/>
      <c r="R78" s="25"/>
      <c r="S78" s="25"/>
      <c r="T78" s="25"/>
      <c r="U78" s="25"/>
      <c r="V78" s="25"/>
      <c r="W78" s="25"/>
      <c r="X78" s="25"/>
      <c r="Y78" s="25"/>
      <c r="Z78" s="25"/>
      <c r="AA78" s="25"/>
      <c r="AB78" s="25"/>
      <c r="AC78" s="25"/>
      <c r="AD78" s="25"/>
      <c r="AE78" s="25"/>
      <c r="AF78" s="25"/>
      <c r="AG78" s="25"/>
      <c r="AH78" s="25"/>
      <c r="AI78" s="25"/>
      <c r="AJ78" s="25"/>
      <c r="AK78" s="25"/>
      <c r="AL78" s="25"/>
      <c r="AM78" s="25"/>
      <c r="AN78" s="25"/>
      <c r="AO78" s="25"/>
      <c r="AP78" s="25"/>
      <c r="AQ78" s="25"/>
      <c r="AR78" s="25"/>
      <c r="AS78" s="25"/>
      <c r="AT78" s="25"/>
      <c r="AU78" s="25"/>
      <c r="AV78" s="25"/>
      <c r="AW78" s="25"/>
      <c r="AX78" s="25"/>
      <c r="AY78" s="25"/>
      <c r="AZ78" s="25"/>
      <c r="BA78" s="25"/>
    </row>
    <row r="79" spans="1:53" ht="12.75">
      <c r="A79" s="25"/>
      <c r="B79" s="25"/>
      <c r="C79" s="25"/>
      <c r="D79" s="25"/>
      <c r="E79" s="25"/>
      <c r="F79" s="25"/>
      <c r="G79" s="25"/>
      <c r="H79" s="25"/>
      <c r="I79" s="25"/>
      <c r="J79" s="25"/>
      <c r="K79" s="25"/>
      <c r="L79" s="25"/>
      <c r="M79" s="25"/>
      <c r="N79" s="25"/>
      <c r="O79" s="25"/>
      <c r="P79" s="25"/>
      <c r="Q79" s="25"/>
      <c r="R79" s="25"/>
      <c r="S79" s="25"/>
      <c r="T79" s="25"/>
      <c r="U79" s="25"/>
      <c r="V79" s="25"/>
      <c r="W79" s="25"/>
      <c r="X79" s="25"/>
      <c r="Y79" s="25"/>
      <c r="Z79" s="25"/>
      <c r="AA79" s="25"/>
      <c r="AB79" s="25"/>
      <c r="AC79" s="25"/>
      <c r="AD79" s="25"/>
      <c r="AE79" s="25"/>
      <c r="AF79" s="25"/>
      <c r="AG79" s="25"/>
      <c r="AH79" s="25"/>
      <c r="AI79" s="25"/>
      <c r="AJ79" s="25"/>
      <c r="AK79" s="25"/>
      <c r="AL79" s="25"/>
      <c r="AM79" s="25"/>
      <c r="AN79" s="25"/>
      <c r="AO79" s="25"/>
      <c r="AP79" s="25"/>
      <c r="AQ79" s="25"/>
      <c r="AR79" s="25"/>
      <c r="AS79" s="25"/>
      <c r="AT79" s="25"/>
      <c r="AU79" s="25"/>
      <c r="AV79" s="25"/>
      <c r="AW79" s="25"/>
      <c r="AX79" s="25"/>
      <c r="AY79" s="25"/>
      <c r="AZ79" s="25"/>
      <c r="BA79" s="25"/>
    </row>
    <row r="80" spans="1:53" ht="12.75">
      <c r="A80" s="25"/>
      <c r="B80" s="25"/>
      <c r="C80" s="25"/>
      <c r="D80" s="25"/>
      <c r="E80" s="25"/>
      <c r="F80" s="25"/>
      <c r="G80" s="25"/>
      <c r="H80" s="25"/>
      <c r="I80" s="25"/>
      <c r="J80" s="25"/>
      <c r="K80" s="25"/>
      <c r="L80" s="25"/>
      <c r="M80" s="25"/>
      <c r="N80" s="25"/>
      <c r="O80" s="25"/>
      <c r="P80" s="25"/>
      <c r="Q80" s="25"/>
      <c r="R80" s="25"/>
      <c r="S80" s="25"/>
      <c r="T80" s="25"/>
      <c r="U80" s="25"/>
      <c r="V80" s="25"/>
      <c r="W80" s="25"/>
      <c r="X80" s="25"/>
      <c r="Y80" s="25"/>
      <c r="Z80" s="25"/>
      <c r="AA80" s="25"/>
      <c r="AB80" s="25"/>
      <c r="AC80" s="25"/>
      <c r="AD80" s="25"/>
      <c r="AE80" s="25"/>
      <c r="AF80" s="25"/>
      <c r="AG80" s="25"/>
      <c r="AH80" s="25"/>
      <c r="AI80" s="25"/>
      <c r="AJ80" s="25"/>
      <c r="AK80" s="25"/>
      <c r="AL80" s="25"/>
      <c r="AM80" s="25"/>
      <c r="AN80" s="25"/>
      <c r="AO80" s="25"/>
      <c r="AP80" s="25"/>
      <c r="AQ80" s="25"/>
      <c r="AR80" s="25"/>
      <c r="AS80" s="25"/>
      <c r="AT80" s="25"/>
      <c r="AU80" s="25"/>
      <c r="AV80" s="25"/>
      <c r="AW80" s="25"/>
      <c r="AX80" s="25"/>
      <c r="AY80" s="25"/>
      <c r="AZ80" s="25"/>
      <c r="BA80" s="25"/>
    </row>
    <row r="81" spans="1:53" ht="12.75">
      <c r="A81" s="25"/>
      <c r="B81" s="25"/>
      <c r="C81" s="25"/>
      <c r="D81" s="25"/>
      <c r="E81" s="25"/>
      <c r="F81" s="25"/>
      <c r="G81" s="25"/>
      <c r="H81" s="25"/>
      <c r="I81" s="25"/>
      <c r="J81" s="25"/>
      <c r="K81" s="25"/>
      <c r="L81" s="25"/>
      <c r="M81" s="25"/>
      <c r="N81" s="25"/>
      <c r="O81" s="25"/>
      <c r="P81" s="25"/>
      <c r="Q81" s="25"/>
      <c r="R81" s="25"/>
      <c r="S81" s="25"/>
      <c r="T81" s="25"/>
      <c r="U81" s="25"/>
      <c r="V81" s="25"/>
      <c r="W81" s="25"/>
      <c r="X81" s="25"/>
      <c r="Y81" s="25"/>
      <c r="Z81" s="25"/>
      <c r="AA81" s="25"/>
      <c r="AB81" s="25"/>
      <c r="AC81" s="25"/>
      <c r="AD81" s="25"/>
      <c r="AE81" s="25"/>
      <c r="AF81" s="25"/>
      <c r="AG81" s="25"/>
      <c r="AH81" s="25"/>
      <c r="AI81" s="25"/>
      <c r="AJ81" s="25"/>
      <c r="AK81" s="25"/>
      <c r="AL81" s="25"/>
      <c r="AM81" s="25"/>
      <c r="AN81" s="25"/>
      <c r="AO81" s="25"/>
      <c r="AP81" s="25"/>
      <c r="AQ81" s="25"/>
      <c r="AR81" s="25"/>
      <c r="AS81" s="25"/>
      <c r="AT81" s="25"/>
      <c r="AU81" s="25"/>
      <c r="AV81" s="25"/>
      <c r="AW81" s="25"/>
      <c r="AX81" s="25"/>
      <c r="AY81" s="25"/>
      <c r="AZ81" s="25"/>
      <c r="BA81" s="25"/>
    </row>
    <row r="82" spans="1:53" ht="12.75">
      <c r="A82" s="25"/>
      <c r="B82" s="25"/>
      <c r="C82" s="25"/>
      <c r="D82" s="25"/>
      <c r="E82" s="25"/>
      <c r="F82" s="25"/>
      <c r="G82" s="25"/>
      <c r="H82" s="25"/>
      <c r="I82" s="25"/>
      <c r="J82" s="25"/>
      <c r="K82" s="25"/>
      <c r="L82" s="25"/>
      <c r="M82" s="25"/>
      <c r="N82" s="25"/>
      <c r="O82" s="25"/>
      <c r="P82" s="25"/>
      <c r="Q82" s="25"/>
      <c r="R82" s="25"/>
      <c r="S82" s="25"/>
      <c r="T82" s="25"/>
      <c r="U82" s="25"/>
      <c r="V82" s="25"/>
      <c r="W82" s="25"/>
      <c r="X82" s="25"/>
      <c r="Y82" s="25"/>
      <c r="Z82" s="25"/>
      <c r="AA82" s="25"/>
      <c r="AB82" s="25"/>
      <c r="AC82" s="25"/>
      <c r="AD82" s="25"/>
      <c r="AE82" s="25"/>
      <c r="AF82" s="25"/>
      <c r="AG82" s="25"/>
      <c r="AH82" s="25"/>
      <c r="AI82" s="25"/>
      <c r="AJ82" s="25"/>
      <c r="AK82" s="25"/>
      <c r="AL82" s="25"/>
      <c r="AM82" s="25"/>
      <c r="AN82" s="25"/>
      <c r="AO82" s="25"/>
      <c r="AP82" s="25"/>
      <c r="AQ82" s="25"/>
      <c r="AR82" s="25"/>
      <c r="AS82" s="25"/>
      <c r="AT82" s="25"/>
      <c r="AU82" s="25"/>
      <c r="AV82" s="25"/>
      <c r="AW82" s="25"/>
      <c r="AX82" s="25"/>
      <c r="AY82" s="25"/>
      <c r="AZ82" s="25"/>
      <c r="BA82" s="25"/>
    </row>
    <row r="83" spans="1:53" ht="12.75">
      <c r="A83" s="25"/>
      <c r="B83" s="25"/>
      <c r="C83" s="25"/>
      <c r="D83" s="25"/>
      <c r="E83" s="25"/>
      <c r="F83" s="25"/>
      <c r="G83" s="25"/>
      <c r="H83" s="25"/>
      <c r="I83" s="25"/>
      <c r="J83" s="25"/>
      <c r="K83" s="25"/>
      <c r="L83" s="25"/>
      <c r="M83" s="25"/>
      <c r="N83" s="25"/>
      <c r="O83" s="25"/>
      <c r="P83" s="25"/>
      <c r="Q83" s="25"/>
      <c r="R83" s="25"/>
      <c r="S83" s="25"/>
      <c r="T83" s="25"/>
      <c r="U83" s="25"/>
      <c r="V83" s="25"/>
      <c r="W83" s="25"/>
      <c r="X83" s="25"/>
      <c r="Y83" s="25"/>
      <c r="Z83" s="25"/>
      <c r="AA83" s="25"/>
      <c r="AB83" s="25"/>
      <c r="AC83" s="25"/>
      <c r="AD83" s="25"/>
      <c r="AE83" s="25"/>
      <c r="AF83" s="25"/>
      <c r="AG83" s="25"/>
      <c r="AH83" s="25"/>
      <c r="AI83" s="25"/>
      <c r="AJ83" s="25"/>
      <c r="AK83" s="25"/>
      <c r="AL83" s="25"/>
      <c r="AM83" s="25"/>
      <c r="AN83" s="25"/>
      <c r="AO83" s="25"/>
      <c r="AP83" s="25"/>
      <c r="AQ83" s="25"/>
      <c r="AR83" s="25"/>
      <c r="AS83" s="25"/>
      <c r="AT83" s="25"/>
      <c r="AU83" s="25"/>
      <c r="AV83" s="25"/>
      <c r="AW83" s="25"/>
      <c r="AX83" s="25"/>
      <c r="AY83" s="25"/>
      <c r="AZ83" s="25"/>
      <c r="BA83" s="25"/>
    </row>
    <row r="84" spans="1:53" ht="12.75">
      <c r="A84" s="25"/>
      <c r="B84" s="25"/>
      <c r="C84" s="25"/>
      <c r="D84" s="25"/>
      <c r="E84" s="25"/>
      <c r="F84" s="25"/>
      <c r="G84" s="25"/>
      <c r="H84" s="25"/>
      <c r="I84" s="25"/>
      <c r="J84" s="25"/>
      <c r="K84" s="25"/>
      <c r="L84" s="25"/>
      <c r="M84" s="25"/>
      <c r="N84" s="25"/>
      <c r="O84" s="25"/>
      <c r="P84" s="25"/>
      <c r="Q84" s="25"/>
      <c r="R84" s="25"/>
      <c r="S84" s="25"/>
      <c r="T84" s="25"/>
      <c r="U84" s="25"/>
      <c r="V84" s="25"/>
      <c r="W84" s="25"/>
      <c r="X84" s="25"/>
      <c r="Y84" s="25"/>
      <c r="Z84" s="25"/>
      <c r="AA84" s="25"/>
      <c r="AB84" s="25"/>
      <c r="AC84" s="25"/>
      <c r="AD84" s="25"/>
      <c r="AE84" s="25"/>
      <c r="AF84" s="25"/>
      <c r="AG84" s="25"/>
      <c r="AH84" s="25"/>
      <c r="AI84" s="25"/>
      <c r="AJ84" s="25"/>
      <c r="AK84" s="25"/>
      <c r="AL84" s="25"/>
      <c r="AM84" s="25"/>
      <c r="AN84" s="25"/>
      <c r="AO84" s="25"/>
      <c r="AP84" s="25"/>
      <c r="AQ84" s="25"/>
      <c r="AR84" s="25"/>
      <c r="AS84" s="25"/>
      <c r="AT84" s="25"/>
      <c r="AU84" s="25"/>
      <c r="AV84" s="25"/>
      <c r="AW84" s="25"/>
      <c r="AX84" s="25"/>
      <c r="AY84" s="25"/>
      <c r="AZ84" s="25"/>
      <c r="BA84" s="25"/>
    </row>
    <row r="85" spans="1:53" ht="12.75">
      <c r="A85" s="25"/>
      <c r="B85" s="25"/>
      <c r="C85" s="25"/>
      <c r="D85" s="25"/>
      <c r="E85" s="25"/>
      <c r="F85" s="25"/>
      <c r="G85" s="25"/>
      <c r="H85" s="25"/>
      <c r="I85" s="25"/>
      <c r="J85" s="25"/>
      <c r="K85" s="25"/>
      <c r="L85" s="25"/>
      <c r="M85" s="25"/>
      <c r="N85" s="25"/>
      <c r="O85" s="25"/>
      <c r="P85" s="25"/>
      <c r="Q85" s="25"/>
      <c r="R85" s="25"/>
      <c r="S85" s="25"/>
      <c r="T85" s="25"/>
      <c r="U85" s="25"/>
      <c r="V85" s="25"/>
      <c r="W85" s="25"/>
      <c r="X85" s="25"/>
      <c r="Y85" s="25"/>
      <c r="Z85" s="25"/>
      <c r="AA85" s="25"/>
      <c r="AB85" s="25"/>
      <c r="AC85" s="25"/>
      <c r="AD85" s="25"/>
      <c r="AE85" s="25"/>
      <c r="AF85" s="25"/>
      <c r="AG85" s="25"/>
      <c r="AH85" s="25"/>
      <c r="AI85" s="25"/>
      <c r="AJ85" s="25"/>
      <c r="AK85" s="25"/>
      <c r="AL85" s="25"/>
      <c r="AM85" s="25"/>
      <c r="AN85" s="25"/>
      <c r="AO85" s="25"/>
      <c r="AP85" s="25"/>
      <c r="AQ85" s="25"/>
      <c r="AR85" s="25"/>
      <c r="AS85" s="25"/>
      <c r="AT85" s="25"/>
      <c r="AU85" s="25"/>
      <c r="AV85" s="25"/>
      <c r="AW85" s="25"/>
      <c r="AX85" s="25"/>
      <c r="AY85" s="25"/>
      <c r="AZ85" s="25"/>
      <c r="BA85" s="25"/>
    </row>
    <row r="86" spans="1:53" ht="12.75">
      <c r="A86" s="25"/>
      <c r="B86" s="25"/>
      <c r="C86" s="25"/>
      <c r="D86" s="25"/>
      <c r="E86" s="25"/>
      <c r="F86" s="25"/>
      <c r="G86" s="25"/>
      <c r="H86" s="25"/>
      <c r="I86" s="25"/>
      <c r="J86" s="25"/>
      <c r="K86" s="25"/>
      <c r="L86" s="25"/>
      <c r="M86" s="25"/>
      <c r="N86" s="25"/>
      <c r="O86" s="25"/>
      <c r="P86" s="25"/>
      <c r="Q86" s="25"/>
      <c r="R86" s="25"/>
      <c r="S86" s="25"/>
      <c r="T86" s="25"/>
      <c r="U86" s="25"/>
      <c r="V86" s="25"/>
      <c r="W86" s="25"/>
      <c r="X86" s="25"/>
      <c r="Y86" s="25"/>
      <c r="Z86" s="25"/>
      <c r="AA86" s="25"/>
      <c r="AB86" s="25"/>
      <c r="AC86" s="25"/>
      <c r="AD86" s="25"/>
      <c r="AE86" s="25"/>
      <c r="AF86" s="25"/>
      <c r="AG86" s="25"/>
      <c r="AH86" s="25"/>
      <c r="AI86" s="25"/>
      <c r="AJ86" s="25"/>
      <c r="AK86" s="25"/>
      <c r="AL86" s="25"/>
      <c r="AM86" s="25"/>
      <c r="AN86" s="25"/>
      <c r="AO86" s="25"/>
      <c r="AP86" s="25"/>
      <c r="AQ86" s="25"/>
      <c r="AR86" s="25"/>
      <c r="AS86" s="25"/>
      <c r="AT86" s="25"/>
      <c r="AU86" s="25"/>
      <c r="AV86" s="25"/>
      <c r="AW86" s="25"/>
      <c r="AX86" s="25"/>
      <c r="AY86" s="25"/>
      <c r="AZ86" s="25"/>
      <c r="BA86" s="25"/>
    </row>
    <row r="87" spans="1:53" ht="12.75">
      <c r="A87" s="25"/>
      <c r="B87" s="25"/>
      <c r="C87" s="25"/>
      <c r="D87" s="25"/>
      <c r="E87" s="25"/>
      <c r="F87" s="25"/>
      <c r="G87" s="25"/>
      <c r="H87" s="25"/>
      <c r="I87" s="25"/>
      <c r="J87" s="25"/>
      <c r="K87" s="25"/>
      <c r="L87" s="25"/>
      <c r="M87" s="25"/>
      <c r="N87" s="25"/>
      <c r="O87" s="25"/>
      <c r="P87" s="25"/>
      <c r="Q87" s="25"/>
      <c r="R87" s="25"/>
      <c r="S87" s="25"/>
      <c r="T87" s="25"/>
      <c r="U87" s="25"/>
      <c r="V87" s="25"/>
      <c r="W87" s="25"/>
      <c r="X87" s="25"/>
      <c r="Y87" s="25"/>
      <c r="Z87" s="25"/>
      <c r="AA87" s="25"/>
      <c r="AB87" s="25"/>
      <c r="AC87" s="25"/>
      <c r="AD87" s="25"/>
      <c r="AE87" s="25"/>
      <c r="AF87" s="25"/>
      <c r="AG87" s="25"/>
      <c r="AH87" s="25"/>
      <c r="AI87" s="25"/>
      <c r="AJ87" s="25"/>
      <c r="AK87" s="25"/>
      <c r="AL87" s="25"/>
      <c r="AM87" s="25"/>
      <c r="AN87" s="25"/>
      <c r="AO87" s="25"/>
      <c r="AP87" s="25"/>
      <c r="AQ87" s="25"/>
      <c r="AR87" s="25"/>
      <c r="AS87" s="25"/>
      <c r="AT87" s="25"/>
      <c r="AU87" s="25"/>
      <c r="AV87" s="25"/>
      <c r="AW87" s="25"/>
      <c r="AX87" s="25"/>
      <c r="AY87" s="25"/>
      <c r="AZ87" s="25"/>
      <c r="BA87" s="25"/>
    </row>
    <row r="88" spans="1:53" ht="12.75">
      <c r="A88" s="25"/>
      <c r="B88" s="25"/>
      <c r="C88" s="25"/>
      <c r="D88" s="25"/>
      <c r="E88" s="25"/>
      <c r="F88" s="25"/>
      <c r="G88" s="25"/>
      <c r="H88" s="25"/>
      <c r="I88" s="25"/>
      <c r="J88" s="25"/>
      <c r="K88" s="25"/>
      <c r="L88" s="25"/>
      <c r="M88" s="25"/>
      <c r="N88" s="25"/>
      <c r="O88" s="25"/>
      <c r="P88" s="25"/>
      <c r="Q88" s="25"/>
      <c r="R88" s="25"/>
      <c r="S88" s="25"/>
      <c r="T88" s="25"/>
      <c r="U88" s="25"/>
      <c r="V88" s="25"/>
      <c r="W88" s="25"/>
      <c r="X88" s="25"/>
      <c r="Y88" s="25"/>
      <c r="Z88" s="25"/>
      <c r="AA88" s="25"/>
      <c r="AB88" s="25"/>
      <c r="AC88" s="25"/>
      <c r="AD88" s="25"/>
      <c r="AE88" s="25"/>
      <c r="AF88" s="25"/>
      <c r="AG88" s="25"/>
      <c r="AH88" s="25"/>
      <c r="AI88" s="25"/>
      <c r="AJ88" s="25"/>
      <c r="AK88" s="25"/>
      <c r="AL88" s="25"/>
      <c r="AM88" s="25"/>
      <c r="AN88" s="25"/>
      <c r="AO88" s="25"/>
      <c r="AP88" s="25"/>
      <c r="AQ88" s="25"/>
      <c r="AR88" s="25"/>
      <c r="AS88" s="25"/>
      <c r="AT88" s="25"/>
      <c r="AU88" s="25"/>
      <c r="AV88" s="25"/>
      <c r="AW88" s="25"/>
      <c r="AX88" s="25"/>
      <c r="AY88" s="25"/>
      <c r="AZ88" s="25"/>
      <c r="BA88" s="25"/>
    </row>
    <row r="89" spans="1:53" ht="12.75">
      <c r="A89" s="25"/>
      <c r="B89" s="25"/>
      <c r="C89" s="25"/>
      <c r="D89" s="25"/>
      <c r="E89" s="25"/>
      <c r="F89" s="25"/>
      <c r="G89" s="25"/>
      <c r="H89" s="25"/>
      <c r="I89" s="25"/>
      <c r="J89" s="25"/>
      <c r="K89" s="25"/>
      <c r="L89" s="25"/>
      <c r="M89" s="25"/>
      <c r="N89" s="25"/>
      <c r="O89" s="25"/>
      <c r="P89" s="25"/>
      <c r="Q89" s="25"/>
      <c r="R89" s="25"/>
      <c r="S89" s="25"/>
      <c r="T89" s="25"/>
      <c r="U89" s="25"/>
      <c r="V89" s="25"/>
      <c r="W89" s="25"/>
      <c r="X89" s="25"/>
      <c r="Y89" s="25"/>
      <c r="Z89" s="25"/>
      <c r="AA89" s="25"/>
      <c r="AB89" s="25"/>
      <c r="AC89" s="25"/>
      <c r="AD89" s="25"/>
      <c r="AE89" s="25"/>
      <c r="AF89" s="25"/>
      <c r="AG89" s="25"/>
      <c r="AH89" s="25"/>
      <c r="AI89" s="25"/>
      <c r="AJ89" s="25"/>
      <c r="AK89" s="25"/>
      <c r="AL89" s="25"/>
      <c r="AM89" s="25"/>
      <c r="AN89" s="25"/>
      <c r="AO89" s="25"/>
      <c r="AP89" s="25"/>
      <c r="AQ89" s="25"/>
      <c r="AR89" s="25"/>
      <c r="AS89" s="25"/>
      <c r="AT89" s="25"/>
      <c r="AU89" s="25"/>
      <c r="AV89" s="25"/>
      <c r="AW89" s="25"/>
      <c r="AX89" s="25"/>
      <c r="AY89" s="25"/>
      <c r="AZ89" s="25"/>
      <c r="BA89" s="25"/>
    </row>
    <row r="90" spans="1:53" ht="12.75">
      <c r="A90" s="25"/>
      <c r="B90" s="25"/>
      <c r="C90" s="25"/>
      <c r="D90" s="25"/>
      <c r="E90" s="25"/>
      <c r="F90" s="25"/>
      <c r="G90" s="25"/>
      <c r="H90" s="25"/>
      <c r="I90" s="25"/>
      <c r="J90" s="25"/>
      <c r="K90" s="25"/>
      <c r="L90" s="25"/>
      <c r="M90" s="25"/>
      <c r="N90" s="25"/>
      <c r="O90" s="25"/>
      <c r="P90" s="25"/>
      <c r="Q90" s="25"/>
      <c r="R90" s="25"/>
      <c r="S90" s="25"/>
      <c r="T90" s="25"/>
      <c r="U90" s="25"/>
      <c r="V90" s="25"/>
      <c r="W90" s="25"/>
      <c r="X90" s="25"/>
      <c r="Y90" s="25"/>
      <c r="Z90" s="25"/>
      <c r="AA90" s="25"/>
      <c r="AB90" s="25"/>
      <c r="AC90" s="25"/>
      <c r="AD90" s="25"/>
      <c r="AE90" s="25"/>
      <c r="AF90" s="25"/>
      <c r="AG90" s="25"/>
      <c r="AH90" s="25"/>
      <c r="AI90" s="25"/>
      <c r="AJ90" s="25"/>
      <c r="AK90" s="25"/>
      <c r="AL90" s="25"/>
      <c r="AM90" s="25"/>
      <c r="AN90" s="25"/>
      <c r="AO90" s="25"/>
      <c r="AP90" s="25"/>
      <c r="AQ90" s="25"/>
      <c r="AR90" s="25"/>
      <c r="AS90" s="25"/>
      <c r="AT90" s="25"/>
      <c r="AU90" s="25"/>
      <c r="AV90" s="25"/>
      <c r="AW90" s="25"/>
      <c r="AX90" s="25"/>
      <c r="AY90" s="25"/>
      <c r="AZ90" s="25"/>
      <c r="BA90" s="25"/>
    </row>
    <row r="91" spans="1:53" ht="12.75">
      <c r="A91" s="25"/>
      <c r="B91" s="25"/>
      <c r="C91" s="25"/>
      <c r="D91" s="25"/>
      <c r="E91" s="25"/>
      <c r="F91" s="25"/>
      <c r="G91" s="25"/>
      <c r="H91" s="25"/>
      <c r="I91" s="25"/>
      <c r="J91" s="25"/>
      <c r="K91" s="25"/>
      <c r="L91" s="25"/>
      <c r="M91" s="25"/>
      <c r="N91" s="25"/>
      <c r="O91" s="25"/>
      <c r="P91" s="25"/>
      <c r="Q91" s="25"/>
      <c r="R91" s="25"/>
      <c r="S91" s="25"/>
      <c r="T91" s="25"/>
      <c r="U91" s="25"/>
      <c r="V91" s="25"/>
      <c r="W91" s="25"/>
      <c r="X91" s="25"/>
      <c r="Y91" s="25"/>
      <c r="Z91" s="25"/>
      <c r="AA91" s="25"/>
      <c r="AB91" s="25"/>
      <c r="AC91" s="25"/>
      <c r="AD91" s="25"/>
      <c r="AE91" s="25"/>
      <c r="AF91" s="25"/>
      <c r="AG91" s="25"/>
      <c r="AH91" s="25"/>
      <c r="AI91" s="25"/>
      <c r="AJ91" s="25"/>
      <c r="AK91" s="25"/>
      <c r="AL91" s="25"/>
      <c r="AM91" s="25"/>
      <c r="AN91" s="25"/>
      <c r="AO91" s="25"/>
      <c r="AP91" s="25"/>
      <c r="AQ91" s="25"/>
      <c r="AR91" s="25"/>
      <c r="AS91" s="25"/>
      <c r="AT91" s="25"/>
      <c r="AU91" s="25"/>
      <c r="AV91" s="25"/>
      <c r="AW91" s="25"/>
      <c r="AX91" s="25"/>
      <c r="AY91" s="25"/>
      <c r="AZ91" s="25"/>
      <c r="BA91" s="25"/>
    </row>
    <row r="92" spans="1:53" ht="12.75">
      <c r="A92" s="25"/>
      <c r="B92" s="25"/>
      <c r="C92" s="25"/>
      <c r="D92" s="25"/>
      <c r="E92" s="25"/>
      <c r="F92" s="25"/>
      <c r="G92" s="25"/>
      <c r="H92" s="25"/>
      <c r="I92" s="25"/>
      <c r="J92" s="25"/>
      <c r="K92" s="25"/>
      <c r="L92" s="25"/>
      <c r="M92" s="25"/>
      <c r="N92" s="25"/>
      <c r="O92" s="25"/>
      <c r="P92" s="25"/>
      <c r="Q92" s="25"/>
      <c r="R92" s="25"/>
      <c r="S92" s="25"/>
      <c r="T92" s="25"/>
      <c r="U92" s="25"/>
      <c r="V92" s="25"/>
      <c r="W92" s="25"/>
      <c r="X92" s="25"/>
      <c r="Y92" s="25"/>
      <c r="Z92" s="25"/>
      <c r="AA92" s="25"/>
      <c r="AB92" s="25"/>
      <c r="AC92" s="25"/>
      <c r="AD92" s="25"/>
      <c r="AE92" s="25"/>
      <c r="AF92" s="25"/>
      <c r="AG92" s="25"/>
      <c r="AH92" s="25"/>
      <c r="AI92" s="25"/>
      <c r="AJ92" s="25"/>
      <c r="AK92" s="25"/>
      <c r="AL92" s="25"/>
      <c r="AM92" s="25"/>
      <c r="AN92" s="25"/>
      <c r="AO92" s="25"/>
      <c r="AP92" s="25"/>
      <c r="AQ92" s="25"/>
      <c r="AR92" s="25"/>
      <c r="AS92" s="25"/>
      <c r="AT92" s="25"/>
      <c r="AU92" s="25"/>
      <c r="AV92" s="25"/>
      <c r="AW92" s="25"/>
      <c r="AX92" s="25"/>
      <c r="AY92" s="25"/>
      <c r="AZ92" s="25"/>
      <c r="BA92" s="25"/>
    </row>
    <row r="93" spans="1:53" ht="12.75">
      <c r="A93" s="25"/>
      <c r="B93" s="25"/>
      <c r="C93" s="25"/>
      <c r="D93" s="25"/>
      <c r="E93" s="25"/>
      <c r="F93" s="25"/>
      <c r="G93" s="25"/>
      <c r="H93" s="25"/>
      <c r="I93" s="25"/>
      <c r="J93" s="25"/>
      <c r="K93" s="25"/>
      <c r="L93" s="25"/>
      <c r="M93" s="25"/>
      <c r="N93" s="25"/>
      <c r="O93" s="25"/>
      <c r="P93" s="25"/>
      <c r="Q93" s="25"/>
      <c r="R93" s="25"/>
      <c r="S93" s="25"/>
      <c r="T93" s="25"/>
      <c r="U93" s="25"/>
      <c r="V93" s="25"/>
      <c r="W93" s="25"/>
      <c r="X93" s="25"/>
      <c r="Y93" s="25"/>
      <c r="Z93" s="25"/>
      <c r="AA93" s="25"/>
      <c r="AB93" s="25"/>
      <c r="AC93" s="25"/>
      <c r="AD93" s="25"/>
      <c r="AE93" s="25"/>
      <c r="AF93" s="25"/>
      <c r="AG93" s="25"/>
      <c r="AH93" s="25"/>
      <c r="AI93" s="25"/>
      <c r="AJ93" s="25"/>
      <c r="AK93" s="25"/>
      <c r="AL93" s="25"/>
      <c r="AM93" s="25"/>
      <c r="AN93" s="25"/>
      <c r="AO93" s="25"/>
      <c r="AP93" s="25"/>
      <c r="AQ93" s="25"/>
      <c r="AR93" s="25"/>
      <c r="AS93" s="25"/>
      <c r="AT93" s="25"/>
      <c r="AU93" s="25"/>
      <c r="AV93" s="25"/>
      <c r="AW93" s="25"/>
      <c r="AX93" s="25"/>
      <c r="AY93" s="25"/>
      <c r="AZ93" s="25"/>
      <c r="BA93" s="25"/>
    </row>
    <row r="94" spans="1:53" ht="12.75">
      <c r="A94" s="25"/>
      <c r="B94" s="25"/>
      <c r="C94" s="25"/>
      <c r="D94" s="25"/>
      <c r="E94" s="25"/>
      <c r="F94" s="25"/>
      <c r="G94" s="25"/>
      <c r="H94" s="25"/>
      <c r="I94" s="25"/>
      <c r="J94" s="25"/>
      <c r="K94" s="25"/>
      <c r="L94" s="25"/>
      <c r="M94" s="25"/>
      <c r="N94" s="25"/>
      <c r="O94" s="25"/>
      <c r="P94" s="25"/>
      <c r="Q94" s="25"/>
      <c r="R94" s="25"/>
      <c r="S94" s="25"/>
      <c r="T94" s="25"/>
      <c r="U94" s="25"/>
      <c r="V94" s="25"/>
      <c r="W94" s="25"/>
      <c r="X94" s="25"/>
      <c r="Y94" s="25"/>
      <c r="Z94" s="25"/>
      <c r="AA94" s="25"/>
      <c r="AB94" s="25"/>
      <c r="AC94" s="25"/>
      <c r="AD94" s="25"/>
      <c r="AE94" s="25"/>
      <c r="AF94" s="25"/>
      <c r="AG94" s="25"/>
      <c r="AH94" s="25"/>
      <c r="AI94" s="25"/>
      <c r="AJ94" s="25"/>
      <c r="AK94" s="25"/>
      <c r="AL94" s="25"/>
      <c r="AM94" s="25"/>
      <c r="AN94" s="25"/>
      <c r="AO94" s="25"/>
      <c r="AP94" s="25"/>
      <c r="AQ94" s="25"/>
      <c r="AR94" s="25"/>
      <c r="AS94" s="25"/>
      <c r="AT94" s="25"/>
      <c r="AU94" s="25"/>
      <c r="AV94" s="25"/>
      <c r="AW94" s="25"/>
      <c r="AX94" s="25"/>
      <c r="AY94" s="25"/>
      <c r="AZ94" s="25"/>
      <c r="BA94" s="25"/>
    </row>
    <row r="95" spans="1:53" ht="12.75">
      <c r="A95" s="25"/>
      <c r="B95" s="25"/>
      <c r="C95" s="25"/>
      <c r="D95" s="25"/>
      <c r="E95" s="25"/>
      <c r="F95" s="25"/>
      <c r="G95" s="25"/>
      <c r="H95" s="25"/>
      <c r="I95" s="25"/>
      <c r="J95" s="25"/>
      <c r="K95" s="25"/>
      <c r="L95" s="25"/>
      <c r="M95" s="25"/>
      <c r="N95" s="25"/>
      <c r="O95" s="25"/>
      <c r="P95" s="25"/>
      <c r="Q95" s="25"/>
      <c r="R95" s="25"/>
      <c r="S95" s="25"/>
      <c r="T95" s="25"/>
      <c r="U95" s="25"/>
      <c r="V95" s="25"/>
      <c r="W95" s="25"/>
      <c r="X95" s="25"/>
      <c r="Y95" s="25"/>
      <c r="Z95" s="25"/>
      <c r="AA95" s="25"/>
      <c r="AB95" s="25"/>
      <c r="AC95" s="25"/>
      <c r="AD95" s="25"/>
      <c r="AE95" s="25"/>
      <c r="AF95" s="25"/>
      <c r="AG95" s="25"/>
      <c r="AH95" s="25"/>
      <c r="AI95" s="25"/>
      <c r="AJ95" s="25"/>
      <c r="AK95" s="25"/>
      <c r="AL95" s="25"/>
      <c r="AM95" s="25"/>
      <c r="AN95" s="25"/>
      <c r="AO95" s="25"/>
      <c r="AP95" s="25"/>
      <c r="AQ95" s="25"/>
      <c r="AR95" s="25"/>
      <c r="AS95" s="25"/>
      <c r="AT95" s="25"/>
      <c r="AU95" s="25"/>
      <c r="AV95" s="25"/>
      <c r="AW95" s="25"/>
      <c r="AX95" s="25"/>
      <c r="AY95" s="25"/>
      <c r="AZ95" s="25"/>
      <c r="BA95" s="25"/>
    </row>
    <row r="96" spans="1:53" ht="12.75">
      <c r="A96" s="25"/>
      <c r="B96" s="25"/>
      <c r="C96" s="25"/>
      <c r="D96" s="25"/>
      <c r="E96" s="25"/>
      <c r="F96" s="25"/>
      <c r="G96" s="25"/>
      <c r="H96" s="25"/>
      <c r="I96" s="25"/>
      <c r="J96" s="25"/>
      <c r="K96" s="25"/>
      <c r="L96" s="25"/>
      <c r="M96" s="25"/>
      <c r="N96" s="25"/>
      <c r="O96" s="25"/>
      <c r="P96" s="25"/>
      <c r="Q96" s="25"/>
      <c r="R96" s="25"/>
      <c r="S96" s="25"/>
      <c r="T96" s="25"/>
      <c r="U96" s="25"/>
      <c r="V96" s="25"/>
      <c r="W96" s="25"/>
      <c r="X96" s="25"/>
      <c r="Y96" s="25"/>
      <c r="Z96" s="25"/>
      <c r="AA96" s="25"/>
      <c r="AB96" s="25"/>
      <c r="AC96" s="25"/>
      <c r="AD96" s="25"/>
      <c r="AE96" s="25"/>
      <c r="AF96" s="25"/>
      <c r="AG96" s="25"/>
      <c r="AH96" s="25"/>
      <c r="AI96" s="25"/>
      <c r="AJ96" s="25"/>
      <c r="AK96" s="25"/>
      <c r="AL96" s="25"/>
      <c r="AM96" s="25"/>
      <c r="AN96" s="25"/>
      <c r="AO96" s="25"/>
      <c r="AP96" s="25"/>
      <c r="AQ96" s="25"/>
      <c r="AR96" s="25"/>
      <c r="AS96" s="25"/>
      <c r="AT96" s="25"/>
      <c r="AU96" s="25"/>
      <c r="AV96" s="25"/>
      <c r="AW96" s="25"/>
      <c r="AX96" s="25"/>
      <c r="AY96" s="25"/>
      <c r="AZ96" s="25"/>
      <c r="BA96" s="25"/>
    </row>
    <row r="97" spans="1:53" ht="12.75">
      <c r="A97" s="25"/>
      <c r="B97" s="25"/>
      <c r="C97" s="25"/>
      <c r="D97" s="25"/>
      <c r="E97" s="25"/>
      <c r="F97" s="25"/>
      <c r="G97" s="25"/>
      <c r="H97" s="25"/>
      <c r="I97" s="25"/>
      <c r="J97" s="25"/>
      <c r="K97" s="25"/>
      <c r="L97" s="25"/>
      <c r="M97" s="25"/>
      <c r="N97" s="25"/>
      <c r="O97" s="25"/>
      <c r="P97" s="25"/>
      <c r="Q97" s="25"/>
      <c r="R97" s="25"/>
      <c r="S97" s="25"/>
      <c r="T97" s="25"/>
      <c r="U97" s="25"/>
      <c r="V97" s="25"/>
      <c r="W97" s="25"/>
      <c r="X97" s="25"/>
      <c r="Y97" s="25"/>
      <c r="Z97" s="25"/>
      <c r="AA97" s="25"/>
      <c r="AB97" s="25"/>
      <c r="AC97" s="25"/>
      <c r="AD97" s="25"/>
      <c r="AE97" s="25"/>
      <c r="AF97" s="25"/>
      <c r="AG97" s="25"/>
      <c r="AH97" s="25"/>
      <c r="AI97" s="25"/>
      <c r="AJ97" s="25"/>
      <c r="AK97" s="25"/>
      <c r="AL97" s="25"/>
      <c r="AM97" s="25"/>
      <c r="AN97" s="25"/>
      <c r="AO97" s="25"/>
      <c r="AP97" s="25"/>
      <c r="AQ97" s="25"/>
      <c r="AR97" s="25"/>
      <c r="AS97" s="25"/>
      <c r="AT97" s="25"/>
      <c r="AU97" s="25"/>
      <c r="AV97" s="25"/>
      <c r="AW97" s="25"/>
      <c r="AX97" s="25"/>
      <c r="AY97" s="25"/>
      <c r="AZ97" s="25"/>
      <c r="BA97" s="25"/>
    </row>
    <row r="98" spans="1:53" ht="12.75">
      <c r="A98" s="25"/>
      <c r="B98" s="25"/>
      <c r="C98" s="25"/>
      <c r="D98" s="25"/>
      <c r="E98" s="25"/>
      <c r="F98" s="25"/>
      <c r="G98" s="25"/>
      <c r="H98" s="25"/>
      <c r="I98" s="25"/>
      <c r="J98" s="25"/>
      <c r="K98" s="25"/>
      <c r="L98" s="25"/>
      <c r="M98" s="25"/>
      <c r="N98" s="25"/>
      <c r="O98" s="25"/>
      <c r="P98" s="25"/>
      <c r="Q98" s="25"/>
      <c r="R98" s="25"/>
      <c r="S98" s="25"/>
      <c r="T98" s="25"/>
      <c r="U98" s="25"/>
      <c r="V98" s="25"/>
      <c r="W98" s="25"/>
      <c r="X98" s="25"/>
      <c r="Y98" s="25"/>
      <c r="Z98" s="25"/>
      <c r="AA98" s="25"/>
      <c r="AB98" s="25"/>
      <c r="AC98" s="25"/>
      <c r="AD98" s="25"/>
      <c r="AE98" s="25"/>
      <c r="AF98" s="25"/>
      <c r="AG98" s="25"/>
      <c r="AH98" s="25"/>
      <c r="AI98" s="25"/>
      <c r="AJ98" s="25"/>
      <c r="AK98" s="25"/>
      <c r="AL98" s="25"/>
      <c r="AM98" s="25"/>
      <c r="AN98" s="25"/>
      <c r="AO98" s="25"/>
      <c r="AP98" s="25"/>
      <c r="AQ98" s="25"/>
      <c r="AR98" s="25"/>
      <c r="AS98" s="25"/>
      <c r="AT98" s="25"/>
      <c r="AU98" s="25"/>
      <c r="AV98" s="25"/>
      <c r="AW98" s="25"/>
      <c r="AX98" s="25"/>
      <c r="AY98" s="25"/>
      <c r="AZ98" s="25"/>
      <c r="BA98" s="25"/>
    </row>
    <row r="99" spans="1:53" ht="12.75">
      <c r="A99" s="25"/>
      <c r="B99" s="25"/>
      <c r="C99" s="25"/>
      <c r="D99" s="25"/>
      <c r="E99" s="25"/>
      <c r="F99" s="25"/>
      <c r="G99" s="25"/>
      <c r="H99" s="25"/>
      <c r="I99" s="25"/>
      <c r="J99" s="25"/>
      <c r="K99" s="25"/>
      <c r="L99" s="25"/>
      <c r="M99" s="25"/>
      <c r="N99" s="25"/>
      <c r="O99" s="25"/>
      <c r="P99" s="25"/>
      <c r="Q99" s="25"/>
      <c r="R99" s="25"/>
      <c r="S99" s="25"/>
      <c r="T99" s="25"/>
      <c r="U99" s="25"/>
      <c r="V99" s="25"/>
      <c r="W99" s="25"/>
      <c r="X99" s="25"/>
      <c r="Y99" s="25"/>
      <c r="Z99" s="25"/>
      <c r="AA99" s="25"/>
      <c r="AB99" s="25"/>
      <c r="AC99" s="25"/>
      <c r="AD99" s="25"/>
      <c r="AE99" s="25"/>
      <c r="AF99" s="25"/>
      <c r="AG99" s="25"/>
      <c r="AH99" s="25"/>
      <c r="AI99" s="25"/>
      <c r="AJ99" s="25"/>
      <c r="AK99" s="25"/>
      <c r="AL99" s="25"/>
      <c r="AM99" s="25"/>
      <c r="AN99" s="25"/>
      <c r="AO99" s="25"/>
      <c r="AP99" s="25"/>
      <c r="AQ99" s="25"/>
      <c r="AR99" s="25"/>
      <c r="AS99" s="25"/>
      <c r="AT99" s="25"/>
      <c r="AU99" s="25"/>
      <c r="AV99" s="25"/>
      <c r="AW99" s="25"/>
      <c r="AX99" s="25"/>
      <c r="AY99" s="25"/>
      <c r="AZ99" s="25"/>
      <c r="BA99" s="25"/>
    </row>
    <row r="100" spans="1:53" ht="12.75">
      <c r="A100" s="25"/>
      <c r="B100" s="25"/>
      <c r="C100" s="25"/>
      <c r="D100" s="25"/>
      <c r="E100" s="25"/>
      <c r="F100" s="25"/>
      <c r="G100" s="25"/>
      <c r="H100" s="25"/>
      <c r="I100" s="25"/>
      <c r="J100" s="25"/>
      <c r="K100" s="25"/>
      <c r="L100" s="25"/>
      <c r="M100" s="25"/>
      <c r="N100" s="25"/>
      <c r="O100" s="25"/>
      <c r="P100" s="25"/>
      <c r="Q100" s="25"/>
      <c r="R100" s="25"/>
      <c r="S100" s="25"/>
      <c r="T100" s="25"/>
      <c r="U100" s="25"/>
      <c r="V100" s="25"/>
      <c r="W100" s="25"/>
      <c r="X100" s="25"/>
      <c r="Y100" s="25"/>
      <c r="Z100" s="25"/>
      <c r="AA100" s="25"/>
      <c r="AB100" s="25"/>
      <c r="AC100" s="25"/>
      <c r="AD100" s="25"/>
      <c r="AE100" s="25"/>
      <c r="AF100" s="25"/>
      <c r="AG100" s="25"/>
      <c r="AH100" s="25"/>
      <c r="AI100" s="25"/>
      <c r="AJ100" s="25"/>
      <c r="AK100" s="25"/>
      <c r="AL100" s="25"/>
      <c r="AM100" s="25"/>
      <c r="AN100" s="25"/>
      <c r="AO100" s="25"/>
      <c r="AP100" s="25"/>
      <c r="AQ100" s="25"/>
      <c r="AR100" s="25"/>
      <c r="AS100" s="25"/>
      <c r="AT100" s="25"/>
      <c r="AU100" s="25"/>
      <c r="AV100" s="25"/>
      <c r="AW100" s="25"/>
      <c r="AX100" s="25"/>
      <c r="AY100" s="25"/>
      <c r="AZ100" s="25"/>
      <c r="BA100" s="25"/>
    </row>
    <row r="101" spans="1:53" ht="12.75">
      <c r="A101" s="25"/>
      <c r="B101" s="25"/>
      <c r="C101" s="25"/>
      <c r="D101" s="25"/>
      <c r="E101" s="25"/>
      <c r="F101" s="25"/>
      <c r="G101" s="25"/>
      <c r="H101" s="25"/>
      <c r="I101" s="25"/>
      <c r="J101" s="25"/>
      <c r="K101" s="25"/>
      <c r="L101" s="25"/>
      <c r="M101" s="25"/>
      <c r="N101" s="25"/>
      <c r="O101" s="25"/>
      <c r="P101" s="25"/>
      <c r="Q101" s="25"/>
      <c r="R101" s="25"/>
      <c r="S101" s="25"/>
      <c r="T101" s="25"/>
      <c r="U101" s="25"/>
      <c r="V101" s="25"/>
      <c r="W101" s="25"/>
      <c r="X101" s="25"/>
      <c r="Y101" s="25"/>
      <c r="Z101" s="25"/>
      <c r="AA101" s="25"/>
      <c r="AB101" s="25"/>
      <c r="AC101" s="25"/>
      <c r="AD101" s="25"/>
      <c r="AE101" s="25"/>
      <c r="AF101" s="25"/>
      <c r="AG101" s="25"/>
      <c r="AH101" s="25"/>
      <c r="AI101" s="25"/>
      <c r="AJ101" s="25"/>
      <c r="AK101" s="25"/>
      <c r="AL101" s="25"/>
      <c r="AM101" s="25"/>
      <c r="AN101" s="25"/>
      <c r="AO101" s="25"/>
      <c r="AP101" s="25"/>
      <c r="AQ101" s="25"/>
      <c r="AR101" s="25"/>
      <c r="AS101" s="25"/>
      <c r="AT101" s="25"/>
      <c r="AU101" s="25"/>
      <c r="AV101" s="25"/>
      <c r="AW101" s="25"/>
      <c r="AX101" s="25"/>
      <c r="AY101" s="25"/>
      <c r="AZ101" s="25"/>
      <c r="BA101" s="25"/>
    </row>
    <row r="102" spans="1:53" ht="12.75">
      <c r="A102" s="25"/>
      <c r="B102" s="25"/>
      <c r="C102" s="25"/>
      <c r="D102" s="25"/>
      <c r="E102" s="25"/>
      <c r="F102" s="25"/>
      <c r="G102" s="25"/>
      <c r="H102" s="25"/>
      <c r="I102" s="25"/>
      <c r="J102" s="25"/>
      <c r="K102" s="25"/>
      <c r="L102" s="25"/>
      <c r="M102" s="25"/>
      <c r="N102" s="25"/>
      <c r="O102" s="25"/>
      <c r="P102" s="25"/>
      <c r="Q102" s="25"/>
      <c r="R102" s="25"/>
      <c r="S102" s="25"/>
      <c r="T102" s="25"/>
      <c r="U102" s="25"/>
      <c r="V102" s="25"/>
      <c r="W102" s="25"/>
      <c r="X102" s="25"/>
      <c r="Y102" s="25"/>
      <c r="Z102" s="25"/>
      <c r="AA102" s="25"/>
      <c r="AB102" s="25"/>
      <c r="AC102" s="25"/>
      <c r="AD102" s="25"/>
      <c r="AE102" s="25"/>
      <c r="AF102" s="25"/>
      <c r="AG102" s="25"/>
      <c r="AH102" s="25"/>
      <c r="AI102" s="25"/>
      <c r="AJ102" s="25"/>
      <c r="AK102" s="25"/>
      <c r="AL102" s="25"/>
      <c r="AM102" s="25"/>
      <c r="AN102" s="25"/>
      <c r="AO102" s="25"/>
      <c r="AP102" s="25"/>
      <c r="AQ102" s="25"/>
      <c r="AR102" s="25"/>
      <c r="AS102" s="25"/>
      <c r="AT102" s="25"/>
      <c r="AU102" s="25"/>
      <c r="AV102" s="25"/>
      <c r="AW102" s="25"/>
      <c r="AX102" s="25"/>
      <c r="AY102" s="25"/>
      <c r="AZ102" s="25"/>
      <c r="BA102" s="25"/>
    </row>
    <row r="103" spans="1:53" ht="12.75">
      <c r="A103" s="93"/>
      <c r="B103" s="93"/>
      <c r="C103" s="93"/>
      <c r="D103" s="93"/>
      <c r="E103" s="93"/>
      <c r="F103" s="93"/>
      <c r="G103" s="93"/>
      <c r="H103" s="93"/>
      <c r="I103" s="93"/>
      <c r="J103" s="93"/>
      <c r="K103" s="93"/>
      <c r="L103" s="93"/>
      <c r="M103" s="93"/>
      <c r="N103" s="93"/>
      <c r="O103" s="93"/>
      <c r="P103" s="93"/>
      <c r="Q103" s="93"/>
      <c r="R103" s="93"/>
      <c r="S103" s="93"/>
      <c r="T103" s="93"/>
      <c r="U103" s="93"/>
      <c r="V103" s="93"/>
      <c r="W103" s="93"/>
      <c r="X103" s="93"/>
      <c r="Y103" s="93"/>
      <c r="Z103" s="93"/>
      <c r="AA103" s="93"/>
      <c r="AB103" s="93"/>
      <c r="AC103" s="93"/>
      <c r="AD103" s="93"/>
      <c r="AE103" s="93"/>
      <c r="AF103" s="93"/>
      <c r="AG103" s="25"/>
      <c r="AH103" s="25"/>
      <c r="AI103" s="25"/>
      <c r="AJ103" s="25"/>
      <c r="AK103" s="25"/>
      <c r="AL103" s="25"/>
      <c r="AM103" s="25"/>
      <c r="AN103" s="25"/>
      <c r="AO103" s="25"/>
      <c r="AP103" s="25"/>
      <c r="AQ103" s="25"/>
      <c r="AR103" s="25"/>
      <c r="AS103" s="25"/>
      <c r="AT103" s="25"/>
      <c r="AU103" s="25"/>
      <c r="AV103" s="25"/>
      <c r="AW103" s="25"/>
      <c r="AX103" s="25"/>
      <c r="AY103" s="25"/>
      <c r="AZ103" s="25"/>
      <c r="BA103" s="25"/>
    </row>
    <row r="104" spans="1:53" ht="12.75">
      <c r="A104" s="93"/>
      <c r="B104" s="93"/>
      <c r="C104" s="93"/>
      <c r="D104" s="93"/>
      <c r="E104" s="93"/>
      <c r="F104" s="93"/>
      <c r="G104" s="93"/>
      <c r="H104" s="93"/>
      <c r="I104" s="93"/>
      <c r="J104" s="93"/>
      <c r="K104" s="93"/>
      <c r="L104" s="93"/>
      <c r="M104" s="93"/>
      <c r="N104" s="93"/>
      <c r="O104" s="93"/>
      <c r="P104" s="93"/>
      <c r="Q104" s="93"/>
      <c r="R104" s="93"/>
      <c r="S104" s="93"/>
      <c r="T104" s="93"/>
      <c r="U104" s="93"/>
      <c r="V104" s="93"/>
      <c r="W104" s="93"/>
      <c r="X104" s="93"/>
      <c r="Y104" s="93"/>
      <c r="Z104" s="93"/>
      <c r="AA104" s="93"/>
      <c r="AB104" s="93"/>
      <c r="AC104" s="93"/>
      <c r="AD104" s="93"/>
      <c r="AE104" s="93"/>
      <c r="AF104" s="93"/>
      <c r="AG104" s="25"/>
      <c r="AH104" s="25"/>
      <c r="AI104" s="25"/>
      <c r="AJ104" s="25"/>
      <c r="AK104" s="25"/>
      <c r="AL104" s="25"/>
      <c r="AM104" s="25"/>
      <c r="AN104" s="25"/>
      <c r="AO104" s="25"/>
      <c r="AP104" s="25"/>
      <c r="AQ104" s="25"/>
      <c r="AR104" s="25"/>
      <c r="AS104" s="25"/>
      <c r="AT104" s="25"/>
      <c r="AU104" s="25"/>
      <c r="AV104" s="25"/>
      <c r="AW104" s="25"/>
      <c r="AX104" s="25"/>
      <c r="AY104" s="25"/>
      <c r="AZ104" s="25"/>
      <c r="BA104" s="25"/>
    </row>
    <row r="105" spans="1:53" ht="12.75">
      <c r="A105" s="320"/>
      <c r="B105" s="320"/>
      <c r="C105" s="320"/>
      <c r="D105" s="326" t="s">
        <v>793</v>
      </c>
      <c r="E105" s="320"/>
      <c r="F105" s="320"/>
      <c r="G105" s="320"/>
      <c r="H105" s="320"/>
      <c r="I105" s="320"/>
      <c r="J105" s="320"/>
      <c r="K105" s="320"/>
      <c r="L105" s="320"/>
      <c r="M105" s="320"/>
      <c r="N105" s="320"/>
      <c r="O105" s="320"/>
      <c r="P105" s="320"/>
      <c r="Q105" s="320"/>
      <c r="R105" s="320"/>
      <c r="S105" s="320"/>
      <c r="T105" s="320"/>
      <c r="U105" s="320"/>
      <c r="V105" s="93"/>
      <c r="W105" s="93"/>
      <c r="X105" s="93"/>
      <c r="Y105" s="93"/>
      <c r="Z105" s="93"/>
      <c r="AA105" s="93"/>
      <c r="AB105" s="93"/>
      <c r="AC105" s="93"/>
      <c r="AD105" s="93"/>
      <c r="AE105" s="93"/>
      <c r="AF105" s="93"/>
      <c r="AG105" s="25" t="s">
        <v>900</v>
      </c>
      <c r="AH105" s="25"/>
      <c r="AI105" s="25"/>
      <c r="AJ105" s="25"/>
      <c r="AK105" s="25"/>
      <c r="AL105" s="25"/>
      <c r="AM105" s="25"/>
      <c r="AN105" s="25"/>
      <c r="AO105" s="25"/>
      <c r="AP105" s="25"/>
      <c r="AQ105" s="25"/>
      <c r="AR105" s="25"/>
      <c r="AS105" s="25"/>
      <c r="AT105" s="25"/>
      <c r="AU105" s="25"/>
      <c r="AV105" s="25"/>
      <c r="AW105" s="25"/>
      <c r="AX105" s="25"/>
      <c r="AY105" s="25"/>
      <c r="AZ105" s="25"/>
      <c r="BA105" s="25"/>
    </row>
    <row r="106" spans="1:53" ht="12.75">
      <c r="A106" s="93"/>
      <c r="B106" s="320"/>
      <c r="C106" s="320"/>
      <c r="D106" s="320"/>
      <c r="E106" s="320" t="s">
        <v>794</v>
      </c>
      <c r="F106" s="320" t="s">
        <v>587</v>
      </c>
      <c r="G106" s="320"/>
      <c r="H106" s="320"/>
      <c r="I106" s="320"/>
      <c r="J106" s="320"/>
      <c r="K106" s="320"/>
      <c r="L106" s="320"/>
      <c r="M106" s="320"/>
      <c r="N106" s="320"/>
      <c r="O106" s="320"/>
      <c r="P106" s="320"/>
      <c r="Q106" s="320"/>
      <c r="R106" s="320"/>
      <c r="S106" s="320"/>
      <c r="T106" s="320"/>
      <c r="U106" s="320"/>
      <c r="V106" s="320"/>
      <c r="W106" s="320"/>
      <c r="X106" s="320"/>
      <c r="Y106" s="320"/>
      <c r="Z106" s="320"/>
      <c r="AA106" s="320"/>
      <c r="AB106" s="320"/>
      <c r="AC106" s="320"/>
      <c r="AD106" s="320"/>
      <c r="AE106" s="320"/>
      <c r="AF106" s="320"/>
      <c r="AG106" s="25"/>
      <c r="AH106" s="25"/>
      <c r="AI106" s="25"/>
      <c r="AJ106" s="25"/>
      <c r="AK106" s="25"/>
      <c r="AL106" s="25"/>
      <c r="AM106" s="25"/>
      <c r="AN106" s="25"/>
      <c r="AO106" s="25"/>
      <c r="AP106" s="25"/>
      <c r="AQ106" s="25"/>
      <c r="AR106" s="25"/>
      <c r="AS106" s="25"/>
      <c r="AT106" s="25"/>
      <c r="AU106" s="25"/>
      <c r="AV106" s="25"/>
      <c r="AW106" s="25"/>
      <c r="AX106" s="25"/>
      <c r="AY106" s="25"/>
      <c r="AZ106" s="25"/>
      <c r="BA106" s="25"/>
    </row>
    <row r="107" spans="1:53" ht="12.75">
      <c r="A107" s="93"/>
      <c r="B107" s="320"/>
      <c r="C107" s="320"/>
      <c r="D107" s="320"/>
      <c r="E107" s="320"/>
      <c r="F107" s="320" t="s">
        <v>873</v>
      </c>
      <c r="G107" s="320"/>
      <c r="H107" s="320"/>
      <c r="I107" s="320"/>
      <c r="J107" s="320"/>
      <c r="K107" s="320"/>
      <c r="L107" s="320"/>
      <c r="M107" s="320"/>
      <c r="N107" s="320"/>
      <c r="O107" s="320"/>
      <c r="P107" s="320"/>
      <c r="Q107" s="320"/>
      <c r="R107" s="320"/>
      <c r="S107" s="320"/>
      <c r="T107" s="320"/>
      <c r="U107" s="320"/>
      <c r="V107" s="320"/>
      <c r="W107" s="320"/>
      <c r="X107" s="320"/>
      <c r="Y107" s="320"/>
      <c r="Z107" s="320"/>
      <c r="AA107" s="320"/>
      <c r="AB107" s="320"/>
      <c r="AC107" s="320"/>
      <c r="AD107" s="320"/>
      <c r="AE107" s="320"/>
      <c r="AF107" s="320"/>
      <c r="AG107" s="25"/>
      <c r="AH107" s="25"/>
      <c r="AI107" s="25"/>
      <c r="AJ107" s="25"/>
      <c r="AK107" s="25"/>
      <c r="AL107" s="25"/>
      <c r="AM107" s="25"/>
      <c r="AN107" s="25"/>
      <c r="AO107" s="25"/>
      <c r="AP107" s="25"/>
      <c r="AQ107" s="25"/>
      <c r="AR107" s="25" t="b">
        <v>0</v>
      </c>
      <c r="AS107" s="25"/>
      <c r="AT107" s="25"/>
      <c r="AU107" s="25"/>
      <c r="AV107" s="25"/>
      <c r="AW107" s="25"/>
      <c r="AX107" s="25"/>
      <c r="AY107" s="25"/>
      <c r="AZ107" s="25"/>
      <c r="BA107" s="25"/>
    </row>
    <row r="108" spans="1:53" ht="12.75">
      <c r="A108" s="93"/>
      <c r="B108" s="320"/>
      <c r="C108" s="320"/>
      <c r="D108" s="320"/>
      <c r="E108" s="320" t="s">
        <v>795</v>
      </c>
      <c r="F108" s="320" t="s">
        <v>874</v>
      </c>
      <c r="G108" s="320"/>
      <c r="H108" s="320"/>
      <c r="I108" s="320"/>
      <c r="J108" s="320"/>
      <c r="K108" s="320"/>
      <c r="L108" s="320"/>
      <c r="M108" s="320"/>
      <c r="N108" s="320"/>
      <c r="O108" s="320"/>
      <c r="P108" s="320"/>
      <c r="Q108" s="320"/>
      <c r="R108" s="320"/>
      <c r="S108" s="320"/>
      <c r="T108" s="320"/>
      <c r="U108" s="320"/>
      <c r="V108" s="320"/>
      <c r="W108" s="320"/>
      <c r="X108" s="320"/>
      <c r="Y108" s="320"/>
      <c r="Z108" s="320"/>
      <c r="AA108" s="320"/>
      <c r="AB108" s="320"/>
      <c r="AC108" s="320"/>
      <c r="AD108" s="320"/>
      <c r="AE108" s="320"/>
      <c r="AF108" s="320"/>
      <c r="AG108" s="25"/>
      <c r="AH108" s="25"/>
      <c r="AI108" s="25"/>
      <c r="AJ108" s="25"/>
      <c r="AK108" s="25"/>
      <c r="AL108" s="25"/>
      <c r="AM108" s="25"/>
      <c r="AN108" s="25"/>
      <c r="AO108" s="25"/>
      <c r="AP108" s="25"/>
      <c r="AQ108" s="25"/>
      <c r="AR108" s="25"/>
      <c r="AS108" s="25"/>
      <c r="AT108" s="25"/>
      <c r="AU108" s="25"/>
      <c r="AV108" s="25"/>
      <c r="AW108" s="25"/>
      <c r="AX108" s="25"/>
      <c r="AY108" s="25"/>
      <c r="AZ108" s="25"/>
      <c r="BA108" s="25"/>
    </row>
    <row r="109" spans="1:53" ht="12.75">
      <c r="A109" s="93"/>
      <c r="B109" s="320"/>
      <c r="C109" s="320"/>
      <c r="D109" s="320"/>
      <c r="E109" s="320"/>
      <c r="F109" s="320" t="s">
        <v>797</v>
      </c>
      <c r="G109" s="320"/>
      <c r="H109" s="320"/>
      <c r="I109" s="320"/>
      <c r="J109" s="320"/>
      <c r="K109" s="320"/>
      <c r="L109" s="320"/>
      <c r="M109" s="320"/>
      <c r="N109" s="320"/>
      <c r="O109" s="320"/>
      <c r="P109" s="320"/>
      <c r="Q109" s="320"/>
      <c r="R109" s="320"/>
      <c r="S109" s="320"/>
      <c r="T109" s="320"/>
      <c r="U109" s="320"/>
      <c r="V109" s="320"/>
      <c r="W109" s="320"/>
      <c r="X109" s="320"/>
      <c r="Y109" s="320"/>
      <c r="Z109" s="320"/>
      <c r="AA109" s="320"/>
      <c r="AB109" s="320"/>
      <c r="AC109" s="320"/>
      <c r="AD109" s="320"/>
      <c r="AE109" s="320"/>
      <c r="AF109" s="320"/>
      <c r="AG109" s="25"/>
      <c r="AH109" s="25"/>
      <c r="AI109" s="25"/>
      <c r="AJ109" s="25"/>
      <c r="AK109" s="25"/>
      <c r="AL109" s="25"/>
      <c r="AM109" s="25"/>
      <c r="AN109" s="25"/>
      <c r="AO109" s="25"/>
      <c r="AP109" s="25"/>
      <c r="AQ109" s="25"/>
      <c r="AR109" s="25"/>
      <c r="AS109" s="25"/>
      <c r="AT109" s="25"/>
      <c r="AU109" s="25"/>
      <c r="AV109" s="25"/>
      <c r="AW109" s="25"/>
      <c r="AX109" s="25"/>
      <c r="AY109" s="25"/>
      <c r="AZ109" s="25"/>
      <c r="BA109" s="25"/>
    </row>
    <row r="110" spans="1:53" ht="12.75">
      <c r="A110" s="93"/>
      <c r="B110" s="320"/>
      <c r="C110" s="320"/>
      <c r="D110" s="320"/>
      <c r="E110" s="320" t="s">
        <v>796</v>
      </c>
      <c r="F110" s="320" t="s">
        <v>870</v>
      </c>
      <c r="G110" s="320"/>
      <c r="H110" s="320"/>
      <c r="I110" s="320"/>
      <c r="J110" s="320"/>
      <c r="K110" s="320"/>
      <c r="L110" s="320"/>
      <c r="M110" s="320"/>
      <c r="N110" s="320"/>
      <c r="O110" s="320"/>
      <c r="P110" s="320"/>
      <c r="Q110" s="320"/>
      <c r="R110" s="320"/>
      <c r="S110" s="320"/>
      <c r="T110" s="320"/>
      <c r="U110" s="320"/>
      <c r="V110" s="320"/>
      <c r="W110" s="320"/>
      <c r="X110" s="320"/>
      <c r="Y110" s="320"/>
      <c r="Z110" s="320"/>
      <c r="AA110" s="320"/>
      <c r="AB110" s="320"/>
      <c r="AC110" s="320"/>
      <c r="AD110" s="320"/>
      <c r="AE110" s="320"/>
      <c r="AF110" s="320"/>
      <c r="AG110" s="25"/>
      <c r="AH110" s="25"/>
      <c r="AI110" s="25"/>
      <c r="AJ110" s="25"/>
      <c r="AK110" s="25"/>
      <c r="AL110" s="25"/>
      <c r="AM110" s="25"/>
      <c r="AN110" s="25"/>
      <c r="AO110" s="25"/>
      <c r="AP110" s="25"/>
      <c r="AQ110" s="25"/>
      <c r="AR110" s="25"/>
      <c r="AS110" s="25"/>
      <c r="AT110" s="25"/>
      <c r="AU110" s="25"/>
      <c r="AV110" s="25"/>
      <c r="AW110" s="25"/>
      <c r="AX110" s="25"/>
      <c r="AY110" s="25"/>
      <c r="AZ110" s="25"/>
      <c r="BA110" s="25"/>
    </row>
    <row r="111" spans="1:53" ht="12.75">
      <c r="A111" s="93"/>
      <c r="B111" s="320"/>
      <c r="C111" s="320"/>
      <c r="D111" s="320"/>
      <c r="E111" s="320"/>
      <c r="F111" s="208" t="s">
        <v>1049</v>
      </c>
      <c r="G111" s="320"/>
      <c r="H111" s="320"/>
      <c r="I111" s="320"/>
      <c r="J111" s="320"/>
      <c r="K111" s="320"/>
      <c r="L111" s="320"/>
      <c r="M111" s="320"/>
      <c r="N111" s="320"/>
      <c r="O111" s="320"/>
      <c r="P111" s="320"/>
      <c r="Q111" s="320"/>
      <c r="R111" s="320"/>
      <c r="S111" s="320"/>
      <c r="T111" s="320"/>
      <c r="U111" s="320"/>
      <c r="V111" s="320"/>
      <c r="W111" s="320"/>
      <c r="X111" s="320"/>
      <c r="Y111" s="320"/>
      <c r="Z111" s="320"/>
      <c r="AA111" s="320"/>
      <c r="AB111" s="320"/>
      <c r="AC111" s="320"/>
      <c r="AD111" s="320"/>
      <c r="AE111" s="320"/>
      <c r="AF111" s="320"/>
      <c r="AG111" s="25"/>
      <c r="AH111" s="25"/>
      <c r="AI111" s="25"/>
      <c r="AJ111" s="25"/>
      <c r="AK111" s="25"/>
      <c r="AL111" s="25"/>
      <c r="AM111" s="25"/>
      <c r="AN111" s="25"/>
      <c r="AO111" s="25"/>
      <c r="AP111" s="25"/>
      <c r="AQ111" s="25"/>
      <c r="AR111" s="25"/>
      <c r="AS111" s="25"/>
      <c r="AT111" s="25"/>
      <c r="AU111" s="25"/>
      <c r="AV111" s="25"/>
      <c r="AW111" s="25"/>
      <c r="AX111" s="25"/>
      <c r="AY111" s="25"/>
      <c r="AZ111" s="25"/>
      <c r="BA111" s="25"/>
    </row>
    <row r="112" spans="1:53" ht="12.75">
      <c r="A112" s="93"/>
      <c r="B112" s="320"/>
      <c r="C112" s="320"/>
      <c r="D112" s="320"/>
      <c r="E112" s="320" t="s">
        <v>798</v>
      </c>
      <c r="F112" s="320" t="s">
        <v>868</v>
      </c>
      <c r="G112" s="320"/>
      <c r="H112" s="320"/>
      <c r="I112" s="320"/>
      <c r="J112" s="320"/>
      <c r="K112" s="320"/>
      <c r="L112" s="320"/>
      <c r="M112" s="320"/>
      <c r="N112" s="320"/>
      <c r="O112" s="320"/>
      <c r="P112" s="320"/>
      <c r="Q112" s="320"/>
      <c r="R112" s="320"/>
      <c r="S112" s="320"/>
      <c r="T112" s="320"/>
      <c r="U112" s="320"/>
      <c r="V112" s="320"/>
      <c r="W112" s="320"/>
      <c r="X112" s="320"/>
      <c r="Y112" s="320"/>
      <c r="Z112" s="320"/>
      <c r="AA112" s="320"/>
      <c r="AB112" s="320"/>
      <c r="AC112" s="320"/>
      <c r="AD112" s="320"/>
      <c r="AE112" s="320"/>
      <c r="AF112" s="320"/>
      <c r="AG112" s="25"/>
      <c r="AH112" s="25"/>
      <c r="AI112" s="25"/>
      <c r="AJ112" s="25"/>
      <c r="AK112" s="25"/>
      <c r="AL112" s="25"/>
      <c r="AM112" s="25"/>
      <c r="AN112" s="25"/>
      <c r="AO112" s="25"/>
      <c r="AP112" s="25"/>
      <c r="AQ112" s="25"/>
      <c r="AR112" s="25"/>
      <c r="AS112" s="25"/>
      <c r="AT112" s="25"/>
      <c r="AU112" s="25"/>
      <c r="AV112" s="25"/>
      <c r="AW112" s="25"/>
      <c r="AX112" s="25"/>
      <c r="AY112" s="25"/>
      <c r="AZ112" s="25"/>
      <c r="BA112" s="25"/>
    </row>
    <row r="113" spans="1:61" ht="12.75">
      <c r="A113" s="93"/>
      <c r="B113" s="320"/>
      <c r="C113" s="320"/>
      <c r="D113" s="320"/>
      <c r="E113" s="320"/>
      <c r="F113" s="208" t="s">
        <v>1050</v>
      </c>
      <c r="G113" s="320"/>
      <c r="H113" s="320"/>
      <c r="I113" s="320"/>
      <c r="J113" s="320"/>
      <c r="K113" s="320"/>
      <c r="L113" s="320"/>
      <c r="M113" s="320"/>
      <c r="N113" s="320"/>
      <c r="O113" s="320"/>
      <c r="P113" s="320"/>
      <c r="Q113" s="320"/>
      <c r="R113" s="320"/>
      <c r="S113" s="320"/>
      <c r="T113" s="320"/>
      <c r="U113" s="320"/>
      <c r="V113" s="320"/>
      <c r="W113" s="320"/>
      <c r="X113" s="320"/>
      <c r="Y113" s="320"/>
      <c r="Z113" s="320"/>
      <c r="AA113" s="320"/>
      <c r="AB113" s="320"/>
      <c r="AC113" s="320"/>
      <c r="AD113" s="320"/>
      <c r="AE113" s="320"/>
      <c r="AF113" s="320"/>
      <c r="AG113" s="25"/>
      <c r="AH113" s="25"/>
      <c r="AI113" s="25"/>
      <c r="AJ113" s="25"/>
      <c r="AK113" s="25"/>
      <c r="AL113" s="25"/>
      <c r="AM113" s="25"/>
      <c r="AN113" s="25"/>
      <c r="AO113" s="25"/>
      <c r="AP113" s="25"/>
      <c r="AQ113" s="25"/>
      <c r="AR113" s="25"/>
      <c r="AS113" s="25"/>
      <c r="AT113" s="25"/>
      <c r="AU113" s="25"/>
      <c r="AV113" s="25"/>
      <c r="AW113" s="25"/>
      <c r="AX113" s="25"/>
      <c r="AY113" s="25"/>
      <c r="AZ113" s="25"/>
      <c r="BA113" s="25"/>
      <c r="BG113" s="1"/>
      <c r="BH113" s="1"/>
      <c r="BI113" s="1"/>
    </row>
    <row r="114" spans="1:61" ht="12.75">
      <c r="A114" s="93"/>
      <c r="B114" s="320"/>
      <c r="C114" s="320"/>
      <c r="D114" s="320"/>
      <c r="E114" s="320" t="s">
        <v>800</v>
      </c>
      <c r="F114" s="208" t="s">
        <v>1051</v>
      </c>
      <c r="G114" s="320"/>
      <c r="H114" s="320"/>
      <c r="I114" s="320"/>
      <c r="J114" s="320"/>
      <c r="K114" s="320"/>
      <c r="L114" s="320"/>
      <c r="M114" s="320"/>
      <c r="N114" s="320"/>
      <c r="O114" s="320"/>
      <c r="P114" s="320"/>
      <c r="Q114" s="320"/>
      <c r="R114" s="320"/>
      <c r="S114" s="320"/>
      <c r="T114" s="320"/>
      <c r="U114" s="320"/>
      <c r="V114" s="320"/>
      <c r="W114" s="320"/>
      <c r="X114" s="320"/>
      <c r="Y114" s="320"/>
      <c r="Z114" s="320"/>
      <c r="AA114" s="320"/>
      <c r="AB114" s="320"/>
      <c r="AC114" s="320"/>
      <c r="AD114" s="320"/>
      <c r="AE114" s="320"/>
      <c r="AF114" s="320"/>
      <c r="AG114" s="25"/>
      <c r="AH114" s="25"/>
      <c r="AI114" s="25"/>
      <c r="AJ114" s="25"/>
      <c r="AK114" s="25"/>
      <c r="AL114" s="25"/>
      <c r="AM114" s="25"/>
      <c r="AN114" s="25"/>
      <c r="AO114" s="25"/>
      <c r="AP114" s="25"/>
      <c r="AQ114" s="25"/>
      <c r="AR114" s="25"/>
      <c r="AS114" s="25"/>
      <c r="AT114" s="25"/>
      <c r="AU114" s="25"/>
      <c r="AV114" s="25"/>
      <c r="AW114" s="25"/>
      <c r="AX114" s="25"/>
      <c r="AY114" s="25"/>
      <c r="AZ114" s="25"/>
      <c r="BA114" s="25"/>
      <c r="BG114" s="1"/>
      <c r="BH114" s="1"/>
      <c r="BI114" s="1"/>
    </row>
    <row r="115" spans="1:53" ht="12.75">
      <c r="A115" s="93"/>
      <c r="B115" s="320"/>
      <c r="C115" s="320"/>
      <c r="D115" s="320"/>
      <c r="E115" s="320"/>
      <c r="F115" s="208" t="s">
        <v>1052</v>
      </c>
      <c r="G115" s="320"/>
      <c r="H115" s="320"/>
      <c r="I115" s="320"/>
      <c r="J115" s="320"/>
      <c r="K115" s="320"/>
      <c r="L115" s="320"/>
      <c r="M115" s="320"/>
      <c r="N115" s="320"/>
      <c r="O115" s="320"/>
      <c r="P115" s="320"/>
      <c r="Q115" s="320"/>
      <c r="R115" s="320"/>
      <c r="S115" s="320"/>
      <c r="T115" s="320"/>
      <c r="U115" s="320"/>
      <c r="V115" s="320"/>
      <c r="W115" s="320"/>
      <c r="X115" s="320"/>
      <c r="Y115" s="320"/>
      <c r="Z115" s="320"/>
      <c r="AA115" s="320"/>
      <c r="AB115" s="320"/>
      <c r="AC115" s="320"/>
      <c r="AD115" s="320"/>
      <c r="AE115" s="320"/>
      <c r="AF115" s="320"/>
      <c r="AG115" s="25"/>
      <c r="AH115" s="25"/>
      <c r="AI115" s="25"/>
      <c r="AJ115" s="25"/>
      <c r="AK115" s="25"/>
      <c r="AL115" s="25"/>
      <c r="AM115" s="25"/>
      <c r="AN115" s="25"/>
      <c r="AO115" s="25"/>
      <c r="AP115" s="25"/>
      <c r="AQ115" s="25"/>
      <c r="AR115" s="25"/>
      <c r="AS115" s="25"/>
      <c r="AT115" s="25"/>
      <c r="AU115" s="25"/>
      <c r="AV115" s="25"/>
      <c r="AW115" s="25"/>
      <c r="AX115" s="25"/>
      <c r="AY115" s="25"/>
      <c r="AZ115" s="25"/>
      <c r="BA115" s="25"/>
    </row>
    <row r="116" spans="1:53" ht="12.75">
      <c r="A116" s="93"/>
      <c r="B116" s="320"/>
      <c r="C116" s="320"/>
      <c r="D116" s="320"/>
      <c r="E116" s="320" t="s">
        <v>886</v>
      </c>
      <c r="F116" s="320" t="s">
        <v>584</v>
      </c>
      <c r="G116" s="320"/>
      <c r="H116" s="320"/>
      <c r="I116" s="320"/>
      <c r="J116" s="320"/>
      <c r="K116" s="320"/>
      <c r="L116" s="320"/>
      <c r="M116" s="320"/>
      <c r="N116" s="320"/>
      <c r="O116" s="320"/>
      <c r="P116" s="320"/>
      <c r="Q116" s="320"/>
      <c r="R116" s="320"/>
      <c r="S116" s="320"/>
      <c r="T116" s="320"/>
      <c r="U116" s="320"/>
      <c r="V116" s="320"/>
      <c r="W116" s="320"/>
      <c r="X116" s="320"/>
      <c r="Y116" s="320"/>
      <c r="Z116" s="320"/>
      <c r="AA116" s="320"/>
      <c r="AB116" s="320"/>
      <c r="AC116" s="320"/>
      <c r="AD116" s="320"/>
      <c r="AE116" s="320"/>
      <c r="AF116" s="320"/>
      <c r="AG116" s="25"/>
      <c r="AH116" s="25"/>
      <c r="AI116" s="25"/>
      <c r="AJ116" s="25"/>
      <c r="AK116" s="25"/>
      <c r="AL116" s="25"/>
      <c r="AM116" s="25"/>
      <c r="AN116" s="25"/>
      <c r="AO116" s="25"/>
      <c r="AP116" s="25"/>
      <c r="AQ116" s="25"/>
      <c r="AR116" s="25"/>
      <c r="AS116" s="25"/>
      <c r="AT116" s="25"/>
      <c r="AU116" s="25"/>
      <c r="AV116" s="25"/>
      <c r="AW116" s="25"/>
      <c r="AX116" s="25"/>
      <c r="AY116" s="25"/>
      <c r="AZ116" s="25"/>
      <c r="BA116" s="25"/>
    </row>
    <row r="117" spans="1:53" ht="12.75">
      <c r="A117" s="93"/>
      <c r="B117" s="320"/>
      <c r="C117" s="320"/>
      <c r="D117" s="320"/>
      <c r="E117" s="320"/>
      <c r="F117" s="320" t="s">
        <v>585</v>
      </c>
      <c r="G117" s="320"/>
      <c r="H117" s="320"/>
      <c r="I117" s="320"/>
      <c r="J117" s="320"/>
      <c r="K117" s="320"/>
      <c r="L117" s="320"/>
      <c r="M117" s="320"/>
      <c r="N117" s="320"/>
      <c r="O117" s="320"/>
      <c r="P117" s="320"/>
      <c r="Q117" s="320"/>
      <c r="R117" s="320"/>
      <c r="S117" s="320"/>
      <c r="T117" s="320"/>
      <c r="U117" s="320"/>
      <c r="V117" s="320"/>
      <c r="W117" s="320"/>
      <c r="X117" s="320"/>
      <c r="Y117" s="320"/>
      <c r="Z117" s="320"/>
      <c r="AA117" s="320"/>
      <c r="AB117" s="320"/>
      <c r="AC117" s="320"/>
      <c r="AD117" s="320"/>
      <c r="AE117" s="320"/>
      <c r="AF117" s="320"/>
      <c r="AG117" s="25"/>
      <c r="AH117" s="25"/>
      <c r="AI117" s="25"/>
      <c r="AJ117" s="25"/>
      <c r="AK117" s="25"/>
      <c r="AL117" s="25"/>
      <c r="AM117" s="25"/>
      <c r="AN117" s="25"/>
      <c r="AO117" s="25"/>
      <c r="AP117" s="25"/>
      <c r="AQ117" s="25"/>
      <c r="AR117" s="25"/>
      <c r="AS117" s="25"/>
      <c r="AT117" s="25"/>
      <c r="AU117" s="25"/>
      <c r="AV117" s="25"/>
      <c r="AW117" s="25"/>
      <c r="AX117" s="25"/>
      <c r="AY117" s="25"/>
      <c r="AZ117" s="25"/>
      <c r="BA117" s="25"/>
    </row>
    <row r="118" spans="1:53" ht="12.75">
      <c r="A118" s="93"/>
      <c r="B118" s="320"/>
      <c r="C118" s="320"/>
      <c r="D118" s="320"/>
      <c r="E118" s="320"/>
      <c r="F118" s="320" t="s">
        <v>586</v>
      </c>
      <c r="G118" s="320"/>
      <c r="H118" s="320"/>
      <c r="I118" s="320"/>
      <c r="J118" s="320"/>
      <c r="K118" s="320"/>
      <c r="L118" s="320"/>
      <c r="M118" s="320"/>
      <c r="N118" s="320"/>
      <c r="O118" s="320"/>
      <c r="P118" s="320"/>
      <c r="Q118" s="320"/>
      <c r="R118" s="320"/>
      <c r="S118" s="320"/>
      <c r="T118" s="320"/>
      <c r="U118" s="320"/>
      <c r="V118" s="320"/>
      <c r="W118" s="320"/>
      <c r="X118" s="320"/>
      <c r="Y118" s="320"/>
      <c r="Z118" s="320"/>
      <c r="AA118" s="320"/>
      <c r="AB118" s="320"/>
      <c r="AC118" s="320"/>
      <c r="AD118" s="320"/>
      <c r="AE118" s="320"/>
      <c r="AF118" s="320"/>
      <c r="AG118" s="25"/>
      <c r="AH118" s="25"/>
      <c r="AI118" s="25"/>
      <c r="AJ118" s="25"/>
      <c r="AK118" s="25"/>
      <c r="AL118" s="25"/>
      <c r="AM118" s="25"/>
      <c r="AN118" s="25"/>
      <c r="AO118" s="25"/>
      <c r="AP118" s="25"/>
      <c r="AQ118" s="25"/>
      <c r="AR118" s="25"/>
      <c r="AS118" s="25"/>
      <c r="AT118" s="25"/>
      <c r="AU118" s="25"/>
      <c r="AV118" s="25"/>
      <c r="AW118" s="25"/>
      <c r="AX118" s="25"/>
      <c r="AY118" s="25"/>
      <c r="AZ118" s="25"/>
      <c r="BA118" s="25"/>
    </row>
    <row r="119" spans="1:53" ht="12.75">
      <c r="A119" s="93"/>
      <c r="B119" s="320"/>
      <c r="C119" s="320"/>
      <c r="D119" s="320"/>
      <c r="E119" s="320"/>
      <c r="F119" s="320" t="s">
        <v>580</v>
      </c>
      <c r="G119" s="320"/>
      <c r="H119" s="320"/>
      <c r="I119" s="320"/>
      <c r="J119" s="320"/>
      <c r="K119" s="320"/>
      <c r="L119" s="320"/>
      <c r="M119" s="320"/>
      <c r="N119" s="320"/>
      <c r="O119" s="320"/>
      <c r="P119" s="320"/>
      <c r="Q119" s="320"/>
      <c r="R119" s="320"/>
      <c r="S119" s="320"/>
      <c r="T119" s="320"/>
      <c r="U119" s="320"/>
      <c r="V119" s="320"/>
      <c r="W119" s="320"/>
      <c r="X119" s="320"/>
      <c r="Y119" s="320"/>
      <c r="Z119" s="320"/>
      <c r="AA119" s="320"/>
      <c r="AB119" s="320"/>
      <c r="AC119" s="320"/>
      <c r="AD119" s="320"/>
      <c r="AE119" s="320"/>
      <c r="AF119" s="320"/>
      <c r="AG119" s="25"/>
      <c r="AH119" s="25"/>
      <c r="AI119" s="25"/>
      <c r="AJ119" s="25"/>
      <c r="AK119" s="25"/>
      <c r="AL119" s="25"/>
      <c r="AM119" s="25"/>
      <c r="AN119" s="25"/>
      <c r="AO119" s="25"/>
      <c r="AP119" s="25"/>
      <c r="AQ119" s="25"/>
      <c r="AR119" s="25"/>
      <c r="AS119" s="25"/>
      <c r="AT119" s="25"/>
      <c r="AU119" s="25"/>
      <c r="AV119" s="25"/>
      <c r="AW119" s="25"/>
      <c r="AX119" s="25"/>
      <c r="AY119" s="25"/>
      <c r="AZ119" s="25"/>
      <c r="BA119" s="25"/>
    </row>
    <row r="120" spans="1:53" ht="12.75">
      <c r="A120" s="93"/>
      <c r="B120" s="320"/>
      <c r="C120" s="320"/>
      <c r="D120" s="320"/>
      <c r="E120" s="320"/>
      <c r="F120" s="320"/>
      <c r="G120" s="320"/>
      <c r="H120" s="320"/>
      <c r="I120" s="320"/>
      <c r="J120" s="320"/>
      <c r="K120" s="320"/>
      <c r="L120" s="320"/>
      <c r="M120" s="320"/>
      <c r="N120" s="320"/>
      <c r="O120" s="320"/>
      <c r="P120" s="320"/>
      <c r="Q120" s="320"/>
      <c r="R120" s="320"/>
      <c r="S120" s="320"/>
      <c r="T120" s="320"/>
      <c r="U120" s="320"/>
      <c r="V120" s="320"/>
      <c r="W120" s="320"/>
      <c r="X120" s="320"/>
      <c r="Y120" s="320"/>
      <c r="Z120" s="320"/>
      <c r="AA120" s="320"/>
      <c r="AB120" s="320"/>
      <c r="AC120" s="320"/>
      <c r="AD120" s="320"/>
      <c r="AE120" s="320"/>
      <c r="AF120" s="320"/>
      <c r="AG120" s="25"/>
      <c r="AH120" s="25"/>
      <c r="AI120" s="25"/>
      <c r="AJ120" s="25"/>
      <c r="AK120" s="25"/>
      <c r="AL120" s="25"/>
      <c r="AM120" s="25"/>
      <c r="AN120" s="25"/>
      <c r="AO120" s="25"/>
      <c r="AP120" s="25"/>
      <c r="AQ120" s="25"/>
      <c r="AR120" s="25"/>
      <c r="AS120" s="25"/>
      <c r="AT120" s="25"/>
      <c r="AU120" s="25"/>
      <c r="AV120" s="25"/>
      <c r="AW120" s="25"/>
      <c r="AX120" s="25"/>
      <c r="AY120" s="25"/>
      <c r="AZ120" s="25"/>
      <c r="BA120" s="25"/>
    </row>
    <row r="121" spans="1:53" ht="12.75">
      <c r="A121" s="93"/>
      <c r="B121" s="320"/>
      <c r="C121" s="320"/>
      <c r="D121" s="320"/>
      <c r="E121" s="320"/>
      <c r="F121" s="320"/>
      <c r="G121" s="320"/>
      <c r="H121" s="320"/>
      <c r="I121" s="320"/>
      <c r="J121" s="320"/>
      <c r="K121" s="320"/>
      <c r="L121" s="320"/>
      <c r="M121" s="320"/>
      <c r="N121" s="320"/>
      <c r="O121" s="320"/>
      <c r="P121" s="320"/>
      <c r="Q121" s="320"/>
      <c r="R121" s="320"/>
      <c r="S121" s="320"/>
      <c r="T121" s="320"/>
      <c r="U121" s="320"/>
      <c r="V121" s="320"/>
      <c r="W121" s="320"/>
      <c r="X121" s="320"/>
      <c r="Y121" s="320"/>
      <c r="Z121" s="320"/>
      <c r="AA121" s="320"/>
      <c r="AB121" s="320"/>
      <c r="AC121" s="320"/>
      <c r="AD121" s="320"/>
      <c r="AE121" s="320"/>
      <c r="AF121" s="320"/>
      <c r="AG121" s="25"/>
      <c r="AH121" s="25"/>
      <c r="AI121" s="25"/>
      <c r="AJ121" s="25"/>
      <c r="AK121" s="25"/>
      <c r="AL121" s="25"/>
      <c r="AM121" s="25"/>
      <c r="AN121" s="25"/>
      <c r="AO121" s="25"/>
      <c r="AP121" s="25"/>
      <c r="AQ121" s="25"/>
      <c r="AR121" s="25"/>
      <c r="AS121" s="25"/>
      <c r="AT121" s="25"/>
      <c r="AU121" s="25"/>
      <c r="AV121" s="25"/>
      <c r="AW121" s="25"/>
      <c r="AX121" s="25"/>
      <c r="AY121" s="25"/>
      <c r="AZ121" s="25"/>
      <c r="BA121" s="25"/>
    </row>
    <row r="122" spans="1:53" ht="12.75">
      <c r="A122" s="93"/>
      <c r="B122" s="320"/>
      <c r="C122" s="320"/>
      <c r="D122" s="320"/>
      <c r="E122" s="320"/>
      <c r="F122" s="320"/>
      <c r="G122" s="320"/>
      <c r="H122" s="320"/>
      <c r="I122" s="320"/>
      <c r="J122" s="320"/>
      <c r="K122" s="320"/>
      <c r="L122" s="320"/>
      <c r="M122" s="320"/>
      <c r="N122" s="320"/>
      <c r="O122" s="320"/>
      <c r="P122" s="320"/>
      <c r="Q122" s="320"/>
      <c r="R122" s="320"/>
      <c r="S122" s="320"/>
      <c r="T122" s="320"/>
      <c r="U122" s="320"/>
      <c r="V122" s="320"/>
      <c r="W122" s="320"/>
      <c r="X122" s="320"/>
      <c r="Y122" s="320"/>
      <c r="Z122" s="320"/>
      <c r="AA122" s="320"/>
      <c r="AB122" s="320"/>
      <c r="AC122" s="320"/>
      <c r="AD122" s="320"/>
      <c r="AE122" s="320"/>
      <c r="AF122" s="320"/>
      <c r="AG122" s="25"/>
      <c r="AH122" s="25"/>
      <c r="AI122" s="25"/>
      <c r="AJ122" s="25"/>
      <c r="AK122" s="25"/>
      <c r="AL122" s="25"/>
      <c r="AM122" s="25"/>
      <c r="AN122" s="25"/>
      <c r="AO122" s="25"/>
      <c r="AP122" s="25"/>
      <c r="AQ122" s="25"/>
      <c r="AR122" s="25"/>
      <c r="AS122" s="25"/>
      <c r="AT122" s="25"/>
      <c r="AU122" s="25"/>
      <c r="AV122" s="25"/>
      <c r="AW122" s="25"/>
      <c r="AX122" s="25"/>
      <c r="AY122" s="25"/>
      <c r="AZ122" s="25"/>
      <c r="BA122" s="25"/>
    </row>
    <row r="123" spans="1:53" ht="12.75">
      <c r="A123" s="93"/>
      <c r="B123" s="320"/>
      <c r="C123" s="320"/>
      <c r="D123" s="320"/>
      <c r="E123" s="320"/>
      <c r="F123" s="320"/>
      <c r="G123" s="320"/>
      <c r="H123" s="320"/>
      <c r="I123" s="320"/>
      <c r="J123" s="320"/>
      <c r="K123" s="320"/>
      <c r="L123" s="320"/>
      <c r="M123" s="320"/>
      <c r="N123" s="320"/>
      <c r="O123" s="320"/>
      <c r="P123" s="320"/>
      <c r="Q123" s="320"/>
      <c r="R123" s="320"/>
      <c r="S123" s="320"/>
      <c r="T123" s="320"/>
      <c r="U123" s="320"/>
      <c r="V123" s="320"/>
      <c r="W123" s="320"/>
      <c r="X123" s="320"/>
      <c r="Y123" s="320"/>
      <c r="Z123" s="320"/>
      <c r="AA123" s="320"/>
      <c r="AB123" s="320"/>
      <c r="AC123" s="320"/>
      <c r="AD123" s="320"/>
      <c r="AE123" s="320"/>
      <c r="AF123" s="320"/>
      <c r="AG123" s="25"/>
      <c r="AH123" s="25"/>
      <c r="AI123" s="25"/>
      <c r="AJ123" s="25"/>
      <c r="AK123" s="25"/>
      <c r="AL123" s="25"/>
      <c r="AM123" s="25"/>
      <c r="AN123" s="25"/>
      <c r="AO123" s="25"/>
      <c r="AP123" s="25"/>
      <c r="AQ123" s="25"/>
      <c r="AR123" s="25"/>
      <c r="AS123" s="25"/>
      <c r="AT123" s="25"/>
      <c r="AU123" s="25"/>
      <c r="AV123" s="25"/>
      <c r="AW123" s="25"/>
      <c r="AX123" s="25"/>
      <c r="AY123" s="25"/>
      <c r="AZ123" s="25"/>
      <c r="BA123" s="25"/>
    </row>
    <row r="124" spans="1:53" ht="12.75">
      <c r="A124" s="93"/>
      <c r="B124" s="320"/>
      <c r="C124" s="320"/>
      <c r="D124" s="320"/>
      <c r="E124" s="320"/>
      <c r="F124" s="320"/>
      <c r="G124" s="320"/>
      <c r="H124" s="320"/>
      <c r="I124" s="320"/>
      <c r="J124" s="320"/>
      <c r="K124" s="320"/>
      <c r="L124" s="320"/>
      <c r="M124" s="320"/>
      <c r="N124" s="320"/>
      <c r="O124" s="320"/>
      <c r="P124" s="320"/>
      <c r="Q124" s="320"/>
      <c r="R124" s="320"/>
      <c r="S124" s="320"/>
      <c r="T124" s="320"/>
      <c r="U124" s="320"/>
      <c r="V124" s="320"/>
      <c r="W124" s="320"/>
      <c r="X124" s="320"/>
      <c r="Y124" s="320"/>
      <c r="Z124" s="320"/>
      <c r="AA124" s="320"/>
      <c r="AB124" s="320"/>
      <c r="AC124" s="320"/>
      <c r="AD124" s="320"/>
      <c r="AE124" s="320"/>
      <c r="AF124" s="320"/>
      <c r="AG124" s="25"/>
      <c r="AH124" s="25"/>
      <c r="AI124" s="25"/>
      <c r="AJ124" s="25"/>
      <c r="AK124" s="25"/>
      <c r="AL124" s="25"/>
      <c r="AM124" s="25"/>
      <c r="AN124" s="25"/>
      <c r="AO124" s="25"/>
      <c r="AP124" s="25"/>
      <c r="AQ124" s="25"/>
      <c r="AR124" s="25"/>
      <c r="AS124" s="25"/>
      <c r="AT124" s="25"/>
      <c r="AU124" s="25"/>
      <c r="AV124" s="25"/>
      <c r="AW124" s="25"/>
      <c r="AX124" s="25"/>
      <c r="AY124" s="25"/>
      <c r="AZ124" s="25"/>
      <c r="BA124" s="25"/>
    </row>
    <row r="125" spans="1:53" ht="12.75">
      <c r="A125" s="320"/>
      <c r="B125" s="320"/>
      <c r="C125" s="320"/>
      <c r="D125" s="326" t="s">
        <v>876</v>
      </c>
      <c r="E125" s="320"/>
      <c r="F125" s="320"/>
      <c r="G125" s="320"/>
      <c r="H125" s="320"/>
      <c r="I125" s="320"/>
      <c r="J125" s="320"/>
      <c r="K125" s="320"/>
      <c r="L125" s="320"/>
      <c r="M125" s="320"/>
      <c r="N125" s="320"/>
      <c r="O125" s="320"/>
      <c r="P125" s="320"/>
      <c r="Q125" s="320"/>
      <c r="R125" s="320"/>
      <c r="S125" s="320"/>
      <c r="T125" s="320"/>
      <c r="U125" s="320"/>
      <c r="V125" s="93"/>
      <c r="W125" s="93"/>
      <c r="X125" s="93"/>
      <c r="Y125" s="93"/>
      <c r="Z125" s="93"/>
      <c r="AA125" s="93"/>
      <c r="AB125" s="93"/>
      <c r="AC125" s="93"/>
      <c r="AD125" s="93"/>
      <c r="AE125" s="93"/>
      <c r="AF125" s="93"/>
      <c r="AG125" s="25" t="s">
        <v>902</v>
      </c>
      <c r="AH125" s="25"/>
      <c r="AI125" s="25"/>
      <c r="AJ125" s="25"/>
      <c r="AK125" s="25"/>
      <c r="AL125" s="25"/>
      <c r="AM125" s="25"/>
      <c r="AN125" s="25"/>
      <c r="AO125" s="25"/>
      <c r="AP125" s="25"/>
      <c r="AQ125" s="25"/>
      <c r="AR125" s="25"/>
      <c r="AS125" s="25"/>
      <c r="AT125" s="25"/>
      <c r="AU125" s="25"/>
      <c r="AV125" s="25"/>
      <c r="AW125" s="25"/>
      <c r="AX125" s="25"/>
      <c r="AY125" s="25"/>
      <c r="AZ125" s="25"/>
      <c r="BA125" s="25"/>
    </row>
    <row r="126" spans="1:53" ht="12.75">
      <c r="A126" s="93"/>
      <c r="B126" s="320"/>
      <c r="C126" s="320"/>
      <c r="D126" s="320"/>
      <c r="E126" s="320" t="s">
        <v>794</v>
      </c>
      <c r="F126" s="208" t="s">
        <v>347</v>
      </c>
      <c r="G126" s="320"/>
      <c r="H126" s="320"/>
      <c r="I126" s="320"/>
      <c r="J126" s="320"/>
      <c r="K126" s="320"/>
      <c r="L126" s="320"/>
      <c r="M126" s="320"/>
      <c r="N126" s="320"/>
      <c r="O126" s="320"/>
      <c r="P126" s="320"/>
      <c r="Q126" s="320"/>
      <c r="R126" s="320"/>
      <c r="S126" s="320"/>
      <c r="T126" s="320"/>
      <c r="U126" s="320"/>
      <c r="V126" s="320"/>
      <c r="W126" s="320"/>
      <c r="X126" s="320"/>
      <c r="Y126" s="320"/>
      <c r="Z126" s="320"/>
      <c r="AA126" s="320"/>
      <c r="AB126" s="320"/>
      <c r="AC126" s="320"/>
      <c r="AD126" s="320"/>
      <c r="AE126" s="320"/>
      <c r="AF126" s="320"/>
      <c r="AG126" s="25"/>
      <c r="AH126" s="25"/>
      <c r="AI126" s="25"/>
      <c r="AJ126" s="25"/>
      <c r="AK126" s="25"/>
      <c r="AL126" s="25"/>
      <c r="AM126" s="25"/>
      <c r="AN126" s="25"/>
      <c r="AO126" s="25"/>
      <c r="AP126" s="25"/>
      <c r="AQ126" s="25"/>
      <c r="AR126" s="25"/>
      <c r="AS126" s="25"/>
      <c r="AT126" s="25"/>
      <c r="AU126" s="25"/>
      <c r="AV126" s="25"/>
      <c r="AW126" s="25"/>
      <c r="AX126" s="25"/>
      <c r="AY126" s="25"/>
      <c r="AZ126" s="25"/>
      <c r="BA126" s="25"/>
    </row>
    <row r="127" spans="1:53" ht="12.75">
      <c r="A127" s="93"/>
      <c r="B127" s="320"/>
      <c r="C127" s="320"/>
      <c r="D127" s="320"/>
      <c r="E127" s="320"/>
      <c r="F127" s="320" t="s">
        <v>570</v>
      </c>
      <c r="G127" s="320"/>
      <c r="H127" s="320"/>
      <c r="I127" s="320"/>
      <c r="J127" s="320"/>
      <c r="K127" s="320"/>
      <c r="L127" s="320"/>
      <c r="M127" s="320"/>
      <c r="N127" s="320"/>
      <c r="O127" s="320"/>
      <c r="P127" s="320"/>
      <c r="Q127" s="320"/>
      <c r="R127" s="320"/>
      <c r="S127" s="320"/>
      <c r="T127" s="320"/>
      <c r="U127" s="320"/>
      <c r="V127" s="320"/>
      <c r="W127" s="320"/>
      <c r="X127" s="320"/>
      <c r="Y127" s="320"/>
      <c r="Z127" s="320"/>
      <c r="AA127" s="320"/>
      <c r="AB127" s="320"/>
      <c r="AC127" s="320"/>
      <c r="AD127" s="320"/>
      <c r="AE127" s="320"/>
      <c r="AF127" s="320"/>
      <c r="AG127" s="25"/>
      <c r="AH127" s="25"/>
      <c r="AI127" s="25"/>
      <c r="AJ127" s="25"/>
      <c r="AK127" s="25"/>
      <c r="AL127" s="25"/>
      <c r="AM127" s="25"/>
      <c r="AN127" s="25"/>
      <c r="AO127" s="25"/>
      <c r="AP127" s="25"/>
      <c r="AQ127" s="25"/>
      <c r="AR127" s="25"/>
      <c r="AS127" s="25"/>
      <c r="AT127" s="25"/>
      <c r="AU127" s="25"/>
      <c r="AV127" s="25"/>
      <c r="AW127" s="25"/>
      <c r="AX127" s="25"/>
      <c r="AY127" s="25"/>
      <c r="AZ127" s="25"/>
      <c r="BA127" s="25"/>
    </row>
    <row r="128" spans="1:53" ht="12.75">
      <c r="A128" s="93"/>
      <c r="B128" s="320"/>
      <c r="C128" s="320"/>
      <c r="D128" s="320"/>
      <c r="E128" s="320" t="s">
        <v>795</v>
      </c>
      <c r="F128" s="320" t="s">
        <v>587</v>
      </c>
      <c r="G128" s="320"/>
      <c r="H128" s="320"/>
      <c r="I128" s="320"/>
      <c r="J128" s="320"/>
      <c r="K128" s="320"/>
      <c r="L128" s="320"/>
      <c r="M128" s="320"/>
      <c r="N128" s="320"/>
      <c r="O128" s="320"/>
      <c r="P128" s="320"/>
      <c r="Q128" s="320"/>
      <c r="R128" s="320"/>
      <c r="S128" s="320"/>
      <c r="T128" s="320"/>
      <c r="U128" s="320"/>
      <c r="V128" s="320"/>
      <c r="W128" s="320"/>
      <c r="X128" s="320"/>
      <c r="Y128" s="320"/>
      <c r="Z128" s="320"/>
      <c r="AA128" s="320"/>
      <c r="AB128" s="320"/>
      <c r="AC128" s="320"/>
      <c r="AD128" s="320"/>
      <c r="AE128" s="320"/>
      <c r="AF128" s="320"/>
      <c r="AG128" s="25"/>
      <c r="AH128" s="25"/>
      <c r="AI128" s="25"/>
      <c r="AJ128" s="25"/>
      <c r="AK128" s="25"/>
      <c r="AL128" s="25"/>
      <c r="AM128" s="25"/>
      <c r="AN128" s="25"/>
      <c r="AO128" s="25"/>
      <c r="AP128" s="25"/>
      <c r="AQ128" s="25"/>
      <c r="AR128" s="25"/>
      <c r="AS128" s="25"/>
      <c r="AT128" s="25"/>
      <c r="AU128" s="25"/>
      <c r="AV128" s="25"/>
      <c r="AW128" s="25"/>
      <c r="AX128" s="25"/>
      <c r="AY128" s="25"/>
      <c r="AZ128" s="25"/>
      <c r="BA128" s="25"/>
    </row>
    <row r="129" spans="1:53" ht="12.75">
      <c r="A129" s="93"/>
      <c r="B129" s="320"/>
      <c r="C129" s="320"/>
      <c r="D129" s="320"/>
      <c r="E129" s="320"/>
      <c r="F129" s="320" t="s">
        <v>873</v>
      </c>
      <c r="G129" s="320"/>
      <c r="H129" s="320"/>
      <c r="I129" s="320"/>
      <c r="J129" s="320"/>
      <c r="K129" s="320"/>
      <c r="L129" s="320"/>
      <c r="M129" s="320"/>
      <c r="N129" s="320"/>
      <c r="O129" s="320"/>
      <c r="P129" s="320"/>
      <c r="Q129" s="320"/>
      <c r="R129" s="320"/>
      <c r="S129" s="320"/>
      <c r="T129" s="320"/>
      <c r="U129" s="320"/>
      <c r="V129" s="320"/>
      <c r="W129" s="320"/>
      <c r="X129" s="320"/>
      <c r="Y129" s="320"/>
      <c r="Z129" s="320"/>
      <c r="AA129" s="320"/>
      <c r="AB129" s="320"/>
      <c r="AC129" s="320"/>
      <c r="AD129" s="320"/>
      <c r="AE129" s="320"/>
      <c r="AF129" s="320"/>
      <c r="AG129" s="25"/>
      <c r="AH129" s="25"/>
      <c r="AI129" s="25"/>
      <c r="AJ129" s="25"/>
      <c r="AK129" s="25"/>
      <c r="AL129" s="25"/>
      <c r="AM129" s="25"/>
      <c r="AN129" s="25"/>
      <c r="AO129" s="25"/>
      <c r="AP129" s="25"/>
      <c r="AQ129" s="25"/>
      <c r="AR129" s="25"/>
      <c r="AS129" s="25"/>
      <c r="AT129" s="25"/>
      <c r="AU129" s="25"/>
      <c r="AV129" s="25"/>
      <c r="AW129" s="25"/>
      <c r="AX129" s="25"/>
      <c r="AY129" s="25"/>
      <c r="AZ129" s="25"/>
      <c r="BA129" s="25"/>
    </row>
    <row r="130" spans="1:53" ht="12.75">
      <c r="A130" s="93"/>
      <c r="B130" s="320"/>
      <c r="C130" s="320"/>
      <c r="D130" s="320"/>
      <c r="E130" s="320" t="s">
        <v>796</v>
      </c>
      <c r="F130" s="320" t="s">
        <v>571</v>
      </c>
      <c r="G130" s="320"/>
      <c r="H130" s="320"/>
      <c r="I130" s="320"/>
      <c r="J130" s="320"/>
      <c r="K130" s="320"/>
      <c r="L130" s="320"/>
      <c r="M130" s="320"/>
      <c r="N130" s="320"/>
      <c r="O130" s="320"/>
      <c r="P130" s="320"/>
      <c r="Q130" s="320"/>
      <c r="R130" s="320"/>
      <c r="S130" s="320"/>
      <c r="T130" s="320"/>
      <c r="U130" s="320"/>
      <c r="V130" s="320"/>
      <c r="W130" s="320"/>
      <c r="X130" s="320"/>
      <c r="Y130" s="320"/>
      <c r="Z130" s="320"/>
      <c r="AA130" s="320"/>
      <c r="AB130" s="320"/>
      <c r="AC130" s="320"/>
      <c r="AD130" s="320"/>
      <c r="AE130" s="320"/>
      <c r="AF130" s="320"/>
      <c r="AG130" s="25"/>
      <c r="AH130" s="25"/>
      <c r="AI130" s="25"/>
      <c r="AJ130" s="25"/>
      <c r="AK130" s="25"/>
      <c r="AL130" s="25"/>
      <c r="AM130" s="25"/>
      <c r="AN130" s="25"/>
      <c r="AO130" s="25"/>
      <c r="AP130" s="25"/>
      <c r="AQ130" s="25"/>
      <c r="AR130" s="25"/>
      <c r="AS130" s="25"/>
      <c r="AT130" s="25"/>
      <c r="AU130" s="25"/>
      <c r="AV130" s="25"/>
      <c r="AW130" s="25"/>
      <c r="AX130" s="25"/>
      <c r="AY130" s="25"/>
      <c r="AZ130" s="25"/>
      <c r="BA130" s="25"/>
    </row>
    <row r="131" spans="1:53" ht="12.75">
      <c r="A131" s="93"/>
      <c r="B131" s="320"/>
      <c r="C131" s="320"/>
      <c r="D131" s="320"/>
      <c r="E131" s="320"/>
      <c r="F131" s="208" t="s">
        <v>797</v>
      </c>
      <c r="G131" s="320"/>
      <c r="H131" s="320"/>
      <c r="I131" s="320"/>
      <c r="J131" s="320"/>
      <c r="K131" s="320"/>
      <c r="L131" s="320"/>
      <c r="M131" s="320"/>
      <c r="N131" s="320"/>
      <c r="O131" s="320"/>
      <c r="P131" s="320"/>
      <c r="Q131" s="320"/>
      <c r="R131" s="320"/>
      <c r="S131" s="320"/>
      <c r="T131" s="320"/>
      <c r="U131" s="320"/>
      <c r="V131" s="320"/>
      <c r="W131" s="320"/>
      <c r="X131" s="320"/>
      <c r="Y131" s="320"/>
      <c r="Z131" s="320"/>
      <c r="AA131" s="320"/>
      <c r="AB131" s="320"/>
      <c r="AC131" s="320"/>
      <c r="AD131" s="320"/>
      <c r="AE131" s="320"/>
      <c r="AF131" s="320"/>
      <c r="AG131" s="25"/>
      <c r="AH131" s="25"/>
      <c r="AI131" s="25"/>
      <c r="AJ131" s="25"/>
      <c r="AK131" s="25"/>
      <c r="AL131" s="25"/>
      <c r="AM131" s="25"/>
      <c r="AN131" s="25"/>
      <c r="AO131" s="25"/>
      <c r="AP131" s="25"/>
      <c r="AQ131" s="25"/>
      <c r="AR131" s="25"/>
      <c r="AS131" s="25"/>
      <c r="AT131" s="25"/>
      <c r="AU131" s="25"/>
      <c r="AV131" s="25"/>
      <c r="AW131" s="25"/>
      <c r="AX131" s="25"/>
      <c r="AY131" s="25"/>
      <c r="AZ131" s="25"/>
      <c r="BA131" s="25"/>
    </row>
    <row r="132" spans="1:53" ht="12.75">
      <c r="A132" s="93"/>
      <c r="B132" s="320"/>
      <c r="C132" s="320"/>
      <c r="D132" s="320"/>
      <c r="E132" s="320" t="s">
        <v>798</v>
      </c>
      <c r="F132" s="208" t="s">
        <v>349</v>
      </c>
      <c r="G132" s="320"/>
      <c r="H132" s="320"/>
      <c r="I132" s="320"/>
      <c r="J132" s="320"/>
      <c r="K132" s="320"/>
      <c r="L132" s="320"/>
      <c r="M132" s="320"/>
      <c r="N132" s="320"/>
      <c r="O132" s="320"/>
      <c r="P132" s="320"/>
      <c r="Q132" s="320"/>
      <c r="R132" s="320"/>
      <c r="S132" s="320"/>
      <c r="T132" s="320"/>
      <c r="U132" s="320"/>
      <c r="V132" s="320"/>
      <c r="W132" s="320"/>
      <c r="X132" s="320"/>
      <c r="Y132" s="320"/>
      <c r="Z132" s="320"/>
      <c r="AA132" s="320"/>
      <c r="AB132" s="320"/>
      <c r="AC132" s="320"/>
      <c r="AD132" s="320"/>
      <c r="AE132" s="320"/>
      <c r="AF132" s="320"/>
      <c r="AG132" s="25"/>
      <c r="AH132" s="25"/>
      <c r="AI132" s="25"/>
      <c r="AJ132" s="25"/>
      <c r="AK132" s="25"/>
      <c r="AL132" s="25"/>
      <c r="AM132" s="25"/>
      <c r="AN132" s="25"/>
      <c r="AO132" s="25"/>
      <c r="AP132" s="25"/>
      <c r="AQ132" s="25"/>
      <c r="AR132" s="25"/>
      <c r="AS132" s="25"/>
      <c r="AT132" s="25"/>
      <c r="AU132" s="25"/>
      <c r="AV132" s="25"/>
      <c r="AW132" s="25"/>
      <c r="AX132" s="25"/>
      <c r="AY132" s="25"/>
      <c r="AZ132" s="25"/>
      <c r="BA132" s="25"/>
    </row>
    <row r="133" spans="1:53" ht="12.75">
      <c r="A133" s="93"/>
      <c r="B133" s="320"/>
      <c r="C133" s="320"/>
      <c r="D133" s="320"/>
      <c r="E133" s="320"/>
      <c r="F133" s="320" t="s">
        <v>519</v>
      </c>
      <c r="G133" s="320"/>
      <c r="H133" s="320"/>
      <c r="I133" s="320"/>
      <c r="J133" s="320"/>
      <c r="K133" s="320"/>
      <c r="L133" s="320"/>
      <c r="M133" s="320"/>
      <c r="N133" s="320"/>
      <c r="O133" s="320"/>
      <c r="P133" s="320"/>
      <c r="Q133" s="320"/>
      <c r="R133" s="320"/>
      <c r="S133" s="320"/>
      <c r="T133" s="320"/>
      <c r="U133" s="320"/>
      <c r="V133" s="320"/>
      <c r="W133" s="320"/>
      <c r="X133" s="320"/>
      <c r="Y133" s="320"/>
      <c r="Z133" s="320"/>
      <c r="AA133" s="320"/>
      <c r="AB133" s="320"/>
      <c r="AC133" s="320"/>
      <c r="AD133" s="320"/>
      <c r="AE133" s="320"/>
      <c r="AF133" s="320"/>
      <c r="AG133" s="25"/>
      <c r="AH133" s="25"/>
      <c r="AI133" s="25"/>
      <c r="AJ133" s="25"/>
      <c r="AK133" s="25"/>
      <c r="AL133" s="25"/>
      <c r="AM133" s="25"/>
      <c r="AN133" s="25"/>
      <c r="AO133" s="25"/>
      <c r="AP133" s="25"/>
      <c r="AQ133" s="25"/>
      <c r="AR133" s="25"/>
      <c r="AS133" s="25"/>
      <c r="AT133" s="25"/>
      <c r="AU133" s="25"/>
      <c r="AV133" s="25"/>
      <c r="AW133" s="25"/>
      <c r="AX133" s="25"/>
      <c r="AY133" s="25"/>
      <c r="AZ133" s="25"/>
      <c r="BA133" s="25"/>
    </row>
    <row r="134" spans="1:53" ht="12.75">
      <c r="A134" s="93"/>
      <c r="B134" s="320"/>
      <c r="C134" s="320"/>
      <c r="D134" s="320"/>
      <c r="E134" s="320"/>
      <c r="F134" s="320" t="s">
        <v>911</v>
      </c>
      <c r="G134" s="320"/>
      <c r="H134" s="320"/>
      <c r="I134" s="320"/>
      <c r="J134" s="320"/>
      <c r="K134" s="320"/>
      <c r="L134" s="320"/>
      <c r="M134" s="320"/>
      <c r="N134" s="320"/>
      <c r="O134" s="320"/>
      <c r="P134" s="320"/>
      <c r="Q134" s="320"/>
      <c r="R134" s="320"/>
      <c r="S134" s="320"/>
      <c r="T134" s="320"/>
      <c r="U134" s="320"/>
      <c r="V134" s="320"/>
      <c r="W134" s="320"/>
      <c r="X134" s="320"/>
      <c r="Y134" s="320"/>
      <c r="Z134" s="320"/>
      <c r="AA134" s="320"/>
      <c r="AB134" s="320"/>
      <c r="AC134" s="320"/>
      <c r="AD134" s="320"/>
      <c r="AE134" s="320"/>
      <c r="AF134" s="320"/>
      <c r="AG134" s="25"/>
      <c r="AH134" s="25"/>
      <c r="AI134" s="25"/>
      <c r="AJ134" s="25"/>
      <c r="AK134" s="25"/>
      <c r="AL134" s="25"/>
      <c r="AM134" s="25"/>
      <c r="AN134" s="25"/>
      <c r="AO134" s="25"/>
      <c r="AP134" s="25"/>
      <c r="AQ134" s="25"/>
      <c r="AR134" s="25"/>
      <c r="AS134" s="25"/>
      <c r="AT134" s="25"/>
      <c r="AU134" s="25"/>
      <c r="AV134" s="25"/>
      <c r="AW134" s="25"/>
      <c r="AX134" s="25"/>
      <c r="AY134" s="25"/>
      <c r="AZ134" s="25"/>
      <c r="BA134" s="25"/>
    </row>
    <row r="135" spans="1:53" ht="12.75">
      <c r="A135" s="93"/>
      <c r="B135" s="320"/>
      <c r="C135" s="320"/>
      <c r="D135" s="320"/>
      <c r="E135" s="318"/>
      <c r="F135" s="318" t="s">
        <v>520</v>
      </c>
      <c r="G135" s="318"/>
      <c r="H135" s="318"/>
      <c r="I135" s="318"/>
      <c r="J135" s="318"/>
      <c r="K135" s="318"/>
      <c r="L135" s="320"/>
      <c r="M135" s="320"/>
      <c r="N135" s="320"/>
      <c r="O135" s="320"/>
      <c r="P135" s="320"/>
      <c r="Q135" s="320"/>
      <c r="R135" s="320"/>
      <c r="S135" s="320"/>
      <c r="T135" s="320"/>
      <c r="U135" s="320"/>
      <c r="V135" s="320"/>
      <c r="W135" s="320"/>
      <c r="X135" s="320"/>
      <c r="Y135" s="320"/>
      <c r="Z135" s="320"/>
      <c r="AA135" s="320"/>
      <c r="AB135" s="320"/>
      <c r="AC135" s="320"/>
      <c r="AD135" s="320"/>
      <c r="AE135" s="320"/>
      <c r="AF135" s="320"/>
      <c r="AG135" s="25"/>
      <c r="AH135" s="25"/>
      <c r="AI135" s="25"/>
      <c r="AJ135" s="25"/>
      <c r="AK135" s="25"/>
      <c r="AL135" s="25"/>
      <c r="AM135" s="25"/>
      <c r="AN135" s="25"/>
      <c r="AO135" s="25"/>
      <c r="AP135" s="25"/>
      <c r="AQ135" s="25"/>
      <c r="AR135" s="25"/>
      <c r="AS135" s="25"/>
      <c r="AT135" s="25"/>
      <c r="AU135" s="25"/>
      <c r="AV135" s="25"/>
      <c r="AW135" s="25"/>
      <c r="AX135" s="25"/>
      <c r="AY135" s="25"/>
      <c r="AZ135" s="25"/>
      <c r="BA135" s="25"/>
    </row>
    <row r="136" spans="1:53" ht="12.75">
      <c r="A136" s="93"/>
      <c r="B136" s="320"/>
      <c r="C136" s="320"/>
      <c r="D136" s="320"/>
      <c r="E136" s="320" t="s">
        <v>800</v>
      </c>
      <c r="F136" s="320" t="s">
        <v>887</v>
      </c>
      <c r="G136" s="320"/>
      <c r="H136" s="318"/>
      <c r="I136" s="320"/>
      <c r="J136" s="320"/>
      <c r="K136" s="320"/>
      <c r="L136" s="318"/>
      <c r="M136" s="318"/>
      <c r="N136" s="320"/>
      <c r="O136" s="320"/>
      <c r="P136" s="320"/>
      <c r="Q136" s="320"/>
      <c r="R136" s="320"/>
      <c r="S136" s="320"/>
      <c r="T136" s="320"/>
      <c r="U136" s="320"/>
      <c r="V136" s="320"/>
      <c r="W136" s="320"/>
      <c r="X136" s="320"/>
      <c r="Y136" s="320"/>
      <c r="Z136" s="320"/>
      <c r="AA136" s="320"/>
      <c r="AB136" s="320"/>
      <c r="AC136" s="320"/>
      <c r="AD136" s="320"/>
      <c r="AE136" s="320"/>
      <c r="AF136" s="320"/>
      <c r="AG136" s="25"/>
      <c r="AH136" s="25"/>
      <c r="AI136" s="25"/>
      <c r="AJ136" s="25"/>
      <c r="AK136" s="25"/>
      <c r="AL136" s="25"/>
      <c r="AM136" s="25"/>
      <c r="AN136" s="25"/>
      <c r="AO136" s="25"/>
      <c r="AP136" s="25"/>
      <c r="AQ136" s="25"/>
      <c r="AR136" s="25"/>
      <c r="AS136" s="25"/>
      <c r="AT136" s="25"/>
      <c r="AU136" s="25"/>
      <c r="AV136" s="25"/>
      <c r="AW136" s="25"/>
      <c r="AX136" s="25"/>
      <c r="AY136" s="25"/>
      <c r="AZ136" s="25"/>
      <c r="BA136" s="25"/>
    </row>
    <row r="137" spans="1:53" ht="12.75">
      <c r="A137" s="93"/>
      <c r="B137" s="320"/>
      <c r="C137" s="320"/>
      <c r="D137" s="320"/>
      <c r="E137" s="320"/>
      <c r="F137" s="320" t="s">
        <v>575</v>
      </c>
      <c r="G137" s="320"/>
      <c r="H137" s="320"/>
      <c r="I137" s="320"/>
      <c r="J137" s="320"/>
      <c r="K137" s="320"/>
      <c r="L137" s="320"/>
      <c r="M137" s="320"/>
      <c r="N137" s="320"/>
      <c r="O137" s="320"/>
      <c r="P137" s="320"/>
      <c r="Q137" s="320"/>
      <c r="R137" s="320"/>
      <c r="S137" s="320"/>
      <c r="T137" s="320"/>
      <c r="U137" s="320"/>
      <c r="V137" s="320"/>
      <c r="W137" s="320"/>
      <c r="X137" s="320"/>
      <c r="Y137" s="320"/>
      <c r="Z137" s="320"/>
      <c r="AA137" s="320"/>
      <c r="AB137" s="320"/>
      <c r="AC137" s="320"/>
      <c r="AD137" s="320"/>
      <c r="AE137" s="320"/>
      <c r="AF137" s="320"/>
      <c r="AG137" s="25"/>
      <c r="AH137" s="25"/>
      <c r="AI137" s="25"/>
      <c r="AJ137" s="25"/>
      <c r="AK137" s="25"/>
      <c r="AL137" s="25"/>
      <c r="AM137" s="25"/>
      <c r="AN137" s="25"/>
      <c r="AO137" s="25"/>
      <c r="AP137" s="25"/>
      <c r="AQ137" s="25"/>
      <c r="AR137" s="25"/>
      <c r="AS137" s="25"/>
      <c r="AT137" s="25"/>
      <c r="AU137" s="25"/>
      <c r="AV137" s="25"/>
      <c r="AW137" s="25"/>
      <c r="AX137" s="25"/>
      <c r="AY137" s="25"/>
      <c r="AZ137" s="25"/>
      <c r="BA137" s="25"/>
    </row>
    <row r="138" spans="1:53" ht="12.75">
      <c r="A138" s="93"/>
      <c r="B138" s="320"/>
      <c r="C138" s="320"/>
      <c r="D138" s="320"/>
      <c r="E138" s="320"/>
      <c r="F138" s="320" t="s">
        <v>576</v>
      </c>
      <c r="G138" s="320"/>
      <c r="H138" s="320"/>
      <c r="I138" s="320"/>
      <c r="J138" s="320"/>
      <c r="K138" s="320"/>
      <c r="L138" s="320"/>
      <c r="M138" s="320"/>
      <c r="N138" s="320"/>
      <c r="O138" s="320"/>
      <c r="P138" s="320"/>
      <c r="Q138" s="320"/>
      <c r="R138" s="320"/>
      <c r="S138" s="320"/>
      <c r="T138" s="320"/>
      <c r="U138" s="320"/>
      <c r="V138" s="320"/>
      <c r="W138" s="320"/>
      <c r="X138" s="320"/>
      <c r="Y138" s="320"/>
      <c r="Z138" s="320"/>
      <c r="AA138" s="320"/>
      <c r="AB138" s="320"/>
      <c r="AC138" s="320"/>
      <c r="AD138" s="320"/>
      <c r="AE138" s="320"/>
      <c r="AF138" s="320"/>
      <c r="AG138" s="25"/>
      <c r="AH138" s="25"/>
      <c r="AI138" s="25"/>
      <c r="AJ138" s="25"/>
      <c r="AK138" s="25"/>
      <c r="AL138" s="25"/>
      <c r="AM138" s="25"/>
      <c r="AN138" s="25" t="s">
        <v>712</v>
      </c>
      <c r="AO138" s="25"/>
      <c r="AP138" s="25"/>
      <c r="AQ138" s="25"/>
      <c r="AR138" s="25"/>
      <c r="AS138" s="25"/>
      <c r="AT138" s="25"/>
      <c r="AU138" s="25"/>
      <c r="AV138" s="25"/>
      <c r="AW138" s="25"/>
      <c r="AX138" s="25"/>
      <c r="AY138" s="25"/>
      <c r="AZ138" s="25"/>
      <c r="BA138" s="25"/>
    </row>
    <row r="139" spans="1:53" ht="12.75">
      <c r="A139" s="93"/>
      <c r="B139" s="320"/>
      <c r="C139" s="320"/>
      <c r="D139" s="320"/>
      <c r="E139" s="320" t="s">
        <v>886</v>
      </c>
      <c r="F139" s="320" t="s">
        <v>577</v>
      </c>
      <c r="G139" s="320"/>
      <c r="H139" s="320"/>
      <c r="I139" s="320"/>
      <c r="J139" s="320"/>
      <c r="K139" s="320"/>
      <c r="L139" s="320"/>
      <c r="M139" s="320"/>
      <c r="N139" s="320"/>
      <c r="O139" s="320"/>
      <c r="P139" s="320"/>
      <c r="Q139" s="320"/>
      <c r="R139" s="320"/>
      <c r="S139" s="320"/>
      <c r="T139" s="320"/>
      <c r="U139" s="320"/>
      <c r="V139" s="320"/>
      <c r="W139" s="320"/>
      <c r="X139" s="320"/>
      <c r="Y139" s="320"/>
      <c r="Z139" s="320"/>
      <c r="AA139" s="320"/>
      <c r="AB139" s="320"/>
      <c r="AC139" s="320"/>
      <c r="AD139" s="320"/>
      <c r="AE139" s="320"/>
      <c r="AF139" s="320"/>
      <c r="AG139" s="25"/>
      <c r="AH139" s="25"/>
      <c r="AI139" s="25"/>
      <c r="AJ139" s="25"/>
      <c r="AK139" s="25"/>
      <c r="AL139" s="25"/>
      <c r="AM139" s="25"/>
      <c r="AN139" s="25"/>
      <c r="AO139" s="25"/>
      <c r="AP139" s="25"/>
      <c r="AQ139" s="25"/>
      <c r="AR139" s="209" t="b">
        <v>1</v>
      </c>
      <c r="AS139" s="210">
        <f>IF(AR139,10,1)</f>
        <v>10</v>
      </c>
      <c r="AT139" s="209" t="s">
        <v>737</v>
      </c>
      <c r="AU139" s="209"/>
      <c r="AV139" s="209"/>
      <c r="AW139" s="209"/>
      <c r="AX139" s="25"/>
      <c r="AY139" s="25"/>
      <c r="AZ139" s="25"/>
      <c r="BA139" s="25"/>
    </row>
    <row r="140" spans="1:53" ht="12.75">
      <c r="A140" s="93"/>
      <c r="B140" s="320"/>
      <c r="C140" s="320"/>
      <c r="D140" s="320"/>
      <c r="E140" s="320"/>
      <c r="F140" s="320" t="s">
        <v>578</v>
      </c>
      <c r="G140" s="320"/>
      <c r="H140" s="320"/>
      <c r="I140" s="320"/>
      <c r="J140" s="320"/>
      <c r="K140" s="320"/>
      <c r="L140" s="320"/>
      <c r="M140" s="320"/>
      <c r="N140" s="320"/>
      <c r="O140" s="320"/>
      <c r="P140" s="320"/>
      <c r="Q140" s="320"/>
      <c r="R140" s="320"/>
      <c r="S140" s="320"/>
      <c r="T140" s="320"/>
      <c r="U140" s="320"/>
      <c r="V140" s="320"/>
      <c r="W140" s="320"/>
      <c r="X140" s="320"/>
      <c r="Y140" s="320"/>
      <c r="Z140" s="320"/>
      <c r="AA140" s="320"/>
      <c r="AB140" s="320"/>
      <c r="AC140" s="320"/>
      <c r="AD140" s="320"/>
      <c r="AE140" s="320"/>
      <c r="AF140" s="320"/>
      <c r="AG140" s="25"/>
      <c r="AH140" s="25"/>
      <c r="AI140" s="25"/>
      <c r="AJ140" s="25"/>
      <c r="AK140" s="25"/>
      <c r="AL140" s="25"/>
      <c r="AM140" s="25"/>
      <c r="AN140" s="25"/>
      <c r="AO140" s="25"/>
      <c r="AP140" s="25"/>
      <c r="AQ140" s="25"/>
      <c r="AR140" s="209" t="b">
        <v>1</v>
      </c>
      <c r="AS140" s="210">
        <f>IF(AR140,10,2)</f>
        <v>10</v>
      </c>
      <c r="AT140" s="209" t="s">
        <v>738</v>
      </c>
      <c r="AU140" s="209"/>
      <c r="AV140" s="209"/>
      <c r="AW140" s="209"/>
      <c r="AX140" s="25"/>
      <c r="AY140" s="25"/>
      <c r="AZ140" s="25"/>
      <c r="BA140" s="25"/>
    </row>
    <row r="141" spans="1:53" ht="12.75">
      <c r="A141" s="93"/>
      <c r="B141" s="320"/>
      <c r="C141" s="320"/>
      <c r="D141" s="320"/>
      <c r="E141" s="318"/>
      <c r="F141" s="320" t="s">
        <v>579</v>
      </c>
      <c r="G141" s="318"/>
      <c r="H141" s="320"/>
      <c r="I141" s="320"/>
      <c r="J141" s="320"/>
      <c r="K141" s="320"/>
      <c r="L141" s="320"/>
      <c r="M141" s="320"/>
      <c r="N141" s="320"/>
      <c r="O141" s="320"/>
      <c r="P141" s="320"/>
      <c r="Q141" s="320"/>
      <c r="R141" s="320"/>
      <c r="S141" s="320"/>
      <c r="T141" s="320"/>
      <c r="U141" s="320"/>
      <c r="V141" s="320"/>
      <c r="W141" s="320"/>
      <c r="X141" s="320"/>
      <c r="Y141" s="320"/>
      <c r="Z141" s="320"/>
      <c r="AA141" s="320"/>
      <c r="AB141" s="320"/>
      <c r="AC141" s="320"/>
      <c r="AD141" s="320"/>
      <c r="AE141" s="320"/>
      <c r="AF141" s="320"/>
      <c r="AG141" s="25"/>
      <c r="AH141" s="25"/>
      <c r="AI141" s="25"/>
      <c r="AJ141" s="25"/>
      <c r="AK141" s="25"/>
      <c r="AL141" s="25"/>
      <c r="AM141" s="25"/>
      <c r="AN141" s="25"/>
      <c r="AO141" s="25"/>
      <c r="AP141" s="25"/>
      <c r="AQ141" s="25"/>
      <c r="AR141" s="209" t="b">
        <v>1</v>
      </c>
      <c r="AS141" s="210">
        <f>IF(AR141,10,3)</f>
        <v>10</v>
      </c>
      <c r="AT141" s="209" t="s">
        <v>739</v>
      </c>
      <c r="AU141" s="209"/>
      <c r="AV141" s="209"/>
      <c r="AW141" s="209"/>
      <c r="AX141" s="25"/>
      <c r="AY141" s="25"/>
      <c r="AZ141" s="25"/>
      <c r="BA141" s="25"/>
    </row>
    <row r="142" spans="1:53" ht="12.75">
      <c r="A142" s="93"/>
      <c r="B142" s="320"/>
      <c r="C142" s="320"/>
      <c r="D142" s="320"/>
      <c r="E142" s="320"/>
      <c r="F142" s="320" t="s">
        <v>521</v>
      </c>
      <c r="G142" s="320"/>
      <c r="H142" s="318"/>
      <c r="I142" s="318"/>
      <c r="J142" s="318"/>
      <c r="K142" s="318"/>
      <c r="L142" s="320"/>
      <c r="M142" s="320"/>
      <c r="N142" s="320"/>
      <c r="O142" s="320"/>
      <c r="P142" s="320"/>
      <c r="Q142" s="320"/>
      <c r="R142" s="320"/>
      <c r="S142" s="320"/>
      <c r="T142" s="320"/>
      <c r="U142" s="320"/>
      <c r="V142" s="320"/>
      <c r="W142" s="320"/>
      <c r="X142" s="320"/>
      <c r="Y142" s="320"/>
      <c r="Z142" s="320"/>
      <c r="AA142" s="320"/>
      <c r="AB142" s="320"/>
      <c r="AC142" s="320"/>
      <c r="AD142" s="320"/>
      <c r="AE142" s="320"/>
      <c r="AF142" s="320"/>
      <c r="AG142" s="25"/>
      <c r="AH142" s="25"/>
      <c r="AI142" s="25"/>
      <c r="AJ142" s="25"/>
      <c r="AK142" s="25"/>
      <c r="AL142" s="25"/>
      <c r="AM142" s="25"/>
      <c r="AN142" s="25"/>
      <c r="AO142" s="25"/>
      <c r="AP142" s="25"/>
      <c r="AQ142" s="25"/>
      <c r="AR142" s="209" t="b">
        <v>0</v>
      </c>
      <c r="AS142" s="210">
        <f>IF(AR142,10,4)</f>
        <v>4</v>
      </c>
      <c r="AT142" s="209" t="s">
        <v>740</v>
      </c>
      <c r="AU142" s="209"/>
      <c r="AV142" s="209"/>
      <c r="AW142" s="209"/>
      <c r="AX142" s="25"/>
      <c r="AY142" s="25"/>
      <c r="AZ142" s="25"/>
      <c r="BA142" s="25"/>
    </row>
    <row r="143" spans="1:53" ht="12.75">
      <c r="A143" s="93"/>
      <c r="B143" s="320"/>
      <c r="C143" s="320"/>
      <c r="D143" s="320"/>
      <c r="E143" s="318"/>
      <c r="F143" s="320" t="s">
        <v>517</v>
      </c>
      <c r="G143" s="318"/>
      <c r="H143" s="320"/>
      <c r="I143" s="320"/>
      <c r="J143" s="320"/>
      <c r="K143" s="320"/>
      <c r="L143" s="320"/>
      <c r="M143" s="320"/>
      <c r="N143" s="320"/>
      <c r="O143" s="320"/>
      <c r="P143" s="320"/>
      <c r="Q143" s="320"/>
      <c r="R143" s="320"/>
      <c r="S143" s="320"/>
      <c r="T143" s="320"/>
      <c r="U143" s="320"/>
      <c r="V143" s="320"/>
      <c r="W143" s="320"/>
      <c r="X143" s="320"/>
      <c r="Y143" s="320"/>
      <c r="Z143" s="320"/>
      <c r="AA143" s="320"/>
      <c r="AB143" s="320"/>
      <c r="AC143" s="320"/>
      <c r="AD143" s="320"/>
      <c r="AE143" s="320"/>
      <c r="AF143" s="320"/>
      <c r="AG143" s="25"/>
      <c r="AH143" s="25"/>
      <c r="AI143" s="25"/>
      <c r="AJ143" s="25"/>
      <c r="AK143" s="25"/>
      <c r="AL143" s="25"/>
      <c r="AM143" s="25"/>
      <c r="AN143" s="30"/>
      <c r="AO143" s="25"/>
      <c r="AP143" s="30"/>
      <c r="AQ143" s="25"/>
      <c r="AR143" s="209"/>
      <c r="AS143" s="210">
        <f>IF(AND(NOT(AR139),NOT(AR140),NOT(AR141),NOT(AR142)),10,5)</f>
        <v>5</v>
      </c>
      <c r="AT143" s="209" t="s">
        <v>654</v>
      </c>
      <c r="AU143" s="209"/>
      <c r="AV143" s="209"/>
      <c r="AW143" s="209"/>
      <c r="AX143" s="25"/>
      <c r="AY143" s="25"/>
      <c r="AZ143" s="25"/>
      <c r="BA143" s="25"/>
    </row>
    <row r="144" spans="1:53" ht="12.75">
      <c r="A144" s="93"/>
      <c r="B144" s="320"/>
      <c r="C144" s="320"/>
      <c r="D144" s="320"/>
      <c r="E144" s="318"/>
      <c r="F144" s="320"/>
      <c r="G144" s="318"/>
      <c r="H144" s="320"/>
      <c r="I144" s="320"/>
      <c r="J144" s="320"/>
      <c r="K144" s="320"/>
      <c r="L144" s="320"/>
      <c r="M144" s="320"/>
      <c r="N144" s="320"/>
      <c r="O144" s="320"/>
      <c r="P144" s="320"/>
      <c r="Q144" s="320"/>
      <c r="R144" s="320"/>
      <c r="S144" s="320"/>
      <c r="T144" s="320"/>
      <c r="U144" s="320"/>
      <c r="V144" s="320"/>
      <c r="W144" s="320"/>
      <c r="X144" s="320"/>
      <c r="Y144" s="320"/>
      <c r="Z144" s="320"/>
      <c r="AA144" s="320"/>
      <c r="AB144" s="320"/>
      <c r="AC144" s="320"/>
      <c r="AD144" s="320"/>
      <c r="AE144" s="320"/>
      <c r="AF144" s="320"/>
      <c r="AG144" s="25"/>
      <c r="AH144" s="25"/>
      <c r="AI144" s="25"/>
      <c r="AJ144" s="25"/>
      <c r="AK144" s="25"/>
      <c r="AL144" s="25"/>
      <c r="AM144" s="25"/>
      <c r="AN144" s="30"/>
      <c r="AO144" s="25"/>
      <c r="AP144" s="30"/>
      <c r="AQ144" s="25"/>
      <c r="AR144" s="209"/>
      <c r="AS144" s="209"/>
      <c r="AT144" s="211" t="str">
        <f>VLOOKUP(10,AS139:AT143,2,FALSE)</f>
        <v>Replace working compressor</v>
      </c>
      <c r="AU144" s="212"/>
      <c r="AV144" s="212"/>
      <c r="AW144" s="213"/>
      <c r="AX144" s="25"/>
      <c r="AY144" s="25"/>
      <c r="AZ144" s="25"/>
      <c r="BA144" s="25"/>
    </row>
    <row r="145" spans="1:53" ht="12.75">
      <c r="A145" s="320"/>
      <c r="B145" s="320"/>
      <c r="C145" s="320"/>
      <c r="D145" s="326" t="s">
        <v>876</v>
      </c>
      <c r="E145" s="320"/>
      <c r="F145" s="320"/>
      <c r="G145" s="320"/>
      <c r="H145" s="320"/>
      <c r="I145" s="320"/>
      <c r="J145" s="320"/>
      <c r="K145" s="320"/>
      <c r="L145" s="320"/>
      <c r="M145" s="320"/>
      <c r="N145" s="320"/>
      <c r="O145" s="320"/>
      <c r="P145" s="93"/>
      <c r="Q145" s="93"/>
      <c r="R145" s="93"/>
      <c r="S145" s="93"/>
      <c r="T145" s="93"/>
      <c r="U145" s="93"/>
      <c r="V145" s="93"/>
      <c r="W145" s="93"/>
      <c r="X145" s="93"/>
      <c r="Y145" s="93"/>
      <c r="Z145" s="93"/>
      <c r="AA145" s="93"/>
      <c r="AB145" s="93"/>
      <c r="AC145" s="93"/>
      <c r="AD145" s="93"/>
      <c r="AE145" s="93"/>
      <c r="AF145" s="93"/>
      <c r="AG145" s="25" t="s">
        <v>901</v>
      </c>
      <c r="AH145" s="25"/>
      <c r="AI145" s="25"/>
      <c r="AJ145" s="25"/>
      <c r="AK145" s="25"/>
      <c r="AL145" s="25"/>
      <c r="AM145" s="25"/>
      <c r="AN145" s="30"/>
      <c r="AO145" s="25"/>
      <c r="AP145" s="30"/>
      <c r="AQ145" s="25"/>
      <c r="AR145" s="25"/>
      <c r="AS145" s="25"/>
      <c r="AT145" s="25"/>
      <c r="AU145" s="25"/>
      <c r="AV145" s="25"/>
      <c r="AW145" s="25"/>
      <c r="AX145" s="25"/>
      <c r="AY145" s="25"/>
      <c r="AZ145" s="25"/>
      <c r="BA145" s="25"/>
    </row>
    <row r="146" spans="1:53" ht="12.75">
      <c r="A146" s="93"/>
      <c r="B146" s="320"/>
      <c r="C146" s="320"/>
      <c r="D146" s="320"/>
      <c r="E146" s="320" t="s">
        <v>794</v>
      </c>
      <c r="F146" s="208" t="s">
        <v>347</v>
      </c>
      <c r="G146" s="320"/>
      <c r="H146" s="320"/>
      <c r="I146" s="320"/>
      <c r="J146" s="320"/>
      <c r="K146" s="320"/>
      <c r="L146" s="320"/>
      <c r="M146" s="320"/>
      <c r="N146" s="320"/>
      <c r="O146" s="320"/>
      <c r="P146" s="320"/>
      <c r="Q146" s="320"/>
      <c r="R146" s="320"/>
      <c r="S146" s="320"/>
      <c r="T146" s="320"/>
      <c r="U146" s="320"/>
      <c r="V146" s="320"/>
      <c r="W146" s="320"/>
      <c r="X146" s="320"/>
      <c r="Y146" s="320"/>
      <c r="Z146" s="320"/>
      <c r="AA146" s="320"/>
      <c r="AB146" s="320"/>
      <c r="AC146" s="320"/>
      <c r="AD146" s="320"/>
      <c r="AE146" s="320"/>
      <c r="AF146" s="320"/>
      <c r="AG146" s="25"/>
      <c r="AH146" s="25"/>
      <c r="AI146" s="25"/>
      <c r="AJ146" s="25"/>
      <c r="AK146" s="25"/>
      <c r="AL146" s="25"/>
      <c r="AM146" s="25"/>
      <c r="AN146" s="30"/>
      <c r="AO146" s="25"/>
      <c r="AP146" s="25" t="s">
        <v>548</v>
      </c>
      <c r="AQ146" s="25"/>
      <c r="AR146" s="209" t="b">
        <v>0</v>
      </c>
      <c r="AS146" s="25"/>
      <c r="AT146" s="25"/>
      <c r="AU146" s="25"/>
      <c r="AV146" s="25"/>
      <c r="AW146" s="25"/>
      <c r="AX146" s="25"/>
      <c r="AY146" s="25"/>
      <c r="AZ146" s="25"/>
      <c r="BA146" s="25"/>
    </row>
    <row r="147" spans="1:53" ht="12.75">
      <c r="A147" s="93"/>
      <c r="B147" s="320"/>
      <c r="C147" s="320"/>
      <c r="D147" s="320"/>
      <c r="E147" s="320"/>
      <c r="F147" s="320" t="s">
        <v>570</v>
      </c>
      <c r="G147" s="320"/>
      <c r="H147" s="320"/>
      <c r="I147" s="320"/>
      <c r="J147" s="320"/>
      <c r="K147" s="320"/>
      <c r="L147" s="320"/>
      <c r="M147" s="320"/>
      <c r="N147" s="320"/>
      <c r="O147" s="320"/>
      <c r="P147" s="320"/>
      <c r="Q147" s="320"/>
      <c r="R147" s="320"/>
      <c r="S147" s="320"/>
      <c r="T147" s="320"/>
      <c r="U147" s="320"/>
      <c r="V147" s="320"/>
      <c r="W147" s="320"/>
      <c r="X147" s="320"/>
      <c r="Y147" s="320"/>
      <c r="Z147" s="320"/>
      <c r="AA147" s="320"/>
      <c r="AB147" s="320"/>
      <c r="AC147" s="320"/>
      <c r="AD147" s="320"/>
      <c r="AE147" s="320"/>
      <c r="AF147" s="320"/>
      <c r="AG147" s="25"/>
      <c r="AH147" s="25"/>
      <c r="AI147" s="25"/>
      <c r="AJ147" s="25"/>
      <c r="AK147" s="25"/>
      <c r="AL147" s="25"/>
      <c r="AM147" s="25"/>
      <c r="AN147" s="30"/>
      <c r="AO147" s="25"/>
      <c r="AP147" s="815" t="s">
        <v>329</v>
      </c>
      <c r="AQ147" s="25"/>
      <c r="AR147" s="209" t="b">
        <v>1</v>
      </c>
      <c r="AS147" s="25"/>
      <c r="AT147" s="25"/>
      <c r="AU147" s="25"/>
      <c r="AV147" s="25"/>
      <c r="AW147" s="25"/>
      <c r="AX147" s="25"/>
      <c r="AY147" s="25"/>
      <c r="AZ147" s="25"/>
      <c r="BA147" s="25"/>
    </row>
    <row r="148" spans="1:53" ht="12.75">
      <c r="A148" s="93"/>
      <c r="B148" s="320"/>
      <c r="C148" s="320"/>
      <c r="D148" s="320"/>
      <c r="E148" s="320" t="s">
        <v>795</v>
      </c>
      <c r="F148" s="320" t="s">
        <v>587</v>
      </c>
      <c r="G148" s="320"/>
      <c r="H148" s="320"/>
      <c r="I148" s="320"/>
      <c r="J148" s="320"/>
      <c r="K148" s="320"/>
      <c r="L148" s="320"/>
      <c r="M148" s="320"/>
      <c r="N148" s="320"/>
      <c r="O148" s="320"/>
      <c r="P148" s="320"/>
      <c r="Q148" s="320"/>
      <c r="R148" s="320"/>
      <c r="S148" s="320"/>
      <c r="T148" s="320"/>
      <c r="U148" s="320"/>
      <c r="V148" s="320"/>
      <c r="W148" s="320"/>
      <c r="X148" s="320"/>
      <c r="Y148" s="320"/>
      <c r="Z148" s="320"/>
      <c r="AA148" s="320"/>
      <c r="AB148" s="320"/>
      <c r="AC148" s="320"/>
      <c r="AD148" s="320"/>
      <c r="AE148" s="320"/>
      <c r="AF148" s="320"/>
      <c r="AG148" s="25"/>
      <c r="AH148" s="25"/>
      <c r="AI148" s="25"/>
      <c r="AJ148" s="25"/>
      <c r="AK148" s="25"/>
      <c r="AL148" s="25"/>
      <c r="AM148" s="25"/>
      <c r="AN148" s="30"/>
      <c r="AO148" s="25"/>
      <c r="AP148" s="815" t="s">
        <v>1178</v>
      </c>
      <c r="AQ148" s="25"/>
      <c r="AR148" s="209" t="s">
        <v>1204</v>
      </c>
      <c r="AS148" s="25"/>
      <c r="AT148" s="25"/>
      <c r="AU148" s="25"/>
      <c r="AV148" s="25"/>
      <c r="AW148" s="25"/>
      <c r="AX148" s="25"/>
      <c r="AY148" s="25"/>
      <c r="AZ148" s="25"/>
      <c r="BA148" s="25"/>
    </row>
    <row r="149" spans="1:53" ht="12.75">
      <c r="A149" s="93"/>
      <c r="B149" s="320"/>
      <c r="C149" s="320"/>
      <c r="D149" s="320"/>
      <c r="E149" s="320"/>
      <c r="F149" s="320" t="s">
        <v>873</v>
      </c>
      <c r="G149" s="320"/>
      <c r="H149" s="320"/>
      <c r="I149" s="320"/>
      <c r="J149" s="320"/>
      <c r="K149" s="320"/>
      <c r="L149" s="320"/>
      <c r="M149" s="320"/>
      <c r="N149" s="320"/>
      <c r="O149" s="320"/>
      <c r="P149" s="320"/>
      <c r="Q149" s="320"/>
      <c r="R149" s="320"/>
      <c r="S149" s="320"/>
      <c r="T149" s="320"/>
      <c r="U149" s="320"/>
      <c r="V149" s="320"/>
      <c r="W149" s="320"/>
      <c r="X149" s="320"/>
      <c r="Y149" s="320"/>
      <c r="Z149" s="320"/>
      <c r="AA149" s="320"/>
      <c r="AB149" s="320"/>
      <c r="AC149" s="320"/>
      <c r="AD149" s="320"/>
      <c r="AE149" s="320"/>
      <c r="AF149" s="320"/>
      <c r="AG149" s="25"/>
      <c r="AH149" s="25"/>
      <c r="AI149" s="25"/>
      <c r="AJ149" s="25"/>
      <c r="AK149" s="25"/>
      <c r="AL149" s="25"/>
      <c r="AM149" s="25"/>
      <c r="AN149" s="30"/>
      <c r="AO149" s="25"/>
      <c r="AP149" s="30"/>
      <c r="AQ149" s="25"/>
      <c r="AR149" s="25"/>
      <c r="AS149" s="25"/>
      <c r="AT149" s="25"/>
      <c r="AU149" s="25"/>
      <c r="AV149" s="25"/>
      <c r="AW149" s="25"/>
      <c r="AX149" s="25"/>
      <c r="AY149" s="25"/>
      <c r="AZ149" s="25"/>
      <c r="BA149" s="25"/>
    </row>
    <row r="150" spans="1:53" ht="12.75">
      <c r="A150" s="93"/>
      <c r="B150" s="320"/>
      <c r="C150" s="320"/>
      <c r="D150" s="320"/>
      <c r="E150" s="320" t="s">
        <v>796</v>
      </c>
      <c r="F150" s="320" t="s">
        <v>571</v>
      </c>
      <c r="G150" s="320"/>
      <c r="H150" s="320"/>
      <c r="I150" s="320"/>
      <c r="J150" s="320"/>
      <c r="K150" s="320"/>
      <c r="L150" s="320"/>
      <c r="M150" s="320"/>
      <c r="N150" s="320"/>
      <c r="O150" s="320"/>
      <c r="P150" s="320"/>
      <c r="Q150" s="320"/>
      <c r="R150" s="320"/>
      <c r="S150" s="320"/>
      <c r="T150" s="320"/>
      <c r="U150" s="320"/>
      <c r="V150" s="320"/>
      <c r="W150" s="320"/>
      <c r="X150" s="320"/>
      <c r="Y150" s="320"/>
      <c r="Z150" s="320"/>
      <c r="AA150" s="320"/>
      <c r="AB150" s="320"/>
      <c r="AC150" s="320"/>
      <c r="AD150" s="320"/>
      <c r="AE150" s="320"/>
      <c r="AF150" s="320"/>
      <c r="AG150" s="25"/>
      <c r="AH150" s="25"/>
      <c r="AI150" s="25"/>
      <c r="AJ150" s="25"/>
      <c r="AK150" s="25"/>
      <c r="AL150" s="25"/>
      <c r="AM150" s="25"/>
      <c r="AN150" s="25"/>
      <c r="AO150" s="25"/>
      <c r="AP150" s="25"/>
      <c r="AQ150" s="25"/>
      <c r="AR150" s="25"/>
      <c r="AS150" s="25"/>
      <c r="AT150" s="25"/>
      <c r="AU150" s="25"/>
      <c r="AV150" s="25"/>
      <c r="AW150" s="25"/>
      <c r="AX150" s="25"/>
      <c r="AY150" s="25"/>
      <c r="AZ150" s="25"/>
      <c r="BA150" s="25"/>
    </row>
    <row r="151" spans="1:53" ht="12.75">
      <c r="A151" s="93"/>
      <c r="B151" s="320"/>
      <c r="C151" s="320"/>
      <c r="D151" s="320"/>
      <c r="E151" s="320"/>
      <c r="F151" s="320" t="s">
        <v>581</v>
      </c>
      <c r="G151" s="320"/>
      <c r="H151" s="320"/>
      <c r="I151" s="320"/>
      <c r="J151" s="320"/>
      <c r="K151" s="320"/>
      <c r="L151" s="320"/>
      <c r="M151" s="320"/>
      <c r="N151" s="320"/>
      <c r="O151" s="320"/>
      <c r="P151" s="320"/>
      <c r="Q151" s="320"/>
      <c r="R151" s="320"/>
      <c r="S151" s="320"/>
      <c r="T151" s="320"/>
      <c r="U151" s="320"/>
      <c r="V151" s="320"/>
      <c r="W151" s="320"/>
      <c r="X151" s="320"/>
      <c r="Y151" s="320"/>
      <c r="Z151" s="320"/>
      <c r="AA151" s="320"/>
      <c r="AB151" s="320"/>
      <c r="AC151" s="320"/>
      <c r="AD151" s="320"/>
      <c r="AE151" s="320"/>
      <c r="AF151" s="320"/>
      <c r="AG151" s="25"/>
      <c r="AH151" s="25"/>
      <c r="AI151" s="25"/>
      <c r="AJ151" s="25"/>
      <c r="AK151" s="25"/>
      <c r="AL151" s="25"/>
      <c r="AM151" s="25"/>
      <c r="AN151" s="30"/>
      <c r="AO151" s="25"/>
      <c r="AP151" s="30"/>
      <c r="AQ151" s="25"/>
      <c r="AR151" s="25"/>
      <c r="AS151" s="25"/>
      <c r="AT151" s="25"/>
      <c r="AU151" s="25"/>
      <c r="AV151" s="25"/>
      <c r="AW151" s="25"/>
      <c r="AX151" s="25"/>
      <c r="AY151" s="25"/>
      <c r="AZ151" s="25"/>
      <c r="BA151" s="25"/>
    </row>
    <row r="152" spans="1:53" ht="12.75">
      <c r="A152" s="93"/>
      <c r="B152" s="320"/>
      <c r="C152" s="320"/>
      <c r="D152" s="320"/>
      <c r="E152" s="320" t="s">
        <v>798</v>
      </c>
      <c r="F152" s="208" t="s">
        <v>349</v>
      </c>
      <c r="G152" s="320"/>
      <c r="H152" s="320"/>
      <c r="I152" s="320"/>
      <c r="J152" s="320"/>
      <c r="K152" s="320"/>
      <c r="L152" s="320"/>
      <c r="M152" s="320"/>
      <c r="N152" s="320"/>
      <c r="O152" s="320"/>
      <c r="P152" s="320"/>
      <c r="Q152" s="320"/>
      <c r="R152" s="320"/>
      <c r="S152" s="320"/>
      <c r="T152" s="320"/>
      <c r="U152" s="320"/>
      <c r="V152" s="320"/>
      <c r="W152" s="320"/>
      <c r="X152" s="320"/>
      <c r="Y152" s="320"/>
      <c r="Z152" s="320"/>
      <c r="AA152" s="320"/>
      <c r="AB152" s="320"/>
      <c r="AC152" s="320"/>
      <c r="AD152" s="320"/>
      <c r="AE152" s="320"/>
      <c r="AF152" s="320"/>
      <c r="AG152" s="25"/>
      <c r="AH152" s="25"/>
      <c r="AI152" s="25"/>
      <c r="AJ152" s="25"/>
      <c r="AK152" s="25"/>
      <c r="AL152" s="25"/>
      <c r="AM152" s="25"/>
      <c r="AN152" s="30"/>
      <c r="AO152" s="25"/>
      <c r="AP152" s="30"/>
      <c r="AQ152" s="25"/>
      <c r="AR152" s="25"/>
      <c r="AS152" s="25"/>
      <c r="AT152" s="25"/>
      <c r="AU152" s="25"/>
      <c r="AV152" s="25"/>
      <c r="AW152" s="25"/>
      <c r="AX152" s="25"/>
      <c r="AY152" s="25"/>
      <c r="AZ152" s="25"/>
      <c r="BA152" s="25"/>
    </row>
    <row r="153" spans="1:53" ht="12.75">
      <c r="A153" s="93"/>
      <c r="B153" s="320"/>
      <c r="C153" s="320"/>
      <c r="D153" s="320"/>
      <c r="E153" s="320"/>
      <c r="F153" s="320" t="s">
        <v>572</v>
      </c>
      <c r="G153" s="320"/>
      <c r="H153" s="320"/>
      <c r="I153" s="320"/>
      <c r="J153" s="320"/>
      <c r="K153" s="320"/>
      <c r="L153" s="320"/>
      <c r="M153" s="320"/>
      <c r="N153" s="320"/>
      <c r="O153" s="320"/>
      <c r="P153" s="320"/>
      <c r="Q153" s="320"/>
      <c r="R153" s="320"/>
      <c r="S153" s="320"/>
      <c r="T153" s="320"/>
      <c r="U153" s="320"/>
      <c r="V153" s="320"/>
      <c r="W153" s="320"/>
      <c r="X153" s="320"/>
      <c r="Y153" s="320"/>
      <c r="Z153" s="320"/>
      <c r="AA153" s="320"/>
      <c r="AB153" s="320"/>
      <c r="AC153" s="320"/>
      <c r="AD153" s="320"/>
      <c r="AE153" s="320"/>
      <c r="AF153" s="320"/>
      <c r="AG153" s="25"/>
      <c r="AH153" s="25"/>
      <c r="AI153" s="25"/>
      <c r="AJ153" s="25"/>
      <c r="AK153" s="25"/>
      <c r="AL153" s="25"/>
      <c r="AM153" s="25"/>
      <c r="AN153" s="30"/>
      <c r="AO153" s="25"/>
      <c r="AP153" s="30"/>
      <c r="AQ153" s="25"/>
      <c r="AR153" s="25"/>
      <c r="AS153" s="25"/>
      <c r="AT153" s="25"/>
      <c r="AU153" s="25"/>
      <c r="AV153" s="25"/>
      <c r="AW153" s="25"/>
      <c r="AX153" s="25"/>
      <c r="AY153" s="25"/>
      <c r="AZ153" s="25"/>
      <c r="BA153" s="25"/>
    </row>
    <row r="154" spans="1:53" ht="12.75">
      <c r="A154" s="93"/>
      <c r="B154" s="320"/>
      <c r="C154" s="320"/>
      <c r="D154" s="320"/>
      <c r="E154" s="320"/>
      <c r="F154" s="320" t="s">
        <v>910</v>
      </c>
      <c r="G154" s="320"/>
      <c r="H154" s="320"/>
      <c r="I154" s="320"/>
      <c r="J154" s="320"/>
      <c r="K154" s="320"/>
      <c r="L154" s="320"/>
      <c r="M154" s="320"/>
      <c r="N154" s="320"/>
      <c r="O154" s="320"/>
      <c r="P154" s="320"/>
      <c r="Q154" s="320"/>
      <c r="R154" s="320"/>
      <c r="S154" s="320"/>
      <c r="T154" s="320"/>
      <c r="U154" s="320"/>
      <c r="V154" s="320"/>
      <c r="W154" s="320"/>
      <c r="X154" s="320"/>
      <c r="Y154" s="320"/>
      <c r="Z154" s="320"/>
      <c r="AA154" s="320"/>
      <c r="AB154" s="320"/>
      <c r="AC154" s="320"/>
      <c r="AD154" s="320"/>
      <c r="AE154" s="320"/>
      <c r="AF154" s="320"/>
      <c r="AG154" s="25"/>
      <c r="AH154" s="25"/>
      <c r="AI154" s="25"/>
      <c r="AJ154" s="25"/>
      <c r="AK154" s="25"/>
      <c r="AL154" s="25"/>
      <c r="AM154" s="25"/>
      <c r="AN154" s="30"/>
      <c r="AO154" s="25"/>
      <c r="AP154" s="30"/>
      <c r="AQ154" s="25"/>
      <c r="AR154" s="25"/>
      <c r="AS154" s="25"/>
      <c r="AT154" s="25"/>
      <c r="AU154" s="25"/>
      <c r="AV154" s="25"/>
      <c r="AW154" s="25"/>
      <c r="AX154" s="25"/>
      <c r="AY154" s="25"/>
      <c r="AZ154" s="25"/>
      <c r="BA154" s="25"/>
    </row>
    <row r="155" spans="1:53" ht="12.75">
      <c r="A155" s="93"/>
      <c r="B155" s="320"/>
      <c r="C155" s="320"/>
      <c r="D155" s="320"/>
      <c r="E155" s="318"/>
      <c r="F155" s="318" t="s">
        <v>573</v>
      </c>
      <c r="G155" s="318"/>
      <c r="H155" s="318"/>
      <c r="I155" s="318"/>
      <c r="J155" s="320"/>
      <c r="K155" s="320"/>
      <c r="L155" s="320"/>
      <c r="M155" s="320"/>
      <c r="N155" s="320"/>
      <c r="O155" s="320"/>
      <c r="P155" s="320"/>
      <c r="Q155" s="320"/>
      <c r="R155" s="320"/>
      <c r="S155" s="320"/>
      <c r="T155" s="320"/>
      <c r="U155" s="320"/>
      <c r="V155" s="320"/>
      <c r="W155" s="320"/>
      <c r="X155" s="320"/>
      <c r="Y155" s="320"/>
      <c r="Z155" s="320"/>
      <c r="AA155" s="320"/>
      <c r="AB155" s="320"/>
      <c r="AC155" s="320"/>
      <c r="AD155" s="320"/>
      <c r="AE155" s="320"/>
      <c r="AF155" s="320"/>
      <c r="AG155" s="25"/>
      <c r="AH155" s="25"/>
      <c r="AI155" s="25"/>
      <c r="AJ155" s="25"/>
      <c r="AK155" s="25"/>
      <c r="AL155" s="25"/>
      <c r="AM155" s="25"/>
      <c r="AN155" s="30"/>
      <c r="AO155" s="25"/>
      <c r="AP155" s="30"/>
      <c r="AQ155" s="25"/>
      <c r="AR155" s="25"/>
      <c r="AS155" s="25"/>
      <c r="AT155" s="25"/>
      <c r="AU155" s="25"/>
      <c r="AV155" s="25"/>
      <c r="AW155" s="25"/>
      <c r="AX155" s="25"/>
      <c r="AY155" s="25"/>
      <c r="AZ155" s="25"/>
      <c r="BA155" s="25"/>
    </row>
    <row r="156" spans="1:53" ht="12.75">
      <c r="A156" s="93"/>
      <c r="B156" s="320"/>
      <c r="C156" s="320"/>
      <c r="D156" s="320"/>
      <c r="E156" s="318"/>
      <c r="F156" s="318" t="s">
        <v>574</v>
      </c>
      <c r="G156" s="318"/>
      <c r="H156" s="318"/>
      <c r="I156" s="320"/>
      <c r="J156" s="320"/>
      <c r="K156" s="320"/>
      <c r="L156" s="320"/>
      <c r="M156" s="320"/>
      <c r="N156" s="320"/>
      <c r="O156" s="320"/>
      <c r="P156" s="320"/>
      <c r="Q156" s="320"/>
      <c r="R156" s="320"/>
      <c r="S156" s="320"/>
      <c r="T156" s="320"/>
      <c r="U156" s="320"/>
      <c r="V156" s="320"/>
      <c r="W156" s="320"/>
      <c r="X156" s="320"/>
      <c r="Y156" s="320"/>
      <c r="Z156" s="320"/>
      <c r="AA156" s="320"/>
      <c r="AB156" s="320"/>
      <c r="AC156" s="320"/>
      <c r="AD156" s="320"/>
      <c r="AE156" s="320"/>
      <c r="AF156" s="320"/>
      <c r="AG156" s="25"/>
      <c r="AH156" s="25"/>
      <c r="AI156" s="25"/>
      <c r="AJ156" s="25"/>
      <c r="AK156" s="25"/>
      <c r="AL156" s="25"/>
      <c r="AM156" s="25"/>
      <c r="AN156" s="30"/>
      <c r="AO156" s="25"/>
      <c r="AP156" s="30"/>
      <c r="AQ156" s="25"/>
      <c r="AR156" s="25"/>
      <c r="AS156" s="25"/>
      <c r="AT156" s="25"/>
      <c r="AU156" s="25"/>
      <c r="AV156" s="25"/>
      <c r="AW156" s="25"/>
      <c r="AX156" s="25"/>
      <c r="AY156" s="25"/>
      <c r="AZ156" s="25"/>
      <c r="BA156" s="25"/>
    </row>
    <row r="157" spans="1:53" ht="12.75">
      <c r="A157" s="93"/>
      <c r="B157" s="320"/>
      <c r="C157" s="320"/>
      <c r="D157" s="320"/>
      <c r="E157" s="320" t="s">
        <v>800</v>
      </c>
      <c r="F157" s="320" t="s">
        <v>887</v>
      </c>
      <c r="G157" s="320"/>
      <c r="H157" s="320"/>
      <c r="I157" s="320"/>
      <c r="J157" s="320"/>
      <c r="K157" s="320"/>
      <c r="L157" s="320"/>
      <c r="M157" s="320"/>
      <c r="N157" s="320"/>
      <c r="O157" s="320"/>
      <c r="P157" s="320"/>
      <c r="Q157" s="320"/>
      <c r="R157" s="320"/>
      <c r="S157" s="320"/>
      <c r="T157" s="320"/>
      <c r="U157" s="320"/>
      <c r="V157" s="320"/>
      <c r="W157" s="320"/>
      <c r="X157" s="320"/>
      <c r="Y157" s="320"/>
      <c r="Z157" s="320"/>
      <c r="AA157" s="320"/>
      <c r="AB157" s="320"/>
      <c r="AC157" s="320"/>
      <c r="AD157" s="320"/>
      <c r="AE157" s="320"/>
      <c r="AF157" s="320"/>
      <c r="AG157" s="25"/>
      <c r="AH157" s="25"/>
      <c r="AI157" s="25"/>
      <c r="AJ157" s="25"/>
      <c r="AK157" s="25"/>
      <c r="AL157" s="25"/>
      <c r="AM157" s="25"/>
      <c r="AN157" s="30"/>
      <c r="AO157" s="25"/>
      <c r="AP157" s="30"/>
      <c r="AQ157" s="25"/>
      <c r="AR157" s="25"/>
      <c r="AS157" s="25"/>
      <c r="AT157" s="25"/>
      <c r="AU157" s="25"/>
      <c r="AV157" s="25"/>
      <c r="AW157" s="25"/>
      <c r="AX157" s="25"/>
      <c r="AY157" s="25"/>
      <c r="AZ157" s="25"/>
      <c r="BA157" s="25"/>
    </row>
    <row r="158" spans="1:53" ht="12.75">
      <c r="A158" s="93"/>
      <c r="B158" s="320"/>
      <c r="C158" s="320"/>
      <c r="D158" s="320"/>
      <c r="E158" s="320"/>
      <c r="F158" s="320" t="s">
        <v>575</v>
      </c>
      <c r="G158" s="320"/>
      <c r="H158" s="320"/>
      <c r="I158" s="320"/>
      <c r="J158" s="320"/>
      <c r="K158" s="320"/>
      <c r="L158" s="320"/>
      <c r="M158" s="320"/>
      <c r="N158" s="320"/>
      <c r="O158" s="320"/>
      <c r="P158" s="320"/>
      <c r="Q158" s="320"/>
      <c r="R158" s="320"/>
      <c r="S158" s="320"/>
      <c r="T158" s="320"/>
      <c r="U158" s="320"/>
      <c r="V158" s="320"/>
      <c r="W158" s="320"/>
      <c r="X158" s="320"/>
      <c r="Y158" s="320"/>
      <c r="Z158" s="320"/>
      <c r="AA158" s="320"/>
      <c r="AB158" s="320"/>
      <c r="AC158" s="320"/>
      <c r="AD158" s="320"/>
      <c r="AE158" s="320"/>
      <c r="AF158" s="320"/>
      <c r="AG158" s="25"/>
      <c r="AH158" s="25"/>
      <c r="AI158" s="25"/>
      <c r="AJ158" s="25"/>
      <c r="AK158" s="25"/>
      <c r="AL158" s="25"/>
      <c r="AM158" s="25"/>
      <c r="AN158" s="25"/>
      <c r="AO158" s="30"/>
      <c r="AP158" s="25"/>
      <c r="AQ158" s="25"/>
      <c r="AR158" s="25"/>
      <c r="AS158" s="25"/>
      <c r="AT158" s="25"/>
      <c r="AU158" s="25"/>
      <c r="AV158" s="25"/>
      <c r="AW158" s="25"/>
      <c r="AX158" s="25"/>
      <c r="AY158" s="25"/>
      <c r="AZ158" s="25"/>
      <c r="BA158" s="25"/>
    </row>
    <row r="159" spans="1:53" ht="12.75">
      <c r="A159" s="93"/>
      <c r="B159" s="320"/>
      <c r="C159" s="320"/>
      <c r="D159" s="320"/>
      <c r="E159" s="320"/>
      <c r="F159" s="320" t="s">
        <v>576</v>
      </c>
      <c r="G159" s="320"/>
      <c r="H159" s="320"/>
      <c r="I159" s="320"/>
      <c r="J159" s="320"/>
      <c r="K159" s="320"/>
      <c r="L159" s="320"/>
      <c r="M159" s="320"/>
      <c r="N159" s="320"/>
      <c r="O159" s="320"/>
      <c r="P159" s="320"/>
      <c r="Q159" s="320"/>
      <c r="R159" s="320"/>
      <c r="S159" s="320"/>
      <c r="T159" s="320"/>
      <c r="U159" s="320"/>
      <c r="V159" s="320"/>
      <c r="W159" s="320"/>
      <c r="X159" s="320"/>
      <c r="Y159" s="320"/>
      <c r="Z159" s="320"/>
      <c r="AA159" s="320"/>
      <c r="AB159" s="320"/>
      <c r="AC159" s="320"/>
      <c r="AD159" s="320"/>
      <c r="AE159" s="320"/>
      <c r="AF159" s="320"/>
      <c r="AG159" s="25"/>
      <c r="AH159" s="25"/>
      <c r="AI159" s="25"/>
      <c r="AJ159" s="25"/>
      <c r="AK159" s="25"/>
      <c r="AL159" s="25"/>
      <c r="AM159" s="25"/>
      <c r="AN159" s="25"/>
      <c r="AO159" s="30"/>
      <c r="AP159" s="25"/>
      <c r="AQ159" s="25"/>
      <c r="AR159" s="25"/>
      <c r="AS159" s="25"/>
      <c r="AT159" s="25"/>
      <c r="AU159" s="25"/>
      <c r="AV159" s="25"/>
      <c r="AW159" s="25"/>
      <c r="AX159" s="25"/>
      <c r="AY159" s="25"/>
      <c r="AZ159" s="25"/>
      <c r="BA159" s="25"/>
    </row>
    <row r="160" spans="1:53" ht="12.75">
      <c r="A160" s="93"/>
      <c r="B160" s="320"/>
      <c r="C160" s="320"/>
      <c r="D160" s="320"/>
      <c r="E160" s="320" t="s">
        <v>886</v>
      </c>
      <c r="F160" s="320" t="s">
        <v>577</v>
      </c>
      <c r="G160" s="320"/>
      <c r="H160" s="320"/>
      <c r="I160" s="320"/>
      <c r="J160" s="320"/>
      <c r="K160" s="320"/>
      <c r="L160" s="320"/>
      <c r="M160" s="320"/>
      <c r="N160" s="320"/>
      <c r="O160" s="320"/>
      <c r="P160" s="320"/>
      <c r="Q160" s="320"/>
      <c r="R160" s="320"/>
      <c r="S160" s="320"/>
      <c r="T160" s="320"/>
      <c r="U160" s="320"/>
      <c r="V160" s="320"/>
      <c r="W160" s="320"/>
      <c r="X160" s="320"/>
      <c r="Y160" s="320"/>
      <c r="Z160" s="320"/>
      <c r="AA160" s="320"/>
      <c r="AB160" s="320"/>
      <c r="AC160" s="320"/>
      <c r="AD160" s="320"/>
      <c r="AE160" s="320"/>
      <c r="AF160" s="320"/>
      <c r="AG160" s="25"/>
      <c r="AH160" s="25"/>
      <c r="AI160" s="25"/>
      <c r="AJ160" s="25"/>
      <c r="AK160" s="25"/>
      <c r="AL160" s="25"/>
      <c r="AM160" s="25"/>
      <c r="AN160" s="25"/>
      <c r="AO160" s="30"/>
      <c r="AP160" s="25"/>
      <c r="AQ160" s="25"/>
      <c r="AR160" s="25"/>
      <c r="AS160" s="25"/>
      <c r="AT160" s="25"/>
      <c r="AU160" s="25"/>
      <c r="AV160" s="25"/>
      <c r="AW160" s="25"/>
      <c r="AX160" s="25"/>
      <c r="AY160" s="25"/>
      <c r="AZ160" s="25"/>
      <c r="BA160" s="25"/>
    </row>
    <row r="161" spans="1:53" ht="12.75">
      <c r="A161" s="93"/>
      <c r="B161" s="320"/>
      <c r="C161" s="320"/>
      <c r="D161" s="320"/>
      <c r="E161" s="320"/>
      <c r="F161" s="320" t="s">
        <v>578</v>
      </c>
      <c r="G161" s="320"/>
      <c r="H161" s="320"/>
      <c r="I161" s="320"/>
      <c r="J161" s="320"/>
      <c r="K161" s="320"/>
      <c r="L161" s="320"/>
      <c r="M161" s="320"/>
      <c r="N161" s="320"/>
      <c r="O161" s="320"/>
      <c r="P161" s="320"/>
      <c r="Q161" s="320"/>
      <c r="R161" s="320"/>
      <c r="S161" s="320"/>
      <c r="T161" s="320"/>
      <c r="U161" s="320"/>
      <c r="V161" s="320"/>
      <c r="W161" s="320"/>
      <c r="X161" s="320"/>
      <c r="Y161" s="320"/>
      <c r="Z161" s="320"/>
      <c r="AA161" s="320"/>
      <c r="AB161" s="320"/>
      <c r="AC161" s="320"/>
      <c r="AD161" s="320"/>
      <c r="AE161" s="320"/>
      <c r="AF161" s="320"/>
      <c r="AG161" s="25"/>
      <c r="AH161" s="25"/>
      <c r="AI161" s="25"/>
      <c r="AJ161" s="25"/>
      <c r="AK161" s="25"/>
      <c r="AL161" s="25"/>
      <c r="AM161" s="25"/>
      <c r="AN161" s="25"/>
      <c r="AO161" s="25"/>
      <c r="AP161" s="25"/>
      <c r="AQ161" s="25"/>
      <c r="AR161" s="25"/>
      <c r="AS161" s="25"/>
      <c r="AT161" s="25"/>
      <c r="AU161" s="25"/>
      <c r="AV161" s="25"/>
      <c r="AW161" s="25"/>
      <c r="AX161" s="25"/>
      <c r="AY161" s="25"/>
      <c r="AZ161" s="25"/>
      <c r="BA161" s="25"/>
    </row>
    <row r="162" spans="1:53" ht="12.75">
      <c r="A162" s="93"/>
      <c r="B162" s="320"/>
      <c r="C162" s="320"/>
      <c r="D162" s="320"/>
      <c r="E162" s="318"/>
      <c r="F162" s="320" t="s">
        <v>579</v>
      </c>
      <c r="G162" s="318"/>
      <c r="H162" s="318"/>
      <c r="I162" s="318"/>
      <c r="J162" s="320"/>
      <c r="K162" s="320"/>
      <c r="L162" s="320"/>
      <c r="M162" s="320"/>
      <c r="N162" s="320"/>
      <c r="O162" s="320"/>
      <c r="P162" s="320"/>
      <c r="Q162" s="320"/>
      <c r="R162" s="320"/>
      <c r="S162" s="320"/>
      <c r="T162" s="320"/>
      <c r="U162" s="320"/>
      <c r="V162" s="320"/>
      <c r="W162" s="320"/>
      <c r="X162" s="320"/>
      <c r="Y162" s="320"/>
      <c r="Z162" s="320"/>
      <c r="AA162" s="320"/>
      <c r="AB162" s="320"/>
      <c r="AC162" s="320"/>
      <c r="AD162" s="320"/>
      <c r="AE162" s="320"/>
      <c r="AF162" s="320"/>
      <c r="AG162" s="25"/>
      <c r="AH162" s="25"/>
      <c r="AI162" s="25"/>
      <c r="AJ162" s="25"/>
      <c r="AK162" s="25"/>
      <c r="AL162" s="25"/>
      <c r="AM162" s="25"/>
      <c r="AN162" s="25"/>
      <c r="AO162" s="25"/>
      <c r="AP162" s="25"/>
      <c r="AQ162" s="25"/>
      <c r="AR162" s="25"/>
      <c r="AS162" s="25"/>
      <c r="AT162" s="25"/>
      <c r="AU162" s="25"/>
      <c r="AV162" s="25"/>
      <c r="AW162" s="25"/>
      <c r="AX162" s="25"/>
      <c r="AY162" s="25"/>
      <c r="AZ162" s="25"/>
      <c r="BA162" s="25"/>
    </row>
    <row r="163" spans="1:53" ht="12.75">
      <c r="A163" s="93"/>
      <c r="B163" s="320"/>
      <c r="C163" s="320"/>
      <c r="D163" s="320"/>
      <c r="E163" s="318"/>
      <c r="F163" s="320" t="s">
        <v>518</v>
      </c>
      <c r="G163" s="318"/>
      <c r="H163" s="318"/>
      <c r="I163" s="318"/>
      <c r="J163" s="318"/>
      <c r="K163" s="318"/>
      <c r="L163" s="320"/>
      <c r="M163" s="320"/>
      <c r="N163" s="320"/>
      <c r="O163" s="320"/>
      <c r="P163" s="320"/>
      <c r="Q163" s="320"/>
      <c r="R163" s="320"/>
      <c r="S163" s="320"/>
      <c r="T163" s="320"/>
      <c r="U163" s="320"/>
      <c r="V163" s="320"/>
      <c r="W163" s="320"/>
      <c r="X163" s="320"/>
      <c r="Y163" s="320"/>
      <c r="Z163" s="320"/>
      <c r="AA163" s="320"/>
      <c r="AB163" s="320"/>
      <c r="AC163" s="320"/>
      <c r="AD163" s="320"/>
      <c r="AE163" s="320"/>
      <c r="AF163" s="320"/>
      <c r="AG163" s="25"/>
      <c r="AH163" s="25"/>
      <c r="AI163" s="25"/>
      <c r="AJ163" s="25"/>
      <c r="AK163" s="25"/>
      <c r="AL163" s="25"/>
      <c r="AM163" s="25"/>
      <c r="AN163" s="25"/>
      <c r="AO163" s="25"/>
      <c r="AP163" s="25"/>
      <c r="AQ163" s="25"/>
      <c r="AR163" s="25"/>
      <c r="AS163" s="25"/>
      <c r="AT163" s="25"/>
      <c r="AU163" s="25"/>
      <c r="AV163" s="25"/>
      <c r="AW163" s="25"/>
      <c r="AX163" s="25"/>
      <c r="AY163" s="25"/>
      <c r="AZ163" s="25"/>
      <c r="BA163" s="25"/>
    </row>
    <row r="164" spans="1:53" ht="12.75">
      <c r="A164" s="93"/>
      <c r="B164" s="320"/>
      <c r="C164" s="320"/>
      <c r="D164" s="318"/>
      <c r="E164" s="320"/>
      <c r="F164" s="320" t="s">
        <v>517</v>
      </c>
      <c r="G164" s="320"/>
      <c r="H164" s="320"/>
      <c r="I164" s="320"/>
      <c r="J164" s="320"/>
      <c r="K164" s="320"/>
      <c r="L164" s="320"/>
      <c r="M164" s="320"/>
      <c r="N164" s="320"/>
      <c r="O164" s="320"/>
      <c r="P164" s="320"/>
      <c r="Q164" s="320"/>
      <c r="R164" s="320"/>
      <c r="S164" s="320"/>
      <c r="T164" s="320"/>
      <c r="U164" s="320"/>
      <c r="V164" s="320"/>
      <c r="W164" s="320"/>
      <c r="X164" s="320"/>
      <c r="Y164" s="320"/>
      <c r="Z164" s="320"/>
      <c r="AA164" s="320"/>
      <c r="AB164" s="320"/>
      <c r="AC164" s="320"/>
      <c r="AD164" s="320"/>
      <c r="AE164" s="320"/>
      <c r="AF164" s="320"/>
      <c r="AG164" s="25"/>
      <c r="AH164" s="25"/>
      <c r="AI164" s="25"/>
      <c r="AJ164" s="25"/>
      <c r="AK164" s="25"/>
      <c r="AL164" s="25"/>
      <c r="AM164" s="25"/>
      <c r="AN164" s="25"/>
      <c r="AO164" s="25"/>
      <c r="AP164" s="25"/>
      <c r="AQ164" s="25"/>
      <c r="AR164" s="25"/>
      <c r="AS164" s="25"/>
      <c r="AT164" s="25"/>
      <c r="AU164" s="25"/>
      <c r="AV164" s="25"/>
      <c r="AW164" s="25"/>
      <c r="AX164" s="25"/>
      <c r="AY164" s="25"/>
      <c r="AZ164" s="25"/>
      <c r="BA164" s="25"/>
    </row>
    <row r="165" spans="1:53" ht="12.75">
      <c r="A165" s="320"/>
      <c r="B165" s="320"/>
      <c r="C165" s="320"/>
      <c r="D165" s="318"/>
      <c r="E165" s="320"/>
      <c r="F165" s="320"/>
      <c r="G165" s="320"/>
      <c r="H165" s="320"/>
      <c r="I165" s="320"/>
      <c r="J165" s="320"/>
      <c r="K165" s="320"/>
      <c r="L165" s="320"/>
      <c r="M165" s="320"/>
      <c r="N165" s="320"/>
      <c r="O165" s="320"/>
      <c r="P165" s="320"/>
      <c r="Q165" s="320"/>
      <c r="R165" s="320"/>
      <c r="S165" s="320"/>
      <c r="T165" s="320"/>
      <c r="U165" s="320"/>
      <c r="V165" s="320"/>
      <c r="W165" s="320"/>
      <c r="X165" s="320"/>
      <c r="Y165" s="320"/>
      <c r="Z165" s="320"/>
      <c r="AA165" s="320"/>
      <c r="AB165" s="320"/>
      <c r="AC165" s="320"/>
      <c r="AD165" s="320"/>
      <c r="AE165" s="320"/>
      <c r="AF165" s="320"/>
      <c r="AG165" s="327" t="s">
        <v>583</v>
      </c>
      <c r="AH165" s="25"/>
      <c r="AI165" s="25"/>
      <c r="AJ165" s="25"/>
      <c r="AK165" s="25"/>
      <c r="AL165" s="25"/>
      <c r="AM165" s="25"/>
      <c r="AN165" s="25"/>
      <c r="AO165" s="25"/>
      <c r="AP165" s="25"/>
      <c r="AQ165" s="25"/>
      <c r="AR165" s="25"/>
      <c r="AS165" s="25"/>
      <c r="AT165" s="25"/>
      <c r="AU165" s="25"/>
      <c r="AV165" s="25"/>
      <c r="AW165" s="25"/>
      <c r="AX165" s="25"/>
      <c r="AY165" s="25"/>
      <c r="AZ165" s="25"/>
      <c r="BA165" s="25"/>
    </row>
    <row r="166" spans="1:53" ht="12.75">
      <c r="A166" s="93"/>
      <c r="B166" s="93"/>
      <c r="C166" s="93"/>
      <c r="D166" s="208"/>
      <c r="E166" s="208"/>
      <c r="F166" s="208"/>
      <c r="G166" s="208"/>
      <c r="H166" s="208"/>
      <c r="I166" s="208"/>
      <c r="J166" s="208"/>
      <c r="K166" s="208"/>
      <c r="L166" s="93"/>
      <c r="M166" s="93"/>
      <c r="N166" s="93"/>
      <c r="O166" s="93"/>
      <c r="P166" s="93"/>
      <c r="Q166" s="93"/>
      <c r="R166" s="93"/>
      <c r="S166" s="93"/>
      <c r="T166" s="93"/>
      <c r="U166" s="93"/>
      <c r="V166" s="93"/>
      <c r="W166" s="93"/>
      <c r="X166" s="93"/>
      <c r="Y166" s="93"/>
      <c r="Z166" s="93"/>
      <c r="AA166" s="93"/>
      <c r="AB166" s="93"/>
      <c r="AC166" s="93"/>
      <c r="AD166" s="93"/>
      <c r="AE166" s="93"/>
      <c r="AF166" s="93"/>
      <c r="AG166" s="25"/>
      <c r="AH166" s="25"/>
      <c r="AI166" s="25"/>
      <c r="AJ166" s="25"/>
      <c r="AK166" s="25"/>
      <c r="AL166" s="25"/>
      <c r="AM166" s="25"/>
      <c r="AN166" s="25"/>
      <c r="AO166" s="25"/>
      <c r="AP166" s="25"/>
      <c r="AQ166" s="25"/>
      <c r="AR166" s="25"/>
      <c r="AS166" s="25"/>
      <c r="AT166" s="25"/>
      <c r="AU166" s="25"/>
      <c r="AV166" s="25"/>
      <c r="AW166" s="25"/>
      <c r="AX166" s="25"/>
      <c r="AY166" s="25"/>
      <c r="AZ166" s="25"/>
      <c r="BA166" s="25"/>
    </row>
    <row r="167" spans="1:53" ht="12.75">
      <c r="A167" s="93"/>
      <c r="B167" s="93"/>
      <c r="C167" s="93"/>
      <c r="D167" s="208"/>
      <c r="E167" s="208"/>
      <c r="F167" s="208"/>
      <c r="G167" s="208"/>
      <c r="H167" s="208"/>
      <c r="I167" s="208"/>
      <c r="J167" s="208"/>
      <c r="K167" s="208"/>
      <c r="L167" s="93"/>
      <c r="M167" s="93"/>
      <c r="N167" s="93"/>
      <c r="O167" s="93"/>
      <c r="P167" s="93"/>
      <c r="Q167" s="93"/>
      <c r="R167" s="93"/>
      <c r="S167" s="93"/>
      <c r="T167" s="93"/>
      <c r="U167" s="93"/>
      <c r="V167" s="93"/>
      <c r="W167" s="93"/>
      <c r="X167" s="93"/>
      <c r="Y167" s="93"/>
      <c r="Z167" s="93"/>
      <c r="AA167" s="93"/>
      <c r="AB167" s="93"/>
      <c r="AC167" s="93"/>
      <c r="AD167" s="93"/>
      <c r="AE167" s="93"/>
      <c r="AF167" s="93"/>
      <c r="AG167" s="25"/>
      <c r="AH167" s="25"/>
      <c r="AI167" s="25"/>
      <c r="AJ167" s="25"/>
      <c r="AK167" s="25"/>
      <c r="AL167" s="25"/>
      <c r="AM167" s="25"/>
      <c r="AN167" s="25"/>
      <c r="AO167" s="25"/>
      <c r="AP167" s="25"/>
      <c r="AQ167" s="25"/>
      <c r="AR167" s="25"/>
      <c r="AS167" s="25"/>
      <c r="AT167" s="25"/>
      <c r="AU167" s="25"/>
      <c r="AV167" s="25"/>
      <c r="AW167" s="25"/>
      <c r="AX167" s="25"/>
      <c r="AY167" s="25"/>
      <c r="AZ167" s="25"/>
      <c r="BA167" s="25"/>
    </row>
    <row r="168" spans="1:53" ht="12.75">
      <c r="A168" s="93"/>
      <c r="B168" s="93"/>
      <c r="C168" s="93"/>
      <c r="D168" s="208"/>
      <c r="E168" s="208"/>
      <c r="F168" s="208"/>
      <c r="G168" s="208"/>
      <c r="H168" s="93"/>
      <c r="I168" s="93"/>
      <c r="J168" s="93"/>
      <c r="K168" s="93"/>
      <c r="L168" s="93"/>
      <c r="M168" s="93"/>
      <c r="N168" s="93"/>
      <c r="O168" s="93"/>
      <c r="P168" s="93"/>
      <c r="Q168" s="93"/>
      <c r="R168" s="93"/>
      <c r="S168" s="93"/>
      <c r="T168" s="93"/>
      <c r="U168" s="93"/>
      <c r="V168" s="93"/>
      <c r="W168" s="93"/>
      <c r="X168" s="93"/>
      <c r="Y168" s="93"/>
      <c r="Z168" s="93"/>
      <c r="AA168" s="93"/>
      <c r="AB168" s="93"/>
      <c r="AC168" s="93"/>
      <c r="AD168" s="93"/>
      <c r="AE168" s="93"/>
      <c r="AF168" s="93"/>
      <c r="AG168" s="25"/>
      <c r="AH168" s="25"/>
      <c r="AI168" s="25"/>
      <c r="AJ168" s="25"/>
      <c r="AK168" s="25"/>
      <c r="AL168" s="25"/>
      <c r="AM168" s="25"/>
      <c r="AN168" s="25"/>
      <c r="AO168" s="25"/>
      <c r="AP168" s="25"/>
      <c r="AQ168" s="25"/>
      <c r="AR168" s="25"/>
      <c r="AS168" s="25"/>
      <c r="AT168" s="25"/>
      <c r="AU168" s="25"/>
      <c r="AV168" s="25"/>
      <c r="AW168" s="25"/>
      <c r="AX168" s="25"/>
      <c r="AY168" s="25"/>
      <c r="AZ168" s="25"/>
      <c r="BA168" s="25"/>
    </row>
    <row r="169" spans="1:53" ht="12.75">
      <c r="A169" s="93"/>
      <c r="B169" s="93"/>
      <c r="C169" s="93"/>
      <c r="D169" s="208"/>
      <c r="E169" s="208"/>
      <c r="F169" s="208"/>
      <c r="G169" s="208"/>
      <c r="H169" s="93"/>
      <c r="I169" s="93"/>
      <c r="J169" s="93"/>
      <c r="K169" s="93"/>
      <c r="L169" s="93"/>
      <c r="M169" s="93"/>
      <c r="N169" s="93"/>
      <c r="O169" s="93"/>
      <c r="P169" s="93"/>
      <c r="Q169" s="93"/>
      <c r="R169" s="93"/>
      <c r="S169" s="93"/>
      <c r="T169" s="93"/>
      <c r="U169" s="93"/>
      <c r="V169" s="93"/>
      <c r="W169" s="93"/>
      <c r="X169" s="93"/>
      <c r="Y169" s="93"/>
      <c r="Z169" s="93"/>
      <c r="AA169" s="93"/>
      <c r="AB169" s="93"/>
      <c r="AC169" s="93"/>
      <c r="AD169" s="93"/>
      <c r="AE169" s="93"/>
      <c r="AF169" s="93"/>
      <c r="AG169" s="25"/>
      <c r="AH169" s="25"/>
      <c r="AI169" s="25"/>
      <c r="AJ169" s="25"/>
      <c r="AK169" s="25"/>
      <c r="AL169" s="25"/>
      <c r="AM169" s="25"/>
      <c r="AN169" s="25"/>
      <c r="AO169" s="25"/>
      <c r="AP169" s="25"/>
      <c r="AQ169" s="25"/>
      <c r="AR169" s="25"/>
      <c r="AS169" s="25"/>
      <c r="AT169" s="25"/>
      <c r="AU169" s="25"/>
      <c r="AV169" s="25"/>
      <c r="AW169" s="25"/>
      <c r="AX169" s="25"/>
      <c r="AY169" s="25"/>
      <c r="AZ169" s="25"/>
      <c r="BA169" s="25"/>
    </row>
    <row r="170" spans="1:53" ht="12.75">
      <c r="A170" s="93"/>
      <c r="B170" s="93"/>
      <c r="C170" s="93"/>
      <c r="D170" s="208"/>
      <c r="E170" s="208"/>
      <c r="F170" s="208"/>
      <c r="G170" s="208"/>
      <c r="H170" s="93"/>
      <c r="I170" s="93"/>
      <c r="J170" s="93"/>
      <c r="K170" s="93"/>
      <c r="L170" s="93"/>
      <c r="M170" s="93"/>
      <c r="N170" s="93"/>
      <c r="O170" s="93"/>
      <c r="P170" s="93"/>
      <c r="Q170" s="93"/>
      <c r="R170" s="93"/>
      <c r="S170" s="93"/>
      <c r="T170" s="93"/>
      <c r="U170" s="93"/>
      <c r="V170" s="93"/>
      <c r="W170" s="93"/>
      <c r="X170" s="93"/>
      <c r="Y170" s="93"/>
      <c r="Z170" s="93"/>
      <c r="AA170" s="93"/>
      <c r="AB170" s="93"/>
      <c r="AC170" s="93"/>
      <c r="AD170" s="93"/>
      <c r="AE170" s="93"/>
      <c r="AF170" s="93"/>
      <c r="AG170" s="25"/>
      <c r="AH170" s="25"/>
      <c r="AI170" s="25"/>
      <c r="AJ170" s="25"/>
      <c r="AK170" s="25"/>
      <c r="AL170" s="25"/>
      <c r="AM170" s="25"/>
      <c r="AN170" s="25"/>
      <c r="AO170" s="25"/>
      <c r="AP170" s="25"/>
      <c r="AQ170" s="25"/>
      <c r="AR170" s="25"/>
      <c r="AS170" s="25"/>
      <c r="AT170" s="25"/>
      <c r="AU170" s="25"/>
      <c r="AV170" s="25"/>
      <c r="AW170" s="25"/>
      <c r="AX170" s="25"/>
      <c r="AY170" s="25"/>
      <c r="AZ170" s="25"/>
      <c r="BA170" s="25"/>
    </row>
    <row r="171" spans="1:53" ht="12.75">
      <c r="A171" s="93"/>
      <c r="B171" s="93"/>
      <c r="C171" s="93"/>
      <c r="D171" s="208"/>
      <c r="E171" s="208"/>
      <c r="F171" s="208"/>
      <c r="G171" s="208"/>
      <c r="H171" s="93"/>
      <c r="I171" s="93"/>
      <c r="J171" s="93"/>
      <c r="K171" s="93"/>
      <c r="L171" s="93"/>
      <c r="M171" s="93"/>
      <c r="N171" s="93"/>
      <c r="O171" s="93"/>
      <c r="P171" s="93"/>
      <c r="Q171" s="93"/>
      <c r="R171" s="93"/>
      <c r="S171" s="93"/>
      <c r="T171" s="93"/>
      <c r="U171" s="93"/>
      <c r="V171" s="93"/>
      <c r="W171" s="93"/>
      <c r="X171" s="93"/>
      <c r="Y171" s="93"/>
      <c r="Z171" s="93"/>
      <c r="AA171" s="93"/>
      <c r="AB171" s="93"/>
      <c r="AC171" s="93"/>
      <c r="AD171" s="93"/>
      <c r="AE171" s="93"/>
      <c r="AF171" s="93"/>
      <c r="AG171" s="25"/>
      <c r="AH171" s="25"/>
      <c r="AI171" s="25"/>
      <c r="AJ171" s="25"/>
      <c r="AK171" s="25"/>
      <c r="AL171" s="25"/>
      <c r="AM171" s="25"/>
      <c r="AN171" s="25"/>
      <c r="AO171" s="25"/>
      <c r="AP171" s="25"/>
      <c r="AQ171" s="25"/>
      <c r="AR171" s="25"/>
      <c r="AS171" s="25"/>
      <c r="AT171" s="25"/>
      <c r="AU171" s="25"/>
      <c r="AV171" s="25"/>
      <c r="AW171" s="25"/>
      <c r="AX171" s="25"/>
      <c r="AY171" s="25"/>
      <c r="AZ171" s="25"/>
      <c r="BA171" s="25"/>
    </row>
    <row r="172" spans="1:53" ht="12.75">
      <c r="A172" s="93"/>
      <c r="B172" s="93"/>
      <c r="C172" s="93"/>
      <c r="D172" s="208"/>
      <c r="E172" s="208"/>
      <c r="F172" s="208"/>
      <c r="G172" s="208"/>
      <c r="H172" s="93"/>
      <c r="I172" s="93"/>
      <c r="J172" s="93"/>
      <c r="K172" s="93"/>
      <c r="L172" s="93"/>
      <c r="M172" s="93"/>
      <c r="N172" s="93"/>
      <c r="O172" s="93"/>
      <c r="P172" s="93"/>
      <c r="Q172" s="93"/>
      <c r="R172" s="93"/>
      <c r="S172" s="93"/>
      <c r="T172" s="93"/>
      <c r="U172" s="93"/>
      <c r="V172" s="93"/>
      <c r="W172" s="93"/>
      <c r="X172" s="93"/>
      <c r="Y172" s="93"/>
      <c r="Z172" s="93"/>
      <c r="AA172" s="93"/>
      <c r="AB172" s="93"/>
      <c r="AC172" s="93"/>
      <c r="AD172" s="93"/>
      <c r="AE172" s="93"/>
      <c r="AF172" s="93"/>
      <c r="AG172" s="25"/>
      <c r="AH172" s="25"/>
      <c r="AI172" s="25"/>
      <c r="AJ172" s="25"/>
      <c r="AK172" s="25"/>
      <c r="AL172" s="25"/>
      <c r="AM172" s="25"/>
      <c r="AN172" s="25"/>
      <c r="AO172" s="25"/>
      <c r="AP172" s="25"/>
      <c r="AQ172" s="25"/>
      <c r="AR172" s="25"/>
      <c r="AS172" s="25"/>
      <c r="AT172" s="25"/>
      <c r="AU172" s="25"/>
      <c r="AV172" s="25"/>
      <c r="AW172" s="25"/>
      <c r="AX172" s="25"/>
      <c r="AY172" s="25"/>
      <c r="AZ172" s="25"/>
      <c r="BA172" s="25"/>
    </row>
    <row r="173" spans="1:53" ht="12.75">
      <c r="A173" s="93"/>
      <c r="B173" s="93"/>
      <c r="C173" s="93"/>
      <c r="D173" s="208"/>
      <c r="E173" s="208"/>
      <c r="F173" s="208"/>
      <c r="G173" s="208"/>
      <c r="H173" s="93"/>
      <c r="I173" s="93"/>
      <c r="J173" s="93"/>
      <c r="K173" s="93"/>
      <c r="L173" s="93"/>
      <c r="M173" s="93"/>
      <c r="N173" s="93"/>
      <c r="O173" s="93"/>
      <c r="P173" s="93"/>
      <c r="Q173" s="93"/>
      <c r="R173" s="93"/>
      <c r="S173" s="93"/>
      <c r="T173" s="93"/>
      <c r="U173" s="93"/>
      <c r="V173" s="93"/>
      <c r="W173" s="93"/>
      <c r="X173" s="93"/>
      <c r="Y173" s="93"/>
      <c r="Z173" s="93"/>
      <c r="AA173" s="93"/>
      <c r="AB173" s="93"/>
      <c r="AC173" s="93"/>
      <c r="AD173" s="93"/>
      <c r="AE173" s="93"/>
      <c r="AF173" s="93"/>
      <c r="AG173" s="25"/>
      <c r="AH173" s="25"/>
      <c r="AI173" s="25"/>
      <c r="AJ173" s="25"/>
      <c r="AK173" s="25"/>
      <c r="AL173" s="25"/>
      <c r="AM173" s="25"/>
      <c r="AN173" s="25"/>
      <c r="AO173" s="25"/>
      <c r="AP173" s="25"/>
      <c r="AQ173" s="25"/>
      <c r="AR173" s="25"/>
      <c r="AS173" s="25"/>
      <c r="AT173" s="25"/>
      <c r="AU173" s="25"/>
      <c r="AV173" s="25"/>
      <c r="AW173" s="25"/>
      <c r="AX173" s="25"/>
      <c r="AY173" s="25"/>
      <c r="AZ173" s="25"/>
      <c r="BA173" s="25"/>
    </row>
    <row r="174" spans="1:53" ht="12.75">
      <c r="A174" s="93"/>
      <c r="B174" s="93"/>
      <c r="C174" s="93"/>
      <c r="D174" s="208"/>
      <c r="E174" s="208"/>
      <c r="F174" s="208"/>
      <c r="G174" s="208"/>
      <c r="H174" s="93"/>
      <c r="I174" s="93"/>
      <c r="J174" s="93"/>
      <c r="K174" s="93"/>
      <c r="L174" s="93"/>
      <c r="M174" s="93"/>
      <c r="N174" s="93"/>
      <c r="O174" s="93"/>
      <c r="P174" s="93"/>
      <c r="Q174" s="93"/>
      <c r="R174" s="93"/>
      <c r="S174" s="93"/>
      <c r="T174" s="93"/>
      <c r="U174" s="93"/>
      <c r="V174" s="93"/>
      <c r="W174" s="93"/>
      <c r="X174" s="93"/>
      <c r="Y174" s="93"/>
      <c r="Z174" s="93"/>
      <c r="AA174" s="93"/>
      <c r="AB174" s="93"/>
      <c r="AC174" s="93"/>
      <c r="AD174" s="93"/>
      <c r="AE174" s="93"/>
      <c r="AF174" s="93"/>
      <c r="AG174" s="25"/>
      <c r="AH174" s="25"/>
      <c r="AI174" s="25"/>
      <c r="AJ174" s="25"/>
      <c r="AK174" s="25"/>
      <c r="AL174" s="25"/>
      <c r="AM174" s="25"/>
      <c r="AN174" s="25"/>
      <c r="AO174" s="25"/>
      <c r="AP174" s="25"/>
      <c r="AQ174" s="25"/>
      <c r="AR174" s="25"/>
      <c r="AS174" s="25"/>
      <c r="AT174" s="25"/>
      <c r="AU174" s="25"/>
      <c r="AV174" s="25"/>
      <c r="AW174" s="25"/>
      <c r="AX174" s="25"/>
      <c r="AY174" s="25"/>
      <c r="AZ174" s="25"/>
      <c r="BA174" s="25"/>
    </row>
    <row r="175" spans="1:53" ht="12.75">
      <c r="A175" s="93"/>
      <c r="B175" s="93"/>
      <c r="C175" s="93"/>
      <c r="D175" s="208"/>
      <c r="E175" s="208"/>
      <c r="F175" s="208"/>
      <c r="G175" s="208"/>
      <c r="H175" s="93"/>
      <c r="I175" s="93"/>
      <c r="J175" s="93"/>
      <c r="K175" s="93"/>
      <c r="L175" s="93"/>
      <c r="M175" s="93"/>
      <c r="N175" s="93"/>
      <c r="O175" s="93"/>
      <c r="P175" s="93"/>
      <c r="Q175" s="93"/>
      <c r="R175" s="93"/>
      <c r="S175" s="93"/>
      <c r="T175" s="93"/>
      <c r="U175" s="93"/>
      <c r="V175" s="93"/>
      <c r="W175" s="93"/>
      <c r="X175" s="93"/>
      <c r="Y175" s="93"/>
      <c r="Z175" s="93"/>
      <c r="AA175" s="93"/>
      <c r="AB175" s="93"/>
      <c r="AC175" s="93"/>
      <c r="AD175" s="93"/>
      <c r="AE175" s="93"/>
      <c r="AF175" s="93"/>
      <c r="AG175" s="25"/>
      <c r="AH175" s="25"/>
      <c r="AI175" s="25"/>
      <c r="AJ175" s="25"/>
      <c r="AK175" s="25"/>
      <c r="AL175" s="25"/>
      <c r="AM175" s="25"/>
      <c r="AN175" s="25"/>
      <c r="AO175" s="25"/>
      <c r="AP175" s="25"/>
      <c r="AQ175" s="25"/>
      <c r="AR175" s="25"/>
      <c r="AS175" s="25"/>
      <c r="AT175" s="25"/>
      <c r="AU175" s="25"/>
      <c r="AV175" s="25"/>
      <c r="AW175" s="25"/>
      <c r="AX175" s="25"/>
      <c r="AY175" s="25"/>
      <c r="AZ175" s="25"/>
      <c r="BA175" s="25"/>
    </row>
    <row r="176" spans="1:53" ht="12.75">
      <c r="A176" s="93"/>
      <c r="B176" s="93"/>
      <c r="C176" s="93"/>
      <c r="D176" s="208"/>
      <c r="E176" s="208"/>
      <c r="F176" s="208"/>
      <c r="G176" s="208"/>
      <c r="H176" s="93"/>
      <c r="I176" s="93"/>
      <c r="J176" s="93"/>
      <c r="K176" s="93"/>
      <c r="L176" s="93"/>
      <c r="M176" s="93"/>
      <c r="N176" s="93"/>
      <c r="O176" s="93"/>
      <c r="P176" s="93"/>
      <c r="Q176" s="93"/>
      <c r="R176" s="93"/>
      <c r="S176" s="93"/>
      <c r="T176" s="93"/>
      <c r="U176" s="93"/>
      <c r="V176" s="93"/>
      <c r="W176" s="93"/>
      <c r="X176" s="93"/>
      <c r="Y176" s="93"/>
      <c r="Z176" s="93"/>
      <c r="AA176" s="93"/>
      <c r="AB176" s="93"/>
      <c r="AC176" s="93"/>
      <c r="AD176" s="93"/>
      <c r="AE176" s="93"/>
      <c r="AF176" s="93"/>
      <c r="AG176" s="25"/>
      <c r="AH176" s="25"/>
      <c r="AI176" s="25"/>
      <c r="AJ176" s="25"/>
      <c r="AK176" s="25"/>
      <c r="AL176" s="25"/>
      <c r="AM176" s="25"/>
      <c r="AN176" s="25"/>
      <c r="AO176" s="25"/>
      <c r="AP176" s="25"/>
      <c r="AQ176" s="25"/>
      <c r="AR176" s="25"/>
      <c r="AS176" s="25"/>
      <c r="AT176" s="25"/>
      <c r="AU176" s="25"/>
      <c r="AV176" s="25"/>
      <c r="AW176" s="25"/>
      <c r="AX176" s="25"/>
      <c r="AY176" s="25"/>
      <c r="AZ176" s="25"/>
      <c r="BA176" s="25"/>
    </row>
    <row r="177" spans="1:53" ht="12.75">
      <c r="A177" s="93"/>
      <c r="B177" s="93"/>
      <c r="C177" s="93"/>
      <c r="D177" s="208"/>
      <c r="E177" s="208"/>
      <c r="F177" s="208"/>
      <c r="G177" s="208"/>
      <c r="H177" s="93"/>
      <c r="I177" s="93"/>
      <c r="J177" s="93"/>
      <c r="K177" s="93"/>
      <c r="L177" s="93"/>
      <c r="M177" s="93"/>
      <c r="N177" s="93"/>
      <c r="O177" s="93"/>
      <c r="P177" s="93"/>
      <c r="Q177" s="93"/>
      <c r="R177" s="93"/>
      <c r="S177" s="93"/>
      <c r="T177" s="93"/>
      <c r="U177" s="93"/>
      <c r="V177" s="93"/>
      <c r="W177" s="93"/>
      <c r="X177" s="93"/>
      <c r="Y177" s="93"/>
      <c r="Z177" s="93"/>
      <c r="AA177" s="93"/>
      <c r="AB177" s="93"/>
      <c r="AC177" s="93"/>
      <c r="AD177" s="93"/>
      <c r="AE177" s="93"/>
      <c r="AF177" s="93"/>
      <c r="AG177" s="25"/>
      <c r="AH177" s="25"/>
      <c r="AI177" s="25"/>
      <c r="AJ177" s="25"/>
      <c r="AK177" s="25"/>
      <c r="AL177" s="25"/>
      <c r="AM177" s="25"/>
      <c r="AN177" s="25"/>
      <c r="AO177" s="25"/>
      <c r="AP177" s="25"/>
      <c r="AQ177" s="25"/>
      <c r="AR177" s="25"/>
      <c r="AS177" s="25"/>
      <c r="AT177" s="25"/>
      <c r="AU177" s="25"/>
      <c r="AV177" s="25"/>
      <c r="AW177" s="25"/>
      <c r="AX177" s="25"/>
      <c r="AY177" s="25"/>
      <c r="AZ177" s="25"/>
      <c r="BA177" s="25"/>
    </row>
    <row r="178" spans="1:53" ht="12.75">
      <c r="A178" s="93"/>
      <c r="B178" s="93"/>
      <c r="C178" s="93"/>
      <c r="D178" s="208"/>
      <c r="E178" s="208"/>
      <c r="F178" s="208"/>
      <c r="G178" s="208"/>
      <c r="H178" s="93"/>
      <c r="I178" s="93"/>
      <c r="J178" s="93"/>
      <c r="K178" s="93"/>
      <c r="L178" s="93"/>
      <c r="M178" s="93"/>
      <c r="N178" s="93"/>
      <c r="O178" s="93"/>
      <c r="P178" s="93"/>
      <c r="Q178" s="93"/>
      <c r="R178" s="93"/>
      <c r="S178" s="93"/>
      <c r="T178" s="93"/>
      <c r="U178" s="93"/>
      <c r="V178" s="93"/>
      <c r="W178" s="93"/>
      <c r="X178" s="93"/>
      <c r="Y178" s="93"/>
      <c r="Z178" s="93"/>
      <c r="AA178" s="93"/>
      <c r="AB178" s="93"/>
      <c r="AC178" s="93"/>
      <c r="AD178" s="93"/>
      <c r="AE178" s="93"/>
      <c r="AF178" s="93"/>
      <c r="AG178" s="25"/>
      <c r="AH178" s="25"/>
      <c r="AI178" s="25"/>
      <c r="AJ178" s="25"/>
      <c r="AK178" s="25"/>
      <c r="AL178" s="25"/>
      <c r="AM178" s="25"/>
      <c r="AN178" s="25"/>
      <c r="AO178" s="25"/>
      <c r="AP178" s="25"/>
      <c r="AQ178" s="25"/>
      <c r="AR178" s="25"/>
      <c r="AS178" s="25"/>
      <c r="AT178" s="25"/>
      <c r="AU178" s="25"/>
      <c r="AV178" s="25"/>
      <c r="AW178" s="25"/>
      <c r="AX178" s="25"/>
      <c r="AY178" s="25"/>
      <c r="AZ178" s="25"/>
      <c r="BA178" s="25"/>
    </row>
    <row r="179" spans="1:53" ht="12.75">
      <c r="A179" s="93"/>
      <c r="B179" s="93"/>
      <c r="C179" s="93"/>
      <c r="D179" s="208"/>
      <c r="E179" s="208"/>
      <c r="F179" s="208"/>
      <c r="G179" s="208"/>
      <c r="H179" s="93"/>
      <c r="I179" s="93"/>
      <c r="J179" s="93"/>
      <c r="K179" s="93"/>
      <c r="L179" s="93"/>
      <c r="M179" s="93"/>
      <c r="N179" s="93"/>
      <c r="O179" s="93"/>
      <c r="P179" s="93"/>
      <c r="Q179" s="93"/>
      <c r="R179" s="93"/>
      <c r="S179" s="93"/>
      <c r="T179" s="93"/>
      <c r="U179" s="93"/>
      <c r="V179" s="93"/>
      <c r="W179" s="93"/>
      <c r="X179" s="93"/>
      <c r="Y179" s="93"/>
      <c r="Z179" s="93"/>
      <c r="AA179" s="93"/>
      <c r="AB179" s="93"/>
      <c r="AC179" s="93"/>
      <c r="AD179" s="93"/>
      <c r="AE179" s="93"/>
      <c r="AF179" s="93"/>
      <c r="AG179" s="25"/>
      <c r="AH179" s="25"/>
      <c r="AI179" s="25"/>
      <c r="AJ179" s="25"/>
      <c r="AK179" s="25"/>
      <c r="AL179" s="25"/>
      <c r="AM179" s="25"/>
      <c r="AN179" s="25"/>
      <c r="AO179" s="25"/>
      <c r="AP179" s="25"/>
      <c r="AQ179" s="25"/>
      <c r="AR179" s="25"/>
      <c r="AS179" s="25"/>
      <c r="AT179" s="25"/>
      <c r="AU179" s="25"/>
      <c r="AV179" s="25"/>
      <c r="AW179" s="25"/>
      <c r="AX179" s="25"/>
      <c r="AY179" s="25"/>
      <c r="AZ179" s="25"/>
      <c r="BA179" s="25"/>
    </row>
    <row r="180" spans="1:53" ht="12.75">
      <c r="A180" s="93"/>
      <c r="B180" s="93"/>
      <c r="C180" s="93"/>
      <c r="D180" s="208"/>
      <c r="E180" s="208"/>
      <c r="F180" s="208"/>
      <c r="G180" s="208"/>
      <c r="H180" s="93"/>
      <c r="I180" s="93"/>
      <c r="J180" s="93"/>
      <c r="K180" s="93"/>
      <c r="L180" s="93"/>
      <c r="M180" s="93"/>
      <c r="N180" s="93"/>
      <c r="O180" s="93"/>
      <c r="P180" s="93"/>
      <c r="Q180" s="93"/>
      <c r="R180" s="93"/>
      <c r="S180" s="93"/>
      <c r="T180" s="93"/>
      <c r="U180" s="93"/>
      <c r="V180" s="93"/>
      <c r="W180" s="93"/>
      <c r="X180" s="93"/>
      <c r="Y180" s="93"/>
      <c r="Z180" s="93"/>
      <c r="AA180" s="93"/>
      <c r="AB180" s="93"/>
      <c r="AC180" s="93"/>
      <c r="AD180" s="93"/>
      <c r="AE180" s="93"/>
      <c r="AF180" s="93"/>
      <c r="AG180" s="25"/>
      <c r="AH180" s="25"/>
      <c r="AI180" s="25"/>
      <c r="AJ180" s="25"/>
      <c r="AK180" s="25"/>
      <c r="AL180" s="25"/>
      <c r="AM180" s="25"/>
      <c r="AN180" s="25"/>
      <c r="AO180" s="25"/>
      <c r="AP180" s="25"/>
      <c r="AQ180" s="25"/>
      <c r="AR180" s="25"/>
      <c r="AS180" s="25"/>
      <c r="AT180" s="25"/>
      <c r="AU180" s="25"/>
      <c r="AV180" s="25"/>
      <c r="AW180" s="25"/>
      <c r="AX180" s="25"/>
      <c r="AY180" s="25"/>
      <c r="AZ180" s="25"/>
      <c r="BA180" s="25"/>
    </row>
    <row r="181" spans="1:53" ht="12.75">
      <c r="A181" s="93"/>
      <c r="B181" s="93"/>
      <c r="C181" s="93"/>
      <c r="D181" s="208"/>
      <c r="E181" s="208"/>
      <c r="F181" s="208"/>
      <c r="G181" s="208"/>
      <c r="H181" s="93"/>
      <c r="I181" s="93"/>
      <c r="J181" s="93"/>
      <c r="K181" s="93"/>
      <c r="L181" s="93"/>
      <c r="M181" s="93"/>
      <c r="N181" s="93"/>
      <c r="O181" s="93"/>
      <c r="P181" s="93"/>
      <c r="Q181" s="93"/>
      <c r="R181" s="93"/>
      <c r="S181" s="93"/>
      <c r="T181" s="93"/>
      <c r="U181" s="93"/>
      <c r="V181" s="93"/>
      <c r="W181" s="93"/>
      <c r="X181" s="93"/>
      <c r="Y181" s="93"/>
      <c r="Z181" s="93"/>
      <c r="AA181" s="93"/>
      <c r="AB181" s="93"/>
      <c r="AC181" s="93"/>
      <c r="AD181" s="93"/>
      <c r="AE181" s="93"/>
      <c r="AF181" s="93"/>
      <c r="AG181" s="25"/>
      <c r="AH181" s="25"/>
      <c r="AI181" s="25"/>
      <c r="AJ181" s="25"/>
      <c r="AK181" s="25"/>
      <c r="AL181" s="25"/>
      <c r="AM181" s="25"/>
      <c r="AN181" s="25"/>
      <c r="AO181" s="25"/>
      <c r="AP181" s="25"/>
      <c r="AQ181" s="25"/>
      <c r="AR181" s="25"/>
      <c r="AS181" s="25"/>
      <c r="AT181" s="25"/>
      <c r="AU181" s="25"/>
      <c r="AV181" s="25"/>
      <c r="AW181" s="25"/>
      <c r="AX181" s="25"/>
      <c r="AY181" s="25"/>
      <c r="AZ181" s="25"/>
      <c r="BA181" s="25"/>
    </row>
    <row r="182" spans="1:53" ht="12.75">
      <c r="A182" s="93"/>
      <c r="B182" s="93"/>
      <c r="C182" s="93"/>
      <c r="D182" s="208"/>
      <c r="E182" s="208"/>
      <c r="F182" s="208"/>
      <c r="G182" s="208"/>
      <c r="H182" s="93"/>
      <c r="I182" s="93"/>
      <c r="J182" s="93"/>
      <c r="K182" s="93"/>
      <c r="L182" s="93"/>
      <c r="M182" s="93"/>
      <c r="N182" s="93"/>
      <c r="O182" s="93"/>
      <c r="P182" s="93"/>
      <c r="Q182" s="93"/>
      <c r="R182" s="93"/>
      <c r="S182" s="93"/>
      <c r="T182" s="93"/>
      <c r="U182" s="93"/>
      <c r="V182" s="93"/>
      <c r="W182" s="93"/>
      <c r="X182" s="93"/>
      <c r="Y182" s="93"/>
      <c r="Z182" s="93"/>
      <c r="AA182" s="93"/>
      <c r="AB182" s="93"/>
      <c r="AC182" s="93"/>
      <c r="AD182" s="93"/>
      <c r="AE182" s="93"/>
      <c r="AF182" s="93"/>
      <c r="AG182" s="25"/>
      <c r="AH182" s="25"/>
      <c r="AI182" s="25"/>
      <c r="AJ182" s="25"/>
      <c r="AK182" s="25"/>
      <c r="AL182" s="25"/>
      <c r="AM182" s="25"/>
      <c r="AN182" s="25"/>
      <c r="AO182" s="25"/>
      <c r="AP182" s="25"/>
      <c r="AQ182" s="25"/>
      <c r="AR182" s="25"/>
      <c r="AS182" s="25"/>
      <c r="AT182" s="25"/>
      <c r="AU182" s="25"/>
      <c r="AV182" s="25"/>
      <c r="AW182" s="25"/>
      <c r="AX182" s="25"/>
      <c r="AY182" s="25"/>
      <c r="AZ182" s="25"/>
      <c r="BA182" s="25"/>
    </row>
    <row r="183" spans="1:53" ht="12.75">
      <c r="A183" s="93"/>
      <c r="B183" s="93"/>
      <c r="C183" s="93"/>
      <c r="D183" s="208"/>
      <c r="E183" s="208"/>
      <c r="F183" s="208"/>
      <c r="G183" s="208"/>
      <c r="H183" s="93"/>
      <c r="I183" s="93"/>
      <c r="J183" s="93"/>
      <c r="K183" s="93"/>
      <c r="L183" s="93"/>
      <c r="M183" s="93"/>
      <c r="N183" s="93"/>
      <c r="O183" s="93"/>
      <c r="P183" s="93"/>
      <c r="Q183" s="93"/>
      <c r="R183" s="93"/>
      <c r="S183" s="93"/>
      <c r="T183" s="93"/>
      <c r="U183" s="93"/>
      <c r="V183" s="93"/>
      <c r="W183" s="93"/>
      <c r="X183" s="93"/>
      <c r="Y183" s="93"/>
      <c r="Z183" s="93"/>
      <c r="AA183" s="93"/>
      <c r="AB183" s="93"/>
      <c r="AC183" s="93"/>
      <c r="AD183" s="93"/>
      <c r="AE183" s="93"/>
      <c r="AF183" s="93"/>
      <c r="AG183" s="25"/>
      <c r="AH183" s="25"/>
      <c r="AI183" s="25"/>
      <c r="AJ183" s="25"/>
      <c r="AK183" s="25"/>
      <c r="AL183" s="25"/>
      <c r="AM183" s="25"/>
      <c r="AN183" s="25"/>
      <c r="AO183" s="25"/>
      <c r="AP183" s="25"/>
      <c r="AQ183" s="25"/>
      <c r="AR183" s="25"/>
      <c r="AS183" s="25"/>
      <c r="AT183" s="25"/>
      <c r="AU183" s="25"/>
      <c r="AV183" s="25"/>
      <c r="AW183" s="25"/>
      <c r="AX183" s="25"/>
      <c r="AY183" s="25"/>
      <c r="AZ183" s="25"/>
      <c r="BA183" s="25"/>
    </row>
    <row r="184" spans="1:53" ht="12.75">
      <c r="A184" s="93"/>
      <c r="B184" s="93"/>
      <c r="C184" s="93"/>
      <c r="D184" s="208"/>
      <c r="E184" s="208"/>
      <c r="F184" s="208"/>
      <c r="G184" s="208"/>
      <c r="H184" s="93"/>
      <c r="I184" s="93"/>
      <c r="J184" s="93"/>
      <c r="K184" s="93"/>
      <c r="L184" s="93"/>
      <c r="M184" s="93"/>
      <c r="N184" s="93"/>
      <c r="O184" s="93"/>
      <c r="P184" s="93"/>
      <c r="Q184" s="93"/>
      <c r="R184" s="93"/>
      <c r="S184" s="93"/>
      <c r="T184" s="93"/>
      <c r="U184" s="93"/>
      <c r="V184" s="93"/>
      <c r="W184" s="93"/>
      <c r="X184" s="93"/>
      <c r="Y184" s="93"/>
      <c r="Z184" s="93"/>
      <c r="AA184" s="93"/>
      <c r="AB184" s="93"/>
      <c r="AC184" s="93"/>
      <c r="AD184" s="93"/>
      <c r="AE184" s="93"/>
      <c r="AF184" s="93"/>
      <c r="AG184" s="25"/>
      <c r="AH184" s="25"/>
      <c r="AI184" s="25"/>
      <c r="AJ184" s="25"/>
      <c r="AK184" s="25"/>
      <c r="AL184" s="25"/>
      <c r="AM184" s="25"/>
      <c r="AN184" s="25"/>
      <c r="AO184" s="25"/>
      <c r="AP184" s="25"/>
      <c r="AQ184" s="25"/>
      <c r="AR184" s="25"/>
      <c r="AS184" s="25"/>
      <c r="AT184" s="25"/>
      <c r="AU184" s="25"/>
      <c r="AV184" s="25"/>
      <c r="AW184" s="25"/>
      <c r="AX184" s="25"/>
      <c r="AY184" s="25"/>
      <c r="AZ184" s="25"/>
      <c r="BA184" s="25"/>
    </row>
    <row r="185" spans="1:53" ht="12.75">
      <c r="A185" s="322"/>
      <c r="B185" s="322"/>
      <c r="C185" s="320"/>
      <c r="D185" s="326" t="s">
        <v>908</v>
      </c>
      <c r="E185" s="320"/>
      <c r="F185" s="320"/>
      <c r="G185" s="320"/>
      <c r="H185" s="320"/>
      <c r="I185" s="320"/>
      <c r="J185" s="320"/>
      <c r="K185" s="320"/>
      <c r="L185" s="320"/>
      <c r="M185" s="320"/>
      <c r="N185" s="93"/>
      <c r="O185" s="93"/>
      <c r="P185" s="93"/>
      <c r="Q185" s="93"/>
      <c r="R185" s="93"/>
      <c r="S185" s="93"/>
      <c r="T185" s="93"/>
      <c r="U185" s="93"/>
      <c r="V185" s="93"/>
      <c r="W185" s="93"/>
      <c r="X185" s="93"/>
      <c r="Y185" s="93"/>
      <c r="Z185" s="93"/>
      <c r="AA185" s="93"/>
      <c r="AB185" s="93"/>
      <c r="AC185" s="93"/>
      <c r="AD185" s="93"/>
      <c r="AE185" s="93"/>
      <c r="AF185" s="93"/>
      <c r="AG185" s="25" t="s">
        <v>907</v>
      </c>
      <c r="AH185" s="25"/>
      <c r="AI185" s="25"/>
      <c r="AJ185" s="25"/>
      <c r="AK185" s="25"/>
      <c r="AL185" s="25"/>
      <c r="AM185" s="25"/>
      <c r="AN185" s="25"/>
      <c r="AO185" s="25"/>
      <c r="AP185" s="25"/>
      <c r="AQ185" s="25"/>
      <c r="AR185" s="25"/>
      <c r="AS185" s="25"/>
      <c r="AT185" s="25"/>
      <c r="AU185" s="25"/>
      <c r="AV185" s="25"/>
      <c r="AW185" s="25"/>
      <c r="AX185" s="25"/>
      <c r="AY185" s="25"/>
      <c r="AZ185" s="25"/>
      <c r="BA185" s="25"/>
    </row>
    <row r="186" spans="1:53" ht="12.75">
      <c r="A186" s="322"/>
      <c r="B186" s="322"/>
      <c r="C186" s="320"/>
      <c r="D186" s="320"/>
      <c r="E186" s="320" t="s">
        <v>794</v>
      </c>
      <c r="F186" s="320" t="s">
        <v>909</v>
      </c>
      <c r="G186" s="320"/>
      <c r="H186" s="320"/>
      <c r="I186" s="320"/>
      <c r="J186" s="320"/>
      <c r="K186" s="320"/>
      <c r="L186" s="320"/>
      <c r="M186" s="320"/>
      <c r="N186" s="320"/>
      <c r="O186" s="320"/>
      <c r="P186" s="320"/>
      <c r="Q186" s="320"/>
      <c r="R186" s="320"/>
      <c r="S186" s="320"/>
      <c r="T186" s="320"/>
      <c r="U186" s="320"/>
      <c r="V186" s="320"/>
      <c r="W186" s="320"/>
      <c r="X186" s="320"/>
      <c r="Y186" s="320"/>
      <c r="Z186" s="320"/>
      <c r="AA186" s="320"/>
      <c r="AB186" s="320"/>
      <c r="AC186" s="320"/>
      <c r="AD186" s="320"/>
      <c r="AE186" s="320"/>
      <c r="AF186" s="320"/>
      <c r="AG186" s="25"/>
      <c r="AH186" s="25"/>
      <c r="AI186" s="25"/>
      <c r="AJ186" s="25"/>
      <c r="AK186" s="25"/>
      <c r="AL186" s="25"/>
      <c r="AM186" s="25"/>
      <c r="AN186" s="25"/>
      <c r="AO186" s="25"/>
      <c r="AP186" s="25"/>
      <c r="AQ186" s="25"/>
      <c r="AR186" s="25"/>
      <c r="AS186" s="25"/>
      <c r="AT186" s="25"/>
      <c r="AU186" s="25"/>
      <c r="AV186" s="25"/>
      <c r="AW186" s="25"/>
      <c r="AX186" s="25"/>
      <c r="AY186" s="25"/>
      <c r="AZ186" s="25"/>
      <c r="BA186" s="25"/>
    </row>
    <row r="187" spans="1:53" ht="12.75">
      <c r="A187" s="322"/>
      <c r="B187" s="322"/>
      <c r="C187" s="320"/>
      <c r="D187" s="320"/>
      <c r="E187" s="320"/>
      <c r="F187" s="208" t="s">
        <v>333</v>
      </c>
      <c r="G187" s="320"/>
      <c r="H187" s="320"/>
      <c r="I187" s="320"/>
      <c r="J187" s="320"/>
      <c r="K187" s="320"/>
      <c r="L187" s="320"/>
      <c r="M187" s="320"/>
      <c r="N187" s="320"/>
      <c r="O187" s="320"/>
      <c r="P187" s="320"/>
      <c r="Q187" s="320"/>
      <c r="R187" s="320"/>
      <c r="S187" s="320"/>
      <c r="T187" s="320"/>
      <c r="U187" s="320"/>
      <c r="V187" s="320"/>
      <c r="W187" s="320"/>
      <c r="X187" s="320"/>
      <c r="Y187" s="320"/>
      <c r="Z187" s="320"/>
      <c r="AA187" s="320"/>
      <c r="AB187" s="320"/>
      <c r="AC187" s="320"/>
      <c r="AD187" s="320"/>
      <c r="AE187" s="320"/>
      <c r="AF187" s="320"/>
      <c r="AG187" s="25"/>
      <c r="AH187" s="25"/>
      <c r="AI187" s="25"/>
      <c r="AJ187" s="25"/>
      <c r="AK187" s="25"/>
      <c r="AL187" s="25"/>
      <c r="AM187" s="25"/>
      <c r="AN187" s="25"/>
      <c r="AO187" s="25"/>
      <c r="AP187" s="25"/>
      <c r="AQ187" s="25"/>
      <c r="AR187" s="25"/>
      <c r="AS187" s="25"/>
      <c r="AT187" s="25"/>
      <c r="AU187" s="25"/>
      <c r="AV187" s="25"/>
      <c r="AW187" s="25"/>
      <c r="AX187" s="25"/>
      <c r="AY187" s="25"/>
      <c r="AZ187" s="25"/>
      <c r="BA187" s="25"/>
    </row>
    <row r="188" spans="1:53" ht="12.75">
      <c r="A188" s="322"/>
      <c r="B188" s="322"/>
      <c r="C188" s="320"/>
      <c r="D188" s="320"/>
      <c r="E188" s="320" t="s">
        <v>795</v>
      </c>
      <c r="F188" s="320" t="s">
        <v>587</v>
      </c>
      <c r="G188" s="320"/>
      <c r="H188" s="320"/>
      <c r="I188" s="320"/>
      <c r="J188" s="320"/>
      <c r="K188" s="320"/>
      <c r="L188" s="320"/>
      <c r="M188" s="320"/>
      <c r="N188" s="320"/>
      <c r="O188" s="320"/>
      <c r="P188" s="320"/>
      <c r="Q188" s="320"/>
      <c r="R188" s="320"/>
      <c r="S188" s="320"/>
      <c r="T188" s="320"/>
      <c r="U188" s="320"/>
      <c r="V188" s="320"/>
      <c r="W188" s="320"/>
      <c r="X188" s="320"/>
      <c r="Y188" s="320"/>
      <c r="Z188" s="320"/>
      <c r="AA188" s="320"/>
      <c r="AB188" s="320"/>
      <c r="AC188" s="320"/>
      <c r="AD188" s="320"/>
      <c r="AE188" s="320"/>
      <c r="AF188" s="320"/>
      <c r="AG188" s="25"/>
      <c r="AH188" s="25"/>
      <c r="AI188" s="25"/>
      <c r="AJ188" s="25"/>
      <c r="AK188" s="25"/>
      <c r="AL188" s="25"/>
      <c r="AM188" s="25"/>
      <c r="AN188" s="25"/>
      <c r="AO188" s="25"/>
      <c r="AP188" s="25"/>
      <c r="AQ188" s="25"/>
      <c r="AR188" s="25"/>
      <c r="AS188" s="25"/>
      <c r="AT188" s="25"/>
      <c r="AU188" s="25"/>
      <c r="AV188" s="25"/>
      <c r="AW188" s="25"/>
      <c r="AX188" s="25"/>
      <c r="AY188" s="25"/>
      <c r="AZ188" s="25"/>
      <c r="BA188" s="25"/>
    </row>
    <row r="189" spans="1:53" ht="12.75">
      <c r="A189" s="322"/>
      <c r="B189" s="322"/>
      <c r="C189" s="320"/>
      <c r="D189" s="320"/>
      <c r="E189" s="320"/>
      <c r="F189" s="320" t="s">
        <v>873</v>
      </c>
      <c r="G189" s="320"/>
      <c r="H189" s="320"/>
      <c r="I189" s="320"/>
      <c r="J189" s="320"/>
      <c r="K189" s="320"/>
      <c r="L189" s="320"/>
      <c r="M189" s="320"/>
      <c r="N189" s="320"/>
      <c r="O189" s="320"/>
      <c r="P189" s="320"/>
      <c r="Q189" s="320"/>
      <c r="R189" s="320"/>
      <c r="S189" s="320"/>
      <c r="T189" s="320"/>
      <c r="U189" s="320"/>
      <c r="V189" s="320"/>
      <c r="W189" s="320"/>
      <c r="X189" s="320"/>
      <c r="Y189" s="320"/>
      <c r="Z189" s="320"/>
      <c r="AA189" s="320"/>
      <c r="AB189" s="320"/>
      <c r="AC189" s="320"/>
      <c r="AD189" s="320"/>
      <c r="AE189" s="320"/>
      <c r="AF189" s="320"/>
      <c r="AG189" s="25"/>
      <c r="AH189" s="25"/>
      <c r="AI189" s="25"/>
      <c r="AJ189" s="25"/>
      <c r="AK189" s="25"/>
      <c r="AL189" s="25"/>
      <c r="AM189" s="25"/>
      <c r="AN189" s="25"/>
      <c r="AO189" s="25"/>
      <c r="AP189" s="25"/>
      <c r="AQ189" s="25"/>
      <c r="AR189" s="25"/>
      <c r="AS189" s="25"/>
      <c r="AT189" s="25"/>
      <c r="AU189" s="25"/>
      <c r="AV189" s="25"/>
      <c r="AW189" s="25"/>
      <c r="AX189" s="25"/>
      <c r="AY189" s="25"/>
      <c r="AZ189" s="25"/>
      <c r="BA189" s="25"/>
    </row>
    <row r="190" spans="1:53" ht="12.75">
      <c r="A190" s="322"/>
      <c r="B190" s="322"/>
      <c r="C190" s="320"/>
      <c r="D190" s="320"/>
      <c r="E190" s="320" t="s">
        <v>796</v>
      </c>
      <c r="F190" s="320" t="s">
        <v>571</v>
      </c>
      <c r="G190" s="320"/>
      <c r="H190" s="320"/>
      <c r="I190" s="320"/>
      <c r="J190" s="320"/>
      <c r="K190" s="320"/>
      <c r="L190" s="320"/>
      <c r="M190" s="320"/>
      <c r="N190" s="320"/>
      <c r="O190" s="320"/>
      <c r="P190" s="320"/>
      <c r="Q190" s="320"/>
      <c r="R190" s="320"/>
      <c r="S190" s="320"/>
      <c r="T190" s="320"/>
      <c r="U190" s="320"/>
      <c r="V190" s="320"/>
      <c r="W190" s="320"/>
      <c r="X190" s="320"/>
      <c r="Y190" s="320"/>
      <c r="Z190" s="320"/>
      <c r="AA190" s="320"/>
      <c r="AB190" s="320"/>
      <c r="AC190" s="320"/>
      <c r="AD190" s="320"/>
      <c r="AE190" s="320"/>
      <c r="AF190" s="320"/>
      <c r="AG190" s="25"/>
      <c r="AH190" s="25"/>
      <c r="AI190" s="25"/>
      <c r="AJ190" s="25"/>
      <c r="AK190" s="25"/>
      <c r="AL190" s="25"/>
      <c r="AM190" s="25"/>
      <c r="AN190" s="25"/>
      <c r="AO190" s="25"/>
      <c r="AP190" s="25"/>
      <c r="AQ190" s="25"/>
      <c r="AR190" s="25"/>
      <c r="AS190" s="25"/>
      <c r="AT190" s="25"/>
      <c r="AU190" s="25"/>
      <c r="AV190" s="25"/>
      <c r="AW190" s="25"/>
      <c r="AX190" s="25"/>
      <c r="AY190" s="25"/>
      <c r="AZ190" s="25"/>
      <c r="BA190" s="25"/>
    </row>
    <row r="191" spans="1:53" ht="12.75">
      <c r="A191" s="322"/>
      <c r="B191" s="322"/>
      <c r="C191" s="320"/>
      <c r="D191" s="320"/>
      <c r="E191" s="320"/>
      <c r="F191" s="320" t="s">
        <v>581</v>
      </c>
      <c r="G191" s="320"/>
      <c r="H191" s="320"/>
      <c r="I191" s="320"/>
      <c r="J191" s="320"/>
      <c r="K191" s="320"/>
      <c r="L191" s="320"/>
      <c r="M191" s="320"/>
      <c r="N191" s="320"/>
      <c r="O191" s="320"/>
      <c r="P191" s="320"/>
      <c r="Q191" s="320"/>
      <c r="R191" s="320"/>
      <c r="S191" s="320"/>
      <c r="T191" s="320"/>
      <c r="U191" s="320"/>
      <c r="V191" s="320"/>
      <c r="W191" s="320"/>
      <c r="X191" s="320"/>
      <c r="Y191" s="320"/>
      <c r="Z191" s="320"/>
      <c r="AA191" s="320"/>
      <c r="AB191" s="320"/>
      <c r="AC191" s="320"/>
      <c r="AD191" s="320"/>
      <c r="AE191" s="320"/>
      <c r="AF191" s="320"/>
      <c r="AG191" s="25"/>
      <c r="AH191" s="25"/>
      <c r="AI191" s="25"/>
      <c r="AJ191" s="25"/>
      <c r="AK191" s="25"/>
      <c r="AL191" s="25"/>
      <c r="AM191" s="25"/>
      <c r="AN191" s="25"/>
      <c r="AO191" s="25"/>
      <c r="AP191" s="25"/>
      <c r="AQ191" s="25"/>
      <c r="AR191" s="25"/>
      <c r="AS191" s="25"/>
      <c r="AT191" s="25"/>
      <c r="AU191" s="25"/>
      <c r="AV191" s="25"/>
      <c r="AW191" s="25"/>
      <c r="AX191" s="25"/>
      <c r="AY191" s="25"/>
      <c r="AZ191" s="25"/>
      <c r="BA191" s="25"/>
    </row>
    <row r="192" spans="1:53" ht="12.75">
      <c r="A192" s="322"/>
      <c r="B192" s="322"/>
      <c r="C192" s="320"/>
      <c r="D192" s="320"/>
      <c r="E192" s="320" t="s">
        <v>798</v>
      </c>
      <c r="F192" s="208" t="s">
        <v>348</v>
      </c>
      <c r="G192" s="320"/>
      <c r="H192" s="320"/>
      <c r="I192" s="320"/>
      <c r="J192" s="320"/>
      <c r="K192" s="320"/>
      <c r="L192" s="320"/>
      <c r="M192" s="320"/>
      <c r="N192" s="320"/>
      <c r="O192" s="320"/>
      <c r="P192" s="320"/>
      <c r="Q192" s="320"/>
      <c r="R192" s="320"/>
      <c r="S192" s="320"/>
      <c r="T192" s="320"/>
      <c r="U192" s="320"/>
      <c r="V192" s="320"/>
      <c r="W192" s="320"/>
      <c r="X192" s="320"/>
      <c r="Y192" s="320"/>
      <c r="Z192" s="320"/>
      <c r="AA192" s="320"/>
      <c r="AB192" s="320"/>
      <c r="AC192" s="320"/>
      <c r="AD192" s="320"/>
      <c r="AE192" s="320"/>
      <c r="AF192" s="320"/>
      <c r="AG192" s="25"/>
      <c r="AH192" s="25"/>
      <c r="AI192" s="25"/>
      <c r="AJ192" s="25"/>
      <c r="AK192" s="25"/>
      <c r="AL192" s="25"/>
      <c r="AM192" s="25"/>
      <c r="AN192" s="25"/>
      <c r="AO192" s="25"/>
      <c r="AP192" s="25"/>
      <c r="AQ192" s="25"/>
      <c r="AR192" s="25"/>
      <c r="AS192" s="25"/>
      <c r="AT192" s="25"/>
      <c r="AU192" s="25"/>
      <c r="AV192" s="25"/>
      <c r="AW192" s="25"/>
      <c r="AX192" s="25"/>
      <c r="AY192" s="25"/>
      <c r="AZ192" s="25"/>
      <c r="BA192" s="25"/>
    </row>
    <row r="193" spans="1:53" ht="12.75">
      <c r="A193" s="322"/>
      <c r="B193" s="322"/>
      <c r="C193" s="320"/>
      <c r="D193" s="320"/>
      <c r="E193" s="320"/>
      <c r="F193" s="208" t="s">
        <v>334</v>
      </c>
      <c r="G193" s="320"/>
      <c r="H193" s="320"/>
      <c r="I193" s="320"/>
      <c r="J193" s="320"/>
      <c r="K193" s="320"/>
      <c r="L193" s="320"/>
      <c r="M193" s="320"/>
      <c r="N193" s="320"/>
      <c r="O193" s="320"/>
      <c r="P193" s="320"/>
      <c r="Q193" s="320"/>
      <c r="R193" s="320"/>
      <c r="S193" s="320"/>
      <c r="T193" s="320"/>
      <c r="U193" s="320"/>
      <c r="V193" s="320"/>
      <c r="W193" s="320"/>
      <c r="X193" s="320"/>
      <c r="Y193" s="320"/>
      <c r="Z193" s="320"/>
      <c r="AA193" s="320"/>
      <c r="AB193" s="320"/>
      <c r="AC193" s="320"/>
      <c r="AD193" s="320"/>
      <c r="AE193" s="320"/>
      <c r="AF193" s="320"/>
      <c r="AG193" s="25"/>
      <c r="AH193" s="25"/>
      <c r="AI193" s="25"/>
      <c r="AJ193" s="25"/>
      <c r="AK193" s="25"/>
      <c r="AL193" s="25"/>
      <c r="AM193" s="25"/>
      <c r="AN193" s="25"/>
      <c r="AO193" s="25"/>
      <c r="AP193" s="25"/>
      <c r="AQ193" s="25"/>
      <c r="AR193" s="25"/>
      <c r="AS193" s="25"/>
      <c r="AT193" s="25"/>
      <c r="AU193" s="25"/>
      <c r="AV193" s="25"/>
      <c r="AW193" s="25"/>
      <c r="AX193" s="25"/>
      <c r="AY193" s="25"/>
      <c r="AZ193" s="25"/>
      <c r="BA193" s="25"/>
    </row>
    <row r="194" spans="1:53" ht="12.75">
      <c r="A194" s="322"/>
      <c r="B194" s="322"/>
      <c r="C194" s="320"/>
      <c r="D194" s="320"/>
      <c r="E194" s="320"/>
      <c r="F194" s="208" t="s">
        <v>332</v>
      </c>
      <c r="G194" s="320"/>
      <c r="H194" s="320"/>
      <c r="I194" s="320"/>
      <c r="J194" s="320"/>
      <c r="K194" s="320"/>
      <c r="L194" s="320"/>
      <c r="M194" s="320"/>
      <c r="N194" s="320"/>
      <c r="O194" s="320"/>
      <c r="P194" s="320"/>
      <c r="Q194" s="320"/>
      <c r="R194" s="320"/>
      <c r="S194" s="320"/>
      <c r="T194" s="320"/>
      <c r="U194" s="320"/>
      <c r="V194" s="320"/>
      <c r="W194" s="320"/>
      <c r="X194" s="320"/>
      <c r="Y194" s="320"/>
      <c r="Z194" s="320"/>
      <c r="AA194" s="320"/>
      <c r="AB194" s="320"/>
      <c r="AC194" s="320"/>
      <c r="AD194" s="320"/>
      <c r="AE194" s="320"/>
      <c r="AF194" s="320"/>
      <c r="AG194" s="25"/>
      <c r="AH194" s="25"/>
      <c r="AI194" s="25"/>
      <c r="AJ194" s="25"/>
      <c r="AK194" s="25"/>
      <c r="AL194" s="25"/>
      <c r="AM194" s="25"/>
      <c r="AN194" s="25"/>
      <c r="AO194" s="25"/>
      <c r="AP194" s="25"/>
      <c r="AQ194" s="25"/>
      <c r="AR194" s="25"/>
      <c r="AS194" s="25"/>
      <c r="AT194" s="25"/>
      <c r="AU194" s="25"/>
      <c r="AV194" s="25"/>
      <c r="AW194" s="25"/>
      <c r="AX194" s="25"/>
      <c r="AY194" s="25"/>
      <c r="AZ194" s="25"/>
      <c r="BA194" s="25"/>
    </row>
    <row r="195" spans="1:53" ht="12.75">
      <c r="A195" s="322"/>
      <c r="B195" s="322"/>
      <c r="C195" s="320"/>
      <c r="D195" s="320"/>
      <c r="E195" s="318"/>
      <c r="F195" s="817" t="s">
        <v>336</v>
      </c>
      <c r="G195" s="318"/>
      <c r="H195" s="318"/>
      <c r="I195" s="318"/>
      <c r="J195" s="320"/>
      <c r="K195" s="320"/>
      <c r="L195" s="320"/>
      <c r="M195" s="320"/>
      <c r="N195" s="320"/>
      <c r="O195" s="320"/>
      <c r="P195" s="320"/>
      <c r="Q195" s="320"/>
      <c r="R195" s="320"/>
      <c r="S195" s="320"/>
      <c r="T195" s="320"/>
      <c r="U195" s="320"/>
      <c r="V195" s="320"/>
      <c r="W195" s="320"/>
      <c r="X195" s="320"/>
      <c r="Y195" s="320"/>
      <c r="Z195" s="320"/>
      <c r="AA195" s="320"/>
      <c r="AB195" s="320"/>
      <c r="AC195" s="320"/>
      <c r="AD195" s="320"/>
      <c r="AE195" s="320"/>
      <c r="AF195" s="320"/>
      <c r="AG195" s="25"/>
      <c r="AH195" s="25"/>
      <c r="AI195" s="25"/>
      <c r="AJ195" s="25"/>
      <c r="AK195" s="25"/>
      <c r="AL195" s="25"/>
      <c r="AM195" s="25"/>
      <c r="AN195" s="25"/>
      <c r="AO195" s="25"/>
      <c r="AP195" s="25"/>
      <c r="AQ195" s="25"/>
      <c r="AR195" s="25"/>
      <c r="AS195" s="25"/>
      <c r="AT195" s="25"/>
      <c r="AU195" s="25"/>
      <c r="AV195" s="25"/>
      <c r="AW195" s="25"/>
      <c r="AX195" s="25"/>
      <c r="AY195" s="25"/>
      <c r="AZ195" s="25"/>
      <c r="BA195" s="25"/>
    </row>
    <row r="196" spans="1:53" ht="12.75">
      <c r="A196" s="322"/>
      <c r="B196" s="322"/>
      <c r="C196" s="320"/>
      <c r="D196" s="320"/>
      <c r="E196" s="318"/>
      <c r="F196" s="817" t="s">
        <v>335</v>
      </c>
      <c r="G196" s="318"/>
      <c r="H196" s="318"/>
      <c r="I196" s="320"/>
      <c r="J196" s="320"/>
      <c r="K196" s="320"/>
      <c r="L196" s="320"/>
      <c r="M196" s="320"/>
      <c r="N196" s="320"/>
      <c r="O196" s="320"/>
      <c r="P196" s="320"/>
      <c r="Q196" s="320"/>
      <c r="R196" s="320"/>
      <c r="S196" s="320"/>
      <c r="T196" s="320"/>
      <c r="U196" s="320"/>
      <c r="V196" s="320"/>
      <c r="W196" s="320"/>
      <c r="X196" s="320"/>
      <c r="Y196" s="320"/>
      <c r="Z196" s="320"/>
      <c r="AA196" s="320"/>
      <c r="AB196" s="320"/>
      <c r="AC196" s="320"/>
      <c r="AD196" s="320"/>
      <c r="AE196" s="320"/>
      <c r="AF196" s="320"/>
      <c r="AG196" s="25"/>
      <c r="AH196" s="25"/>
      <c r="AI196" s="25"/>
      <c r="AJ196" s="25"/>
      <c r="AK196" s="25"/>
      <c r="AL196" s="25"/>
      <c r="AM196" s="25"/>
      <c r="AN196" s="25"/>
      <c r="AO196" s="25"/>
      <c r="AP196" s="25"/>
      <c r="AQ196" s="25"/>
      <c r="AR196" s="25"/>
      <c r="AS196" s="25"/>
      <c r="AT196" s="25"/>
      <c r="AU196" s="25"/>
      <c r="AV196" s="25"/>
      <c r="AW196" s="25"/>
      <c r="AX196" s="25"/>
      <c r="AY196" s="25"/>
      <c r="AZ196" s="25"/>
      <c r="BA196" s="25"/>
    </row>
    <row r="197" spans="1:53" ht="12.75">
      <c r="A197" s="322"/>
      <c r="B197" s="322"/>
      <c r="C197" s="320"/>
      <c r="D197" s="320"/>
      <c r="E197" s="320" t="s">
        <v>800</v>
      </c>
      <c r="F197" s="320" t="s">
        <v>912</v>
      </c>
      <c r="G197" s="320"/>
      <c r="H197" s="320"/>
      <c r="I197" s="320"/>
      <c r="J197" s="320"/>
      <c r="K197" s="320"/>
      <c r="L197" s="320"/>
      <c r="M197" s="320"/>
      <c r="N197" s="320"/>
      <c r="O197" s="320"/>
      <c r="P197" s="320"/>
      <c r="Q197" s="320"/>
      <c r="R197" s="320"/>
      <c r="S197" s="320"/>
      <c r="T197" s="320"/>
      <c r="U197" s="320"/>
      <c r="V197" s="320"/>
      <c r="W197" s="320"/>
      <c r="X197" s="320"/>
      <c r="Y197" s="320"/>
      <c r="Z197" s="320"/>
      <c r="AA197" s="320"/>
      <c r="AB197" s="320"/>
      <c r="AC197" s="320"/>
      <c r="AD197" s="320"/>
      <c r="AE197" s="320"/>
      <c r="AF197" s="320"/>
      <c r="AG197" s="25"/>
      <c r="AH197" s="25"/>
      <c r="AI197" s="25"/>
      <c r="AJ197" s="25"/>
      <c r="AK197" s="25"/>
      <c r="AL197" s="25"/>
      <c r="AM197" s="25"/>
      <c r="AN197" s="25"/>
      <c r="AO197" s="25"/>
      <c r="AP197" s="25"/>
      <c r="AQ197" s="25"/>
      <c r="AR197" s="25"/>
      <c r="AS197" s="25"/>
      <c r="AT197" s="25"/>
      <c r="AU197" s="25"/>
      <c r="AV197" s="25"/>
      <c r="AW197" s="25"/>
      <c r="AX197" s="25"/>
      <c r="AY197" s="25"/>
      <c r="AZ197" s="25"/>
      <c r="BA197" s="25"/>
    </row>
    <row r="198" spans="1:53" ht="12.75">
      <c r="A198" s="322"/>
      <c r="B198" s="322"/>
      <c r="C198" s="320"/>
      <c r="D198" s="320"/>
      <c r="E198" s="320" t="s">
        <v>886</v>
      </c>
      <c r="F198" s="320" t="s">
        <v>913</v>
      </c>
      <c r="G198" s="320"/>
      <c r="H198" s="320"/>
      <c r="I198" s="320"/>
      <c r="J198" s="320"/>
      <c r="K198" s="320"/>
      <c r="L198" s="320"/>
      <c r="M198" s="320"/>
      <c r="N198" s="320"/>
      <c r="O198" s="320"/>
      <c r="P198" s="320"/>
      <c r="Q198" s="320"/>
      <c r="R198" s="320"/>
      <c r="S198" s="320"/>
      <c r="T198" s="320"/>
      <c r="U198" s="320"/>
      <c r="V198" s="320"/>
      <c r="W198" s="320"/>
      <c r="X198" s="320"/>
      <c r="Y198" s="320"/>
      <c r="Z198" s="320"/>
      <c r="AA198" s="320"/>
      <c r="AB198" s="320"/>
      <c r="AC198" s="320"/>
      <c r="AD198" s="320"/>
      <c r="AE198" s="320"/>
      <c r="AF198" s="320"/>
      <c r="AG198" s="25"/>
      <c r="AH198" s="25"/>
      <c r="AI198" s="25"/>
      <c r="AJ198" s="25"/>
      <c r="AK198" s="25"/>
      <c r="AL198" s="25"/>
      <c r="AM198" s="25"/>
      <c r="AN198" s="25"/>
      <c r="AO198" s="25"/>
      <c r="AP198" s="25"/>
      <c r="AQ198" s="25"/>
      <c r="AR198" s="25"/>
      <c r="AS198" s="25"/>
      <c r="AT198" s="25"/>
      <c r="AU198" s="25"/>
      <c r="AV198" s="25"/>
      <c r="AW198" s="25"/>
      <c r="AX198" s="25"/>
      <c r="AY198" s="25"/>
      <c r="AZ198" s="25"/>
      <c r="BA198" s="25"/>
    </row>
    <row r="199" spans="1:53" ht="12.75">
      <c r="A199" s="322"/>
      <c r="B199" s="322"/>
      <c r="C199" s="320"/>
      <c r="D199" s="320"/>
      <c r="E199" s="320"/>
      <c r="F199" s="320" t="s">
        <v>914</v>
      </c>
      <c r="G199" s="320"/>
      <c r="H199" s="320"/>
      <c r="I199" s="320"/>
      <c r="J199" s="320"/>
      <c r="K199" s="320"/>
      <c r="L199" s="320"/>
      <c r="M199" s="320"/>
      <c r="N199" s="320"/>
      <c r="O199" s="320"/>
      <c r="P199" s="320"/>
      <c r="Q199" s="320"/>
      <c r="R199" s="320"/>
      <c r="S199" s="320"/>
      <c r="T199" s="320"/>
      <c r="U199" s="320"/>
      <c r="V199" s="320"/>
      <c r="W199" s="320"/>
      <c r="X199" s="320"/>
      <c r="Y199" s="320"/>
      <c r="Z199" s="320"/>
      <c r="AA199" s="320"/>
      <c r="AB199" s="320"/>
      <c r="AC199" s="320"/>
      <c r="AD199" s="320"/>
      <c r="AE199" s="320"/>
      <c r="AF199" s="320"/>
      <c r="AG199" s="25"/>
      <c r="AH199" s="25"/>
      <c r="AI199" s="25"/>
      <c r="AJ199" s="25"/>
      <c r="AK199" s="25"/>
      <c r="AL199" s="25"/>
      <c r="AM199" s="25"/>
      <c r="AN199" s="25"/>
      <c r="AO199" s="25"/>
      <c r="AP199" s="25"/>
      <c r="AQ199" s="25"/>
      <c r="AR199" s="25"/>
      <c r="AS199" s="25"/>
      <c r="AT199" s="25"/>
      <c r="AU199" s="25"/>
      <c r="AV199" s="25"/>
      <c r="AW199" s="25"/>
      <c r="AX199" s="25"/>
      <c r="AY199" s="25"/>
      <c r="AZ199" s="25"/>
      <c r="BA199" s="25"/>
    </row>
    <row r="200" spans="1:53" ht="12.75">
      <c r="A200" s="322"/>
      <c r="B200" s="322"/>
      <c r="C200" s="320"/>
      <c r="D200" s="320"/>
      <c r="E200" s="320"/>
      <c r="F200" s="320" t="s">
        <v>915</v>
      </c>
      <c r="G200" s="320"/>
      <c r="H200" s="320"/>
      <c r="I200" s="320"/>
      <c r="J200" s="320"/>
      <c r="K200" s="320"/>
      <c r="L200" s="320"/>
      <c r="M200" s="320"/>
      <c r="N200" s="320"/>
      <c r="O200" s="320"/>
      <c r="P200" s="320"/>
      <c r="Q200" s="320"/>
      <c r="R200" s="320"/>
      <c r="S200" s="320"/>
      <c r="T200" s="320"/>
      <c r="U200" s="320"/>
      <c r="V200" s="320"/>
      <c r="W200" s="320"/>
      <c r="X200" s="320"/>
      <c r="Y200" s="320"/>
      <c r="Z200" s="320"/>
      <c r="AA200" s="320"/>
      <c r="AB200" s="320"/>
      <c r="AC200" s="320"/>
      <c r="AD200" s="320"/>
      <c r="AE200" s="320"/>
      <c r="AF200" s="320"/>
      <c r="AG200" s="25"/>
      <c r="AH200" s="25"/>
      <c r="AI200" s="25"/>
      <c r="AJ200" s="25"/>
      <c r="AK200" s="25"/>
      <c r="AL200" s="25"/>
      <c r="AM200" s="25"/>
      <c r="AN200" s="25"/>
      <c r="AO200" s="25"/>
      <c r="AP200" s="25"/>
      <c r="AQ200" s="25"/>
      <c r="AR200" s="25"/>
      <c r="AS200" s="25"/>
      <c r="AT200" s="25"/>
      <c r="AU200" s="25"/>
      <c r="AV200" s="25"/>
      <c r="AW200" s="25"/>
      <c r="AX200" s="25"/>
      <c r="AY200" s="25"/>
      <c r="AZ200" s="25"/>
      <c r="BA200" s="25"/>
    </row>
    <row r="201" spans="1:53" ht="12.75">
      <c r="A201" s="322"/>
      <c r="B201" s="322"/>
      <c r="C201" s="320"/>
      <c r="D201" s="320"/>
      <c r="E201" s="320" t="s">
        <v>916</v>
      </c>
      <c r="F201" s="208" t="s">
        <v>917</v>
      </c>
      <c r="G201" s="320"/>
      <c r="H201" s="320"/>
      <c r="I201" s="320"/>
      <c r="J201" s="320"/>
      <c r="K201" s="320"/>
      <c r="L201" s="320"/>
      <c r="M201" s="320"/>
      <c r="N201" s="320"/>
      <c r="O201" s="320"/>
      <c r="P201" s="320"/>
      <c r="Q201" s="320"/>
      <c r="R201" s="320"/>
      <c r="S201" s="320"/>
      <c r="T201" s="320"/>
      <c r="U201" s="320"/>
      <c r="V201" s="320"/>
      <c r="W201" s="320"/>
      <c r="X201" s="320"/>
      <c r="Y201" s="320"/>
      <c r="Z201" s="320"/>
      <c r="AA201" s="320"/>
      <c r="AB201" s="320"/>
      <c r="AC201" s="320"/>
      <c r="AD201" s="320"/>
      <c r="AE201" s="320"/>
      <c r="AF201" s="320"/>
      <c r="AG201" s="25"/>
      <c r="AH201" s="25"/>
      <c r="AI201" s="25"/>
      <c r="AJ201" s="25"/>
      <c r="AK201" s="25"/>
      <c r="AL201" s="25"/>
      <c r="AM201" s="25"/>
      <c r="AN201" s="25"/>
      <c r="AO201" s="25"/>
      <c r="AP201" s="25"/>
      <c r="AQ201" s="25"/>
      <c r="AR201" s="25"/>
      <c r="AS201" s="25"/>
      <c r="AT201" s="25"/>
      <c r="AU201" s="25"/>
      <c r="AV201" s="25"/>
      <c r="AW201" s="25"/>
      <c r="AX201" s="25"/>
      <c r="AY201" s="25"/>
      <c r="AZ201" s="25"/>
      <c r="BA201" s="25"/>
    </row>
    <row r="202" spans="1:53" ht="12.75">
      <c r="A202" s="322"/>
      <c r="B202" s="322"/>
      <c r="C202" s="320"/>
      <c r="D202" s="320"/>
      <c r="E202" s="318"/>
      <c r="F202" s="320" t="s">
        <v>918</v>
      </c>
      <c r="G202" s="318"/>
      <c r="H202" s="318"/>
      <c r="I202" s="318"/>
      <c r="J202" s="320"/>
      <c r="K202" s="320"/>
      <c r="L202" s="320"/>
      <c r="M202" s="320"/>
      <c r="N202" s="320"/>
      <c r="O202" s="320"/>
      <c r="P202" s="320"/>
      <c r="Q202" s="320"/>
      <c r="R202" s="320"/>
      <c r="S202" s="320"/>
      <c r="T202" s="320"/>
      <c r="U202" s="320"/>
      <c r="V202" s="320"/>
      <c r="W202" s="320"/>
      <c r="X202" s="320"/>
      <c r="Y202" s="320"/>
      <c r="Z202" s="320"/>
      <c r="AA202" s="320"/>
      <c r="AB202" s="320"/>
      <c r="AC202" s="320"/>
      <c r="AD202" s="320"/>
      <c r="AE202" s="320"/>
      <c r="AF202" s="320"/>
      <c r="AG202" s="25"/>
      <c r="AH202" s="25"/>
      <c r="AI202" s="25"/>
      <c r="AJ202" s="25"/>
      <c r="AK202" s="25"/>
      <c r="AL202" s="25"/>
      <c r="AM202" s="25"/>
      <c r="AN202" s="25"/>
      <c r="AO202" s="25"/>
      <c r="AP202" s="25"/>
      <c r="AQ202" s="25"/>
      <c r="AR202" s="25"/>
      <c r="AS202" s="25"/>
      <c r="AT202" s="25"/>
      <c r="AU202" s="25"/>
      <c r="AV202" s="25"/>
      <c r="AW202" s="25"/>
      <c r="AX202" s="25"/>
      <c r="AY202" s="25"/>
      <c r="AZ202" s="25"/>
      <c r="BA202" s="25"/>
    </row>
    <row r="203" spans="1:53" ht="12.75">
      <c r="A203" s="322"/>
      <c r="B203" s="322"/>
      <c r="C203" s="320"/>
      <c r="D203" s="320"/>
      <c r="E203" s="318"/>
      <c r="F203" s="320" t="s">
        <v>954</v>
      </c>
      <c r="G203" s="318"/>
      <c r="H203" s="318"/>
      <c r="I203" s="318"/>
      <c r="J203" s="318"/>
      <c r="K203" s="318"/>
      <c r="L203" s="320"/>
      <c r="M203" s="320"/>
      <c r="N203" s="320"/>
      <c r="O203" s="320"/>
      <c r="P203" s="320"/>
      <c r="Q203" s="320"/>
      <c r="R203" s="320"/>
      <c r="S203" s="320"/>
      <c r="T203" s="320"/>
      <c r="U203" s="320"/>
      <c r="V203" s="320"/>
      <c r="W203" s="320"/>
      <c r="X203" s="320"/>
      <c r="Y203" s="320"/>
      <c r="Z203" s="320"/>
      <c r="AA203" s="320"/>
      <c r="AB203" s="320"/>
      <c r="AC203" s="320"/>
      <c r="AD203" s="320"/>
      <c r="AE203" s="320"/>
      <c r="AF203" s="320"/>
      <c r="AG203" s="25"/>
      <c r="AH203" s="25"/>
      <c r="AI203" s="25"/>
      <c r="AJ203" s="25"/>
      <c r="AK203" s="25"/>
      <c r="AL203" s="25"/>
      <c r="AM203" s="25"/>
      <c r="AN203" s="25"/>
      <c r="AO203" s="25"/>
      <c r="AP203" s="25"/>
      <c r="AQ203" s="25"/>
      <c r="AR203" s="25"/>
      <c r="AS203" s="25"/>
      <c r="AT203" s="25"/>
      <c r="AU203" s="25"/>
      <c r="AV203" s="25"/>
      <c r="AW203" s="25"/>
      <c r="AX203" s="25"/>
      <c r="AY203" s="25"/>
      <c r="AZ203" s="25"/>
      <c r="BA203" s="25"/>
    </row>
    <row r="204" spans="1:53" ht="12.75">
      <c r="A204" s="322"/>
      <c r="B204" s="322"/>
      <c r="C204" s="320"/>
      <c r="D204" s="318"/>
      <c r="E204" s="320"/>
      <c r="F204" s="320" t="s">
        <v>919</v>
      </c>
      <c r="G204" s="320"/>
      <c r="H204" s="320"/>
      <c r="I204" s="320"/>
      <c r="J204" s="320"/>
      <c r="K204" s="320"/>
      <c r="L204" s="320"/>
      <c r="M204" s="320"/>
      <c r="N204" s="320"/>
      <c r="O204" s="320"/>
      <c r="P204" s="320"/>
      <c r="Q204" s="320"/>
      <c r="R204" s="320"/>
      <c r="S204" s="320"/>
      <c r="T204" s="320"/>
      <c r="U204" s="320"/>
      <c r="V204" s="320"/>
      <c r="W204" s="320"/>
      <c r="X204" s="320"/>
      <c r="Y204" s="320"/>
      <c r="Z204" s="320"/>
      <c r="AA204" s="320"/>
      <c r="AB204" s="320"/>
      <c r="AC204" s="320"/>
      <c r="AD204" s="320"/>
      <c r="AE204" s="320"/>
      <c r="AF204" s="320"/>
      <c r="AG204" s="25"/>
      <c r="AH204" s="25"/>
      <c r="AI204" s="25"/>
      <c r="AJ204" s="25"/>
      <c r="AK204" s="25"/>
      <c r="AL204" s="25"/>
      <c r="AM204" s="25"/>
      <c r="AN204" s="25"/>
      <c r="AO204" s="25"/>
      <c r="AP204" s="25"/>
      <c r="AQ204" s="25"/>
      <c r="AR204" s="25"/>
      <c r="AS204" s="25"/>
      <c r="AT204" s="25"/>
      <c r="AU204" s="25"/>
      <c r="AV204" s="25"/>
      <c r="AW204" s="25"/>
      <c r="AX204" s="25"/>
      <c r="AY204" s="25"/>
      <c r="AZ204" s="25"/>
      <c r="BA204" s="25"/>
    </row>
    <row r="205" spans="1:53" ht="12.75">
      <c r="A205" s="321"/>
      <c r="B205" s="321"/>
      <c r="C205" s="318"/>
      <c r="D205" s="318"/>
      <c r="E205" s="318"/>
      <c r="F205" s="320"/>
      <c r="G205" s="318"/>
      <c r="H205" s="318"/>
      <c r="I205" s="318"/>
      <c r="J205" s="318"/>
      <c r="K205" s="318"/>
      <c r="L205" s="318"/>
      <c r="M205" s="318"/>
      <c r="N205" s="318"/>
      <c r="O205" s="318"/>
      <c r="P205" s="318"/>
      <c r="Q205" s="318"/>
      <c r="R205" s="318"/>
      <c r="S205" s="318"/>
      <c r="T205" s="318"/>
      <c r="U205" s="318"/>
      <c r="V205" s="318"/>
      <c r="W205" s="318"/>
      <c r="X205" s="318"/>
      <c r="Y205" s="318"/>
      <c r="Z205" s="318"/>
      <c r="AA205" s="318"/>
      <c r="AB205" s="318"/>
      <c r="AC205" s="318"/>
      <c r="AD205" s="318"/>
      <c r="AE205" s="318"/>
      <c r="AF205" s="318"/>
      <c r="AG205" s="25"/>
      <c r="AH205" s="25"/>
      <c r="AI205" s="25"/>
      <c r="AJ205" s="25"/>
      <c r="AK205" s="25"/>
      <c r="AL205" s="25"/>
      <c r="AM205" s="25"/>
      <c r="AN205" s="25"/>
      <c r="AO205" s="25"/>
      <c r="AP205" s="25"/>
      <c r="AQ205" s="25"/>
      <c r="AR205" s="25"/>
      <c r="AS205" s="25"/>
      <c r="AT205" s="25"/>
      <c r="AU205" s="25"/>
      <c r="AV205" s="25"/>
      <c r="AW205" s="25"/>
      <c r="AX205" s="25"/>
      <c r="AY205" s="25"/>
      <c r="AZ205" s="25"/>
      <c r="BA205" s="25"/>
    </row>
    <row r="206" spans="1:53" ht="12.75">
      <c r="A206" s="41"/>
      <c r="B206" s="41"/>
      <c r="C206" s="208"/>
      <c r="D206" s="820" t="s">
        <v>338</v>
      </c>
      <c r="E206" s="208"/>
      <c r="F206" s="208"/>
      <c r="G206" s="208"/>
      <c r="H206" s="208"/>
      <c r="I206" s="208"/>
      <c r="J206" s="208"/>
      <c r="K206" s="208"/>
      <c r="L206" s="208"/>
      <c r="M206" s="208"/>
      <c r="N206" s="93"/>
      <c r="O206" s="93"/>
      <c r="P206" s="93"/>
      <c r="Q206" s="93"/>
      <c r="R206" s="93"/>
      <c r="S206" s="93"/>
      <c r="T206" s="93"/>
      <c r="U206" s="93"/>
      <c r="V206" s="93"/>
      <c r="W206" s="93"/>
      <c r="X206" s="93"/>
      <c r="Y206" s="93"/>
      <c r="Z206" s="93"/>
      <c r="AA206" s="93"/>
      <c r="AB206" s="93"/>
      <c r="AC206" s="93"/>
      <c r="AD206" s="93"/>
      <c r="AE206" s="93"/>
      <c r="AF206" s="93"/>
      <c r="AG206" s="821" t="s">
        <v>339</v>
      </c>
      <c r="AH206" s="25"/>
      <c r="AI206" s="25"/>
      <c r="AJ206" s="25"/>
      <c r="AK206" s="25"/>
      <c r="AL206" s="25"/>
      <c r="AM206" s="25"/>
      <c r="AN206" s="25"/>
      <c r="AO206" s="25"/>
      <c r="AP206" s="25"/>
      <c r="AQ206" s="25"/>
      <c r="AR206" s="25"/>
      <c r="AS206" s="25"/>
      <c r="AT206" s="25"/>
      <c r="AU206" s="25"/>
      <c r="AV206" s="25"/>
      <c r="AW206" s="25"/>
      <c r="AX206" s="25"/>
      <c r="AY206" s="25"/>
      <c r="AZ206" s="25"/>
      <c r="BA206" s="25"/>
    </row>
    <row r="207" spans="1:53" ht="12.75">
      <c r="A207" s="41"/>
      <c r="B207" s="41"/>
      <c r="C207" s="208"/>
      <c r="D207" s="208"/>
      <c r="E207" s="208" t="s">
        <v>794</v>
      </c>
      <c r="F207" s="208" t="s">
        <v>340</v>
      </c>
      <c r="G207" s="208"/>
      <c r="H207" s="208"/>
      <c r="I207" s="208"/>
      <c r="J207" s="208"/>
      <c r="K207" s="208"/>
      <c r="L207" s="208"/>
      <c r="M207" s="208"/>
      <c r="N207" s="208"/>
      <c r="O207" s="208"/>
      <c r="P207" s="208"/>
      <c r="Q207" s="208"/>
      <c r="R207" s="208"/>
      <c r="S207" s="208"/>
      <c r="T207" s="208"/>
      <c r="U207" s="208"/>
      <c r="V207" s="208"/>
      <c r="W207" s="208"/>
      <c r="X207" s="208"/>
      <c r="Y207" s="208"/>
      <c r="Z207" s="208"/>
      <c r="AA207" s="208"/>
      <c r="AB207" s="208"/>
      <c r="AC207" s="208"/>
      <c r="AD207" s="208"/>
      <c r="AE207" s="208"/>
      <c r="AF207" s="208"/>
      <c r="AG207" s="25"/>
      <c r="AH207" s="25"/>
      <c r="AI207" s="25"/>
      <c r="AJ207" s="25"/>
      <c r="AK207" s="25"/>
      <c r="AL207" s="25"/>
      <c r="AM207" s="25"/>
      <c r="AN207" s="25"/>
      <c r="AO207" s="25"/>
      <c r="AP207" s="25"/>
      <c r="AQ207" s="25"/>
      <c r="AR207" s="25"/>
      <c r="AS207" s="25"/>
      <c r="AT207" s="25"/>
      <c r="AU207" s="25"/>
      <c r="AV207" s="25"/>
      <c r="AW207" s="25"/>
      <c r="AX207" s="25"/>
      <c r="AY207" s="25"/>
      <c r="AZ207" s="25"/>
      <c r="BA207" s="25"/>
    </row>
    <row r="208" spans="1:53" ht="12.75">
      <c r="A208" s="41"/>
      <c r="B208" s="41"/>
      <c r="C208" s="208"/>
      <c r="D208" s="208"/>
      <c r="E208" s="208"/>
      <c r="F208" s="208" t="s">
        <v>341</v>
      </c>
      <c r="G208" s="208"/>
      <c r="H208" s="208"/>
      <c r="I208" s="208"/>
      <c r="J208" s="208"/>
      <c r="K208" s="208"/>
      <c r="L208" s="208"/>
      <c r="M208" s="208"/>
      <c r="N208" s="208"/>
      <c r="O208" s="208"/>
      <c r="P208" s="208"/>
      <c r="Q208" s="208"/>
      <c r="R208" s="208"/>
      <c r="S208" s="208"/>
      <c r="T208" s="208"/>
      <c r="U208" s="208"/>
      <c r="V208" s="208"/>
      <c r="W208" s="208"/>
      <c r="X208" s="208"/>
      <c r="Y208" s="208"/>
      <c r="Z208" s="208"/>
      <c r="AA208" s="208"/>
      <c r="AB208" s="208"/>
      <c r="AC208" s="208"/>
      <c r="AD208" s="208"/>
      <c r="AE208" s="208"/>
      <c r="AF208" s="208"/>
      <c r="AG208" s="25"/>
      <c r="AH208" s="25"/>
      <c r="AI208" s="25"/>
      <c r="AJ208" s="25"/>
      <c r="AK208" s="25"/>
      <c r="AL208" s="25"/>
      <c r="AM208" s="25"/>
      <c r="AN208" s="25"/>
      <c r="AO208" s="25"/>
      <c r="AP208" s="25"/>
      <c r="AQ208" s="25"/>
      <c r="AR208" s="25"/>
      <c r="AS208" s="25"/>
      <c r="AT208" s="25"/>
      <c r="AU208" s="25"/>
      <c r="AV208" s="25"/>
      <c r="AW208" s="25"/>
      <c r="AX208" s="25"/>
      <c r="AY208" s="25"/>
      <c r="AZ208" s="25"/>
      <c r="BA208" s="25"/>
    </row>
    <row r="209" spans="1:53" ht="12.75">
      <c r="A209" s="41"/>
      <c r="B209" s="41"/>
      <c r="C209" s="208"/>
      <c r="D209" s="208"/>
      <c r="E209" s="208" t="s">
        <v>795</v>
      </c>
      <c r="F209" s="208" t="s">
        <v>587</v>
      </c>
      <c r="G209" s="208"/>
      <c r="H209" s="208"/>
      <c r="I209" s="208"/>
      <c r="J209" s="208"/>
      <c r="K209" s="208"/>
      <c r="L209" s="208"/>
      <c r="M209" s="208"/>
      <c r="N209" s="208"/>
      <c r="O209" s="208"/>
      <c r="P209" s="208"/>
      <c r="Q209" s="208"/>
      <c r="R209" s="208"/>
      <c r="S209" s="208"/>
      <c r="T209" s="208"/>
      <c r="U209" s="208"/>
      <c r="V209" s="208"/>
      <c r="W209" s="208"/>
      <c r="X209" s="208"/>
      <c r="Y209" s="208"/>
      <c r="Z209" s="208"/>
      <c r="AA209" s="208"/>
      <c r="AB209" s="208"/>
      <c r="AC209" s="208"/>
      <c r="AD209" s="208"/>
      <c r="AE209" s="208"/>
      <c r="AF209" s="208"/>
      <c r="AG209" s="25"/>
      <c r="AH209" s="25"/>
      <c r="AI209" s="25"/>
      <c r="AJ209" s="25"/>
      <c r="AK209" s="25"/>
      <c r="AL209" s="25"/>
      <c r="AM209" s="25"/>
      <c r="AN209" s="25"/>
      <c r="AO209" s="25"/>
      <c r="AP209" s="25"/>
      <c r="AQ209" s="25"/>
      <c r="AR209" s="25"/>
      <c r="AS209" s="25"/>
      <c r="AT209" s="25"/>
      <c r="AU209" s="25"/>
      <c r="AV209" s="25"/>
      <c r="AW209" s="25"/>
      <c r="AX209" s="25"/>
      <c r="AY209" s="25"/>
      <c r="AZ209" s="25"/>
      <c r="BA209" s="25"/>
    </row>
    <row r="210" spans="1:53" ht="12.75">
      <c r="A210" s="41"/>
      <c r="B210" s="41"/>
      <c r="C210" s="208"/>
      <c r="D210" s="208"/>
      <c r="E210" s="208"/>
      <c r="F210" s="208" t="s">
        <v>873</v>
      </c>
      <c r="G210" s="208"/>
      <c r="H210" s="208"/>
      <c r="I210" s="208"/>
      <c r="J210" s="208"/>
      <c r="K210" s="208"/>
      <c r="L210" s="208"/>
      <c r="M210" s="208"/>
      <c r="N210" s="208"/>
      <c r="O210" s="208"/>
      <c r="P210" s="208"/>
      <c r="Q210" s="208"/>
      <c r="R210" s="208"/>
      <c r="S210" s="208"/>
      <c r="T210" s="208"/>
      <c r="U210" s="208"/>
      <c r="V210" s="208"/>
      <c r="W210" s="208"/>
      <c r="X210" s="208"/>
      <c r="Y210" s="208"/>
      <c r="Z210" s="208"/>
      <c r="AA210" s="208"/>
      <c r="AB210" s="208"/>
      <c r="AC210" s="208"/>
      <c r="AD210" s="208"/>
      <c r="AE210" s="208"/>
      <c r="AF210" s="208"/>
      <c r="AG210" s="25"/>
      <c r="AH210" s="25"/>
      <c r="AI210" s="25"/>
      <c r="AJ210" s="25"/>
      <c r="AK210" s="25"/>
      <c r="AL210" s="25"/>
      <c r="AM210" s="25"/>
      <c r="AN210" s="25"/>
      <c r="AO210" s="25"/>
      <c r="AP210" s="25"/>
      <c r="AQ210" s="25"/>
      <c r="AR210" s="25"/>
      <c r="AS210" s="25"/>
      <c r="AT210" s="25"/>
      <c r="AU210" s="25"/>
      <c r="AV210" s="25"/>
      <c r="AW210" s="25"/>
      <c r="AX210" s="25"/>
      <c r="AY210" s="25"/>
      <c r="AZ210" s="25"/>
      <c r="BA210" s="25"/>
    </row>
    <row r="211" spans="1:53" ht="12.75">
      <c r="A211" s="41"/>
      <c r="B211" s="41"/>
      <c r="C211" s="208"/>
      <c r="D211" s="208"/>
      <c r="E211" s="208" t="s">
        <v>796</v>
      </c>
      <c r="F211" s="208" t="s">
        <v>571</v>
      </c>
      <c r="G211" s="208"/>
      <c r="H211" s="208"/>
      <c r="I211" s="208"/>
      <c r="J211" s="208"/>
      <c r="K211" s="208"/>
      <c r="L211" s="208"/>
      <c r="M211" s="208"/>
      <c r="N211" s="208"/>
      <c r="O211" s="208"/>
      <c r="P211" s="208"/>
      <c r="Q211" s="208"/>
      <c r="R211" s="208"/>
      <c r="S211" s="208"/>
      <c r="T211" s="208"/>
      <c r="U211" s="208"/>
      <c r="V211" s="208"/>
      <c r="W211" s="208"/>
      <c r="X211" s="208"/>
      <c r="Y211" s="208"/>
      <c r="Z211" s="208"/>
      <c r="AA211" s="208"/>
      <c r="AB211" s="208"/>
      <c r="AC211" s="208"/>
      <c r="AD211" s="208"/>
      <c r="AE211" s="208"/>
      <c r="AF211" s="208"/>
      <c r="AG211" s="25"/>
      <c r="AH211" s="25"/>
      <c r="AI211" s="25"/>
      <c r="AJ211" s="25"/>
      <c r="AK211" s="25"/>
      <c r="AL211" s="25"/>
      <c r="AM211" s="25"/>
      <c r="AN211" s="25"/>
      <c r="AO211" s="25"/>
      <c r="AP211" s="25"/>
      <c r="AQ211" s="25"/>
      <c r="AR211" s="25"/>
      <c r="AS211" s="25"/>
      <c r="AT211" s="25"/>
      <c r="AU211" s="25"/>
      <c r="AV211" s="25"/>
      <c r="AW211" s="25"/>
      <c r="AX211" s="25"/>
      <c r="AY211" s="25"/>
      <c r="AZ211" s="25"/>
      <c r="BA211" s="25"/>
    </row>
    <row r="212" spans="1:53" ht="12.75">
      <c r="A212" s="41"/>
      <c r="B212" s="41"/>
      <c r="C212" s="208"/>
      <c r="D212" s="208"/>
      <c r="E212" s="208"/>
      <c r="F212" s="208" t="s">
        <v>581</v>
      </c>
      <c r="G212" s="208"/>
      <c r="H212" s="208"/>
      <c r="I212" s="208"/>
      <c r="J212" s="208"/>
      <c r="K212" s="208"/>
      <c r="L212" s="208"/>
      <c r="M212" s="208"/>
      <c r="N212" s="208"/>
      <c r="O212" s="208"/>
      <c r="P212" s="208"/>
      <c r="Q212" s="208"/>
      <c r="R212" s="208"/>
      <c r="S212" s="208"/>
      <c r="T212" s="208"/>
      <c r="U212" s="208"/>
      <c r="V212" s="208"/>
      <c r="W212" s="208"/>
      <c r="X212" s="208"/>
      <c r="Y212" s="208"/>
      <c r="Z212" s="208"/>
      <c r="AA212" s="208"/>
      <c r="AB212" s="208"/>
      <c r="AC212" s="208"/>
      <c r="AD212" s="208"/>
      <c r="AE212" s="208"/>
      <c r="AF212" s="208"/>
      <c r="AG212" s="25"/>
      <c r="AH212" s="25"/>
      <c r="AI212" s="25"/>
      <c r="AJ212" s="25"/>
      <c r="AK212" s="25"/>
      <c r="AL212" s="25"/>
      <c r="AM212" s="25"/>
      <c r="AN212" s="25"/>
      <c r="AO212" s="25"/>
      <c r="AP212" s="25"/>
      <c r="AQ212" s="25"/>
      <c r="AR212" s="25"/>
      <c r="AS212" s="25"/>
      <c r="AT212" s="25"/>
      <c r="AU212" s="25"/>
      <c r="AV212" s="25"/>
      <c r="AW212" s="25"/>
      <c r="AX212" s="25"/>
      <c r="AY212" s="25"/>
      <c r="AZ212" s="25"/>
      <c r="BA212" s="25"/>
    </row>
    <row r="213" spans="1:53" ht="12.75">
      <c r="A213" s="41"/>
      <c r="B213" s="41"/>
      <c r="C213" s="208"/>
      <c r="D213" s="208"/>
      <c r="E213" s="208" t="s">
        <v>798</v>
      </c>
      <c r="F213" s="208" t="s">
        <v>348</v>
      </c>
      <c r="G213" s="208"/>
      <c r="H213" s="208"/>
      <c r="I213" s="208"/>
      <c r="J213" s="208"/>
      <c r="K213" s="208"/>
      <c r="L213" s="208"/>
      <c r="M213" s="208"/>
      <c r="N213" s="208"/>
      <c r="O213" s="208"/>
      <c r="P213" s="208"/>
      <c r="Q213" s="208"/>
      <c r="R213" s="208"/>
      <c r="S213" s="208"/>
      <c r="T213" s="208"/>
      <c r="U213" s="208"/>
      <c r="V213" s="208"/>
      <c r="W213" s="208"/>
      <c r="X213" s="208"/>
      <c r="Y213" s="208"/>
      <c r="Z213" s="208"/>
      <c r="AA213" s="208"/>
      <c r="AB213" s="208"/>
      <c r="AC213" s="208"/>
      <c r="AD213" s="208"/>
      <c r="AE213" s="208"/>
      <c r="AF213" s="208"/>
      <c r="AG213" s="25"/>
      <c r="AH213" s="25"/>
      <c r="AI213" s="25"/>
      <c r="AJ213" s="25"/>
      <c r="AK213" s="25"/>
      <c r="AL213" s="25"/>
      <c r="AM213" s="25"/>
      <c r="AN213" s="25"/>
      <c r="AO213" s="25"/>
      <c r="AP213" s="25"/>
      <c r="AQ213" s="25"/>
      <c r="AR213" s="25"/>
      <c r="AS213" s="25"/>
      <c r="AT213" s="25"/>
      <c r="AU213" s="25"/>
      <c r="AV213" s="25"/>
      <c r="AW213" s="25"/>
      <c r="AX213" s="25"/>
      <c r="AY213" s="25"/>
      <c r="AZ213" s="25"/>
      <c r="BA213" s="25"/>
    </row>
    <row r="214" spans="1:53" ht="12.75">
      <c r="A214" s="41"/>
      <c r="B214" s="41"/>
      <c r="C214" s="208"/>
      <c r="D214" s="208"/>
      <c r="E214" s="208"/>
      <c r="F214" s="208" t="s">
        <v>342</v>
      </c>
      <c r="G214" s="208"/>
      <c r="H214" s="208"/>
      <c r="I214" s="208"/>
      <c r="J214" s="208"/>
      <c r="K214" s="208"/>
      <c r="L214" s="208"/>
      <c r="M214" s="208"/>
      <c r="N214" s="208"/>
      <c r="O214" s="208"/>
      <c r="P214" s="208"/>
      <c r="Q214" s="208"/>
      <c r="R214" s="208"/>
      <c r="S214" s="208"/>
      <c r="T214" s="208"/>
      <c r="U214" s="208"/>
      <c r="V214" s="208"/>
      <c r="W214" s="208"/>
      <c r="X214" s="208"/>
      <c r="Y214" s="208"/>
      <c r="Z214" s="208"/>
      <c r="AA214" s="208"/>
      <c r="AB214" s="208"/>
      <c r="AC214" s="208"/>
      <c r="AD214" s="208"/>
      <c r="AE214" s="208"/>
      <c r="AF214" s="208"/>
      <c r="AG214" s="25"/>
      <c r="AH214" s="25"/>
      <c r="AI214" s="25"/>
      <c r="AJ214" s="25"/>
      <c r="AK214" s="25"/>
      <c r="AL214" s="25"/>
      <c r="AM214" s="25"/>
      <c r="AN214" s="25"/>
      <c r="AO214" s="25"/>
      <c r="AP214" s="25"/>
      <c r="AQ214" s="25"/>
      <c r="AR214" s="25"/>
      <c r="AS214" s="25"/>
      <c r="AT214" s="25"/>
      <c r="AU214" s="25"/>
      <c r="AV214" s="25"/>
      <c r="AW214" s="25"/>
      <c r="AX214" s="25"/>
      <c r="AY214" s="25"/>
      <c r="AZ214" s="25"/>
      <c r="BA214" s="25"/>
    </row>
    <row r="215" spans="1:53" ht="12.75">
      <c r="A215" s="41"/>
      <c r="B215" s="41"/>
      <c r="C215" s="208"/>
      <c r="D215" s="208"/>
      <c r="E215" s="208"/>
      <c r="F215" s="208" t="s">
        <v>343</v>
      </c>
      <c r="G215" s="208"/>
      <c r="H215" s="208"/>
      <c r="I215" s="208"/>
      <c r="J215" s="208"/>
      <c r="K215" s="208"/>
      <c r="L215" s="208"/>
      <c r="M215" s="208"/>
      <c r="N215" s="208"/>
      <c r="O215" s="208"/>
      <c r="P215" s="208"/>
      <c r="Q215" s="208"/>
      <c r="R215" s="208"/>
      <c r="S215" s="208"/>
      <c r="T215" s="208"/>
      <c r="U215" s="208"/>
      <c r="V215" s="208"/>
      <c r="W215" s="208"/>
      <c r="X215" s="208"/>
      <c r="Y215" s="208"/>
      <c r="Z215" s="208"/>
      <c r="AA215" s="208"/>
      <c r="AB215" s="208"/>
      <c r="AC215" s="208"/>
      <c r="AD215" s="208"/>
      <c r="AE215" s="208"/>
      <c r="AF215" s="208"/>
      <c r="AG215" s="25"/>
      <c r="AH215" s="25"/>
      <c r="AI215" s="25"/>
      <c r="AJ215" s="25"/>
      <c r="AK215" s="25"/>
      <c r="AL215" s="25"/>
      <c r="AM215" s="25"/>
      <c r="AN215" s="25"/>
      <c r="AO215" s="25"/>
      <c r="AP215" s="25"/>
      <c r="AQ215" s="25"/>
      <c r="AR215" s="25"/>
      <c r="AS215" s="25"/>
      <c r="AT215" s="25"/>
      <c r="AU215" s="25"/>
      <c r="AV215" s="25"/>
      <c r="AW215" s="25"/>
      <c r="AX215" s="25"/>
      <c r="AY215" s="25"/>
      <c r="AZ215" s="25"/>
      <c r="BA215" s="25"/>
    </row>
    <row r="216" spans="1:53" ht="12.75">
      <c r="A216" s="41"/>
      <c r="B216" s="41"/>
      <c r="C216" s="208"/>
      <c r="D216" s="208"/>
      <c r="E216" s="817"/>
      <c r="F216" s="817" t="s">
        <v>344</v>
      </c>
      <c r="G216" s="817"/>
      <c r="H216" s="817"/>
      <c r="I216" s="817"/>
      <c r="J216" s="208"/>
      <c r="K216" s="208"/>
      <c r="L216" s="208"/>
      <c r="M216" s="208"/>
      <c r="N216" s="208"/>
      <c r="O216" s="208"/>
      <c r="P216" s="208"/>
      <c r="Q216" s="208"/>
      <c r="R216" s="208"/>
      <c r="S216" s="208"/>
      <c r="T216" s="208"/>
      <c r="U216" s="208"/>
      <c r="V216" s="208"/>
      <c r="W216" s="208"/>
      <c r="X216" s="208"/>
      <c r="Y216" s="208"/>
      <c r="Z216" s="208"/>
      <c r="AA216" s="208"/>
      <c r="AB216" s="208"/>
      <c r="AC216" s="208"/>
      <c r="AD216" s="208"/>
      <c r="AE216" s="208"/>
      <c r="AF216" s="208"/>
      <c r="AG216" s="25"/>
      <c r="AH216" s="25"/>
      <c r="AI216" s="25"/>
      <c r="AJ216" s="25"/>
      <c r="AK216" s="25"/>
      <c r="AL216" s="25"/>
      <c r="AM216" s="25"/>
      <c r="AN216" s="25"/>
      <c r="AO216" s="25"/>
      <c r="AP216" s="25"/>
      <c r="AQ216" s="25"/>
      <c r="AR216" s="25"/>
      <c r="AS216" s="25"/>
      <c r="AT216" s="25"/>
      <c r="AU216" s="25"/>
      <c r="AV216" s="25"/>
      <c r="AW216" s="25"/>
      <c r="AX216" s="25"/>
      <c r="AY216" s="25"/>
      <c r="AZ216" s="25"/>
      <c r="BA216" s="25"/>
    </row>
    <row r="217" spans="1:53" ht="12.75">
      <c r="A217" s="41"/>
      <c r="B217" s="41"/>
      <c r="C217" s="208"/>
      <c r="D217" s="208"/>
      <c r="E217" s="817"/>
      <c r="F217" s="817" t="s">
        <v>345</v>
      </c>
      <c r="G217" s="817"/>
      <c r="H217" s="817"/>
      <c r="I217" s="208"/>
      <c r="J217" s="208"/>
      <c r="K217" s="208"/>
      <c r="L217" s="208"/>
      <c r="M217" s="208"/>
      <c r="N217" s="208"/>
      <c r="O217" s="208"/>
      <c r="P217" s="208"/>
      <c r="Q217" s="208"/>
      <c r="R217" s="208"/>
      <c r="S217" s="208"/>
      <c r="T217" s="208"/>
      <c r="U217" s="208"/>
      <c r="V217" s="208"/>
      <c r="W217" s="208"/>
      <c r="X217" s="208"/>
      <c r="Y217" s="208"/>
      <c r="Z217" s="208"/>
      <c r="AA217" s="208"/>
      <c r="AB217" s="208"/>
      <c r="AC217" s="208"/>
      <c r="AD217" s="208"/>
      <c r="AE217" s="208"/>
      <c r="AF217" s="208"/>
      <c r="AG217" s="25"/>
      <c r="AH217" s="25"/>
      <c r="AI217" s="25"/>
      <c r="AJ217" s="25"/>
      <c r="AK217" s="25"/>
      <c r="AL217" s="25"/>
      <c r="AM217" s="25"/>
      <c r="AN217" s="25"/>
      <c r="AO217" s="25"/>
      <c r="AP217" s="25"/>
      <c r="AQ217" s="25"/>
      <c r="AR217" s="25"/>
      <c r="AS217" s="25"/>
      <c r="AT217" s="25"/>
      <c r="AU217" s="25"/>
      <c r="AV217" s="25"/>
      <c r="AW217" s="25"/>
      <c r="AX217" s="25"/>
      <c r="AY217" s="25"/>
      <c r="AZ217" s="25"/>
      <c r="BA217" s="25"/>
    </row>
    <row r="218" spans="1:53" ht="12.75">
      <c r="A218" s="41"/>
      <c r="B218" s="41"/>
      <c r="C218" s="208"/>
      <c r="D218" s="208"/>
      <c r="E218" s="208" t="s">
        <v>800</v>
      </c>
      <c r="F218" s="208" t="s">
        <v>912</v>
      </c>
      <c r="G218" s="208"/>
      <c r="H218" s="208"/>
      <c r="I218" s="208"/>
      <c r="J218" s="208"/>
      <c r="K218" s="208"/>
      <c r="L218" s="208"/>
      <c r="M218" s="208"/>
      <c r="N218" s="208"/>
      <c r="O218" s="208"/>
      <c r="P218" s="208"/>
      <c r="Q218" s="208"/>
      <c r="R218" s="208"/>
      <c r="S218" s="208"/>
      <c r="T218" s="208"/>
      <c r="U218" s="208"/>
      <c r="V218" s="208"/>
      <c r="W218" s="208"/>
      <c r="X218" s="208"/>
      <c r="Y218" s="208"/>
      <c r="Z218" s="208"/>
      <c r="AA218" s="208"/>
      <c r="AB218" s="208"/>
      <c r="AC218" s="208"/>
      <c r="AD218" s="208"/>
      <c r="AE218" s="208"/>
      <c r="AF218" s="208"/>
      <c r="AG218" s="25"/>
      <c r="AH218" s="25"/>
      <c r="AI218" s="25"/>
      <c r="AJ218" s="25"/>
      <c r="AK218" s="25"/>
      <c r="AL218" s="25"/>
      <c r="AM218" s="25"/>
      <c r="AN218" s="25"/>
      <c r="AO218" s="25"/>
      <c r="AP218" s="25"/>
      <c r="AQ218" s="25"/>
      <c r="AR218" s="25"/>
      <c r="AS218" s="25"/>
      <c r="AT218" s="25"/>
      <c r="AU218" s="25"/>
      <c r="AV218" s="25"/>
      <c r="AW218" s="25"/>
      <c r="AX218" s="25"/>
      <c r="AY218" s="25"/>
      <c r="AZ218" s="25"/>
      <c r="BA218" s="25"/>
    </row>
    <row r="219" spans="1:53" ht="12.75">
      <c r="A219" s="41"/>
      <c r="B219" s="41"/>
      <c r="C219" s="208"/>
      <c r="D219" s="208"/>
      <c r="E219" s="208" t="s">
        <v>886</v>
      </c>
      <c r="F219" s="208" t="s">
        <v>913</v>
      </c>
      <c r="G219" s="208"/>
      <c r="H219" s="208"/>
      <c r="I219" s="208"/>
      <c r="J219" s="208"/>
      <c r="K219" s="208"/>
      <c r="L219" s="208"/>
      <c r="M219" s="208"/>
      <c r="N219" s="208"/>
      <c r="O219" s="208"/>
      <c r="P219" s="208"/>
      <c r="Q219" s="208"/>
      <c r="R219" s="208"/>
      <c r="S219" s="208"/>
      <c r="T219" s="208"/>
      <c r="U219" s="208"/>
      <c r="V219" s="208"/>
      <c r="W219" s="208"/>
      <c r="X219" s="208"/>
      <c r="Y219" s="208"/>
      <c r="Z219" s="208"/>
      <c r="AA219" s="208"/>
      <c r="AB219" s="208"/>
      <c r="AC219" s="208"/>
      <c r="AD219" s="208"/>
      <c r="AE219" s="208"/>
      <c r="AF219" s="208"/>
      <c r="AG219" s="25"/>
      <c r="AH219" s="25"/>
      <c r="AI219" s="25"/>
      <c r="AJ219" s="25"/>
      <c r="AK219" s="25"/>
      <c r="AL219" s="25"/>
      <c r="AM219" s="25"/>
      <c r="AN219" s="25"/>
      <c r="AO219" s="25"/>
      <c r="AP219" s="25"/>
      <c r="AQ219" s="25"/>
      <c r="AR219" s="25"/>
      <c r="AS219" s="25"/>
      <c r="AT219" s="25"/>
      <c r="AU219" s="25"/>
      <c r="AV219" s="25"/>
      <c r="AW219" s="25"/>
      <c r="AX219" s="25"/>
      <c r="AY219" s="25"/>
      <c r="AZ219" s="25"/>
      <c r="BA219" s="25"/>
    </row>
    <row r="220" spans="1:53" ht="12.75">
      <c r="A220" s="41"/>
      <c r="B220" s="41"/>
      <c r="C220" s="208"/>
      <c r="D220" s="208"/>
      <c r="E220" s="208"/>
      <c r="F220" s="208" t="s">
        <v>914</v>
      </c>
      <c r="G220" s="208"/>
      <c r="H220" s="208"/>
      <c r="I220" s="208"/>
      <c r="J220" s="208"/>
      <c r="K220" s="208"/>
      <c r="L220" s="208"/>
      <c r="M220" s="208"/>
      <c r="N220" s="208"/>
      <c r="O220" s="208"/>
      <c r="P220" s="208"/>
      <c r="Q220" s="208"/>
      <c r="R220" s="208"/>
      <c r="S220" s="208"/>
      <c r="T220" s="208"/>
      <c r="U220" s="208"/>
      <c r="V220" s="208"/>
      <c r="W220" s="208"/>
      <c r="X220" s="208"/>
      <c r="Y220" s="208"/>
      <c r="Z220" s="208"/>
      <c r="AA220" s="208"/>
      <c r="AB220" s="208"/>
      <c r="AC220" s="208"/>
      <c r="AD220" s="208"/>
      <c r="AE220" s="208"/>
      <c r="AF220" s="208"/>
      <c r="AG220" s="25"/>
      <c r="AH220" s="25"/>
      <c r="AI220" s="25"/>
      <c r="AJ220" s="25"/>
      <c r="AK220" s="25"/>
      <c r="AL220" s="25"/>
      <c r="AM220" s="25"/>
      <c r="AN220" s="25"/>
      <c r="AO220" s="25"/>
      <c r="AP220" s="25"/>
      <c r="AQ220" s="25"/>
      <c r="AR220" s="25"/>
      <c r="AS220" s="25"/>
      <c r="AT220" s="25"/>
      <c r="AU220" s="25"/>
      <c r="AV220" s="25"/>
      <c r="AW220" s="25"/>
      <c r="AX220" s="25"/>
      <c r="AY220" s="25"/>
      <c r="AZ220" s="25"/>
      <c r="BA220" s="25"/>
    </row>
    <row r="221" spans="1:53" ht="12.75">
      <c r="A221" s="41"/>
      <c r="B221" s="41"/>
      <c r="C221" s="208"/>
      <c r="D221" s="208"/>
      <c r="E221" s="208"/>
      <c r="F221" s="208" t="s">
        <v>915</v>
      </c>
      <c r="G221" s="208"/>
      <c r="H221" s="208"/>
      <c r="I221" s="208"/>
      <c r="J221" s="208"/>
      <c r="K221" s="208"/>
      <c r="L221" s="208"/>
      <c r="M221" s="208"/>
      <c r="N221" s="208"/>
      <c r="O221" s="208"/>
      <c r="P221" s="208"/>
      <c r="Q221" s="208"/>
      <c r="R221" s="208"/>
      <c r="S221" s="208"/>
      <c r="T221" s="208"/>
      <c r="U221" s="208"/>
      <c r="V221" s="208"/>
      <c r="W221" s="208"/>
      <c r="X221" s="208"/>
      <c r="Y221" s="208"/>
      <c r="Z221" s="208"/>
      <c r="AA221" s="208"/>
      <c r="AB221" s="208"/>
      <c r="AC221" s="208"/>
      <c r="AD221" s="208"/>
      <c r="AE221" s="208"/>
      <c r="AF221" s="208"/>
      <c r="AG221" s="25"/>
      <c r="AH221" s="25"/>
      <c r="AI221" s="25"/>
      <c r="AJ221" s="25"/>
      <c r="AK221" s="25"/>
      <c r="AL221" s="25"/>
      <c r="AM221" s="25"/>
      <c r="AN221" s="25"/>
      <c r="AO221" s="25"/>
      <c r="AP221" s="25"/>
      <c r="AQ221" s="25"/>
      <c r="AR221" s="25"/>
      <c r="AS221" s="25"/>
      <c r="AT221" s="25"/>
      <c r="AU221" s="25"/>
      <c r="AV221" s="25"/>
      <c r="AW221" s="25"/>
      <c r="AX221" s="25"/>
      <c r="AY221" s="25"/>
      <c r="AZ221" s="25"/>
      <c r="BA221" s="25"/>
    </row>
    <row r="222" spans="1:53" ht="12.75">
      <c r="A222" s="41"/>
      <c r="B222" s="41"/>
      <c r="C222" s="208"/>
      <c r="D222" s="208"/>
      <c r="E222" s="208" t="s">
        <v>916</v>
      </c>
      <c r="F222" s="208" t="s">
        <v>917</v>
      </c>
      <c r="G222" s="208"/>
      <c r="H222" s="208"/>
      <c r="I222" s="208"/>
      <c r="J222" s="208"/>
      <c r="K222" s="208"/>
      <c r="L222" s="208"/>
      <c r="M222" s="208"/>
      <c r="N222" s="208"/>
      <c r="O222" s="208"/>
      <c r="P222" s="208"/>
      <c r="Q222" s="208"/>
      <c r="R222" s="208"/>
      <c r="S222" s="208"/>
      <c r="T222" s="208"/>
      <c r="U222" s="208"/>
      <c r="V222" s="208"/>
      <c r="W222" s="208"/>
      <c r="X222" s="208"/>
      <c r="Y222" s="208"/>
      <c r="Z222" s="208"/>
      <c r="AA222" s="208"/>
      <c r="AB222" s="208"/>
      <c r="AC222" s="208"/>
      <c r="AD222" s="208"/>
      <c r="AE222" s="208"/>
      <c r="AF222" s="208"/>
      <c r="AG222" s="25"/>
      <c r="AH222" s="25"/>
      <c r="AI222" s="25"/>
      <c r="AJ222" s="25"/>
      <c r="AK222" s="25"/>
      <c r="AL222" s="25"/>
      <c r="AM222" s="25"/>
      <c r="AN222" s="25"/>
      <c r="AO222" s="25"/>
      <c r="AP222" s="25"/>
      <c r="AQ222" s="25"/>
      <c r="AR222" s="25"/>
      <c r="AS222" s="25"/>
      <c r="AT222" s="25"/>
      <c r="AU222" s="25"/>
      <c r="AV222" s="25"/>
      <c r="AW222" s="25"/>
      <c r="AX222" s="25"/>
      <c r="AY222" s="25"/>
      <c r="AZ222" s="25"/>
      <c r="BA222" s="25"/>
    </row>
    <row r="223" spans="1:53" ht="12.75">
      <c r="A223" s="41"/>
      <c r="B223" s="41"/>
      <c r="C223" s="208"/>
      <c r="D223" s="208"/>
      <c r="E223" s="817"/>
      <c r="F223" s="208" t="s">
        <v>346</v>
      </c>
      <c r="G223" s="817"/>
      <c r="H223" s="817"/>
      <c r="I223" s="817"/>
      <c r="J223" s="208"/>
      <c r="K223" s="208"/>
      <c r="L223" s="208"/>
      <c r="M223" s="208"/>
      <c r="N223" s="208"/>
      <c r="O223" s="208"/>
      <c r="P223" s="208"/>
      <c r="Q223" s="208"/>
      <c r="R223" s="208"/>
      <c r="S223" s="208"/>
      <c r="T223" s="208"/>
      <c r="U223" s="208"/>
      <c r="V223" s="208"/>
      <c r="W223" s="208"/>
      <c r="X223" s="208"/>
      <c r="Y223" s="208"/>
      <c r="Z223" s="208"/>
      <c r="AA223" s="208"/>
      <c r="AB223" s="208"/>
      <c r="AC223" s="208"/>
      <c r="AD223" s="208"/>
      <c r="AE223" s="208"/>
      <c r="AF223" s="208"/>
      <c r="AG223" s="25"/>
      <c r="AH223" s="25"/>
      <c r="AI223" s="25"/>
      <c r="AJ223" s="25"/>
      <c r="AK223" s="25"/>
      <c r="AL223" s="25"/>
      <c r="AM223" s="25"/>
      <c r="AN223" s="25"/>
      <c r="AO223" s="25"/>
      <c r="AP223" s="25"/>
      <c r="AQ223" s="25"/>
      <c r="AR223" s="25"/>
      <c r="AS223" s="25"/>
      <c r="AT223" s="25"/>
      <c r="AU223" s="25"/>
      <c r="AV223" s="25"/>
      <c r="AW223" s="25"/>
      <c r="AX223" s="25"/>
      <c r="AY223" s="25"/>
      <c r="AZ223" s="25"/>
      <c r="BA223" s="25"/>
    </row>
    <row r="224" spans="1:53" ht="12.75">
      <c r="A224" s="41"/>
      <c r="B224" s="41"/>
      <c r="C224" s="208"/>
      <c r="D224" s="208"/>
      <c r="E224" s="817"/>
      <c r="F224" s="208" t="s">
        <v>954</v>
      </c>
      <c r="G224" s="817"/>
      <c r="H224" s="817"/>
      <c r="I224" s="817"/>
      <c r="J224" s="817"/>
      <c r="K224" s="817"/>
      <c r="L224" s="208"/>
      <c r="M224" s="208"/>
      <c r="N224" s="208"/>
      <c r="O224" s="208"/>
      <c r="P224" s="208"/>
      <c r="Q224" s="208"/>
      <c r="R224" s="208"/>
      <c r="S224" s="208"/>
      <c r="T224" s="208"/>
      <c r="U224" s="208"/>
      <c r="V224" s="208"/>
      <c r="W224" s="208"/>
      <c r="X224" s="208"/>
      <c r="Y224" s="208"/>
      <c r="Z224" s="208"/>
      <c r="AA224" s="208"/>
      <c r="AB224" s="208"/>
      <c r="AC224" s="208"/>
      <c r="AD224" s="208"/>
      <c r="AE224" s="208"/>
      <c r="AF224" s="208"/>
      <c r="AG224" s="25"/>
      <c r="AH224" s="25"/>
      <c r="AI224" s="25"/>
      <c r="AJ224" s="25"/>
      <c r="AK224" s="25"/>
      <c r="AL224" s="25"/>
      <c r="AM224" s="25"/>
      <c r="AN224" s="25"/>
      <c r="AO224" s="25"/>
      <c r="AP224" s="25"/>
      <c r="AQ224" s="25"/>
      <c r="AR224" s="25"/>
      <c r="AS224" s="25"/>
      <c r="AT224" s="25"/>
      <c r="AU224" s="25"/>
      <c r="AV224" s="25"/>
      <c r="AW224" s="25"/>
      <c r="AX224" s="25"/>
      <c r="AY224" s="25"/>
      <c r="AZ224" s="25"/>
      <c r="BA224" s="25"/>
    </row>
    <row r="225" spans="1:53" ht="12.75">
      <c r="A225" s="41"/>
      <c r="B225" s="41"/>
      <c r="C225" s="208"/>
      <c r="D225" s="817"/>
      <c r="E225" s="208"/>
      <c r="F225" s="208" t="s">
        <v>919</v>
      </c>
      <c r="G225" s="208"/>
      <c r="H225" s="208"/>
      <c r="I225" s="208"/>
      <c r="J225" s="208"/>
      <c r="K225" s="208"/>
      <c r="L225" s="208"/>
      <c r="M225" s="208"/>
      <c r="N225" s="208"/>
      <c r="O225" s="208"/>
      <c r="P225" s="208"/>
      <c r="Q225" s="208"/>
      <c r="R225" s="208"/>
      <c r="S225" s="208"/>
      <c r="T225" s="208"/>
      <c r="U225" s="208"/>
      <c r="V225" s="208"/>
      <c r="W225" s="208"/>
      <c r="X225" s="208"/>
      <c r="Y225" s="208"/>
      <c r="Z225" s="208"/>
      <c r="AA225" s="208"/>
      <c r="AB225" s="208"/>
      <c r="AC225" s="208"/>
      <c r="AD225" s="208"/>
      <c r="AE225" s="208"/>
      <c r="AF225" s="208"/>
      <c r="AG225" s="25"/>
      <c r="AH225" s="25"/>
      <c r="AI225" s="25"/>
      <c r="AJ225" s="25"/>
      <c r="AK225" s="25"/>
      <c r="AL225" s="25"/>
      <c r="AM225" s="25"/>
      <c r="AN225" s="25"/>
      <c r="AO225" s="25"/>
      <c r="AP225" s="25"/>
      <c r="AQ225" s="25"/>
      <c r="AR225" s="25"/>
      <c r="AS225" s="25"/>
      <c r="AT225" s="25"/>
      <c r="AU225" s="25"/>
      <c r="AV225" s="25"/>
      <c r="AW225" s="25"/>
      <c r="AX225" s="25"/>
      <c r="AY225" s="25"/>
      <c r="AZ225" s="25"/>
      <c r="BA225" s="25"/>
    </row>
    <row r="226" spans="1:53" ht="12.75">
      <c r="A226" s="822"/>
      <c r="B226" s="822"/>
      <c r="C226" s="817"/>
      <c r="D226" s="817"/>
      <c r="E226" s="817"/>
      <c r="F226" s="817"/>
      <c r="G226" s="817"/>
      <c r="H226" s="817"/>
      <c r="I226" s="817"/>
      <c r="J226" s="817"/>
      <c r="K226" s="817"/>
      <c r="L226" s="817"/>
      <c r="M226" s="817"/>
      <c r="N226" s="817"/>
      <c r="O226" s="817"/>
      <c r="P226" s="817"/>
      <c r="Q226" s="817"/>
      <c r="R226" s="817"/>
      <c r="S226" s="817"/>
      <c r="T226" s="817"/>
      <c r="U226" s="817"/>
      <c r="V226" s="817"/>
      <c r="W226" s="817"/>
      <c r="X226" s="817"/>
      <c r="Y226" s="817"/>
      <c r="Z226" s="817"/>
      <c r="AA226" s="817"/>
      <c r="AB226" s="817"/>
      <c r="AC226" s="817"/>
      <c r="AD226" s="817"/>
      <c r="AE226" s="817"/>
      <c r="AF226" s="817"/>
      <c r="AG226" s="25"/>
      <c r="AH226" s="25"/>
      <c r="AI226" s="25"/>
      <c r="AJ226" s="25"/>
      <c r="AK226" s="25"/>
      <c r="AL226" s="25"/>
      <c r="AM226" s="25"/>
      <c r="AN226" s="25"/>
      <c r="AO226" s="25"/>
      <c r="AP226" s="25"/>
      <c r="AQ226" s="25"/>
      <c r="AR226" s="25"/>
      <c r="AS226" s="25"/>
      <c r="AT226" s="25"/>
      <c r="AU226" s="25"/>
      <c r="AV226" s="25"/>
      <c r="AW226" s="25"/>
      <c r="AX226" s="25"/>
      <c r="AY226" s="25"/>
      <c r="AZ226" s="25"/>
      <c r="BA226" s="25"/>
    </row>
    <row r="227" spans="1:53" ht="12.75">
      <c r="A227" s="822"/>
      <c r="B227" s="822"/>
      <c r="C227" s="817"/>
      <c r="D227" s="817"/>
      <c r="E227" s="817"/>
      <c r="F227" s="817"/>
      <c r="G227" s="817"/>
      <c r="H227" s="817"/>
      <c r="I227" s="817"/>
      <c r="J227" s="817"/>
      <c r="K227" s="817"/>
      <c r="L227" s="817"/>
      <c r="M227" s="817"/>
      <c r="N227" s="817"/>
      <c r="O227" s="817"/>
      <c r="P227" s="817"/>
      <c r="Q227" s="817"/>
      <c r="R227" s="817"/>
      <c r="S227" s="817"/>
      <c r="T227" s="817"/>
      <c r="U227" s="817"/>
      <c r="V227" s="817"/>
      <c r="W227" s="817"/>
      <c r="X227" s="817"/>
      <c r="Y227" s="817"/>
      <c r="Z227" s="817"/>
      <c r="AA227" s="817"/>
      <c r="AB227" s="817"/>
      <c r="AC227" s="817"/>
      <c r="AD227" s="817"/>
      <c r="AE227" s="817"/>
      <c r="AF227" s="817"/>
      <c r="AG227" s="25"/>
      <c r="AH227" s="25"/>
      <c r="AI227" s="25"/>
      <c r="AJ227" s="25"/>
      <c r="AK227" s="25"/>
      <c r="AL227" s="25"/>
      <c r="AM227" s="25"/>
      <c r="AN227" s="25"/>
      <c r="AO227" s="25"/>
      <c r="AP227" s="25"/>
      <c r="AQ227" s="25"/>
      <c r="AR227" s="25"/>
      <c r="AS227" s="25"/>
      <c r="AT227" s="25"/>
      <c r="AU227" s="25"/>
      <c r="AV227" s="25"/>
      <c r="AW227" s="25"/>
      <c r="AX227" s="25"/>
      <c r="AY227" s="25"/>
      <c r="AZ227" s="25"/>
      <c r="BA227" s="25"/>
    </row>
    <row r="228" spans="1:53" ht="12.75">
      <c r="A228" s="321"/>
      <c r="B228" s="321"/>
      <c r="C228" s="318"/>
      <c r="D228" s="318"/>
      <c r="E228" s="318"/>
      <c r="F228" s="318"/>
      <c r="G228" s="318"/>
      <c r="H228" s="318"/>
      <c r="I228" s="318"/>
      <c r="J228" s="318"/>
      <c r="K228" s="318"/>
      <c r="L228" s="318"/>
      <c r="M228" s="318"/>
      <c r="N228" s="318"/>
      <c r="O228" s="318"/>
      <c r="P228" s="318"/>
      <c r="Q228" s="318"/>
      <c r="R228" s="318"/>
      <c r="S228" s="318"/>
      <c r="T228" s="318"/>
      <c r="U228" s="318"/>
      <c r="V228" s="318"/>
      <c r="W228" s="318"/>
      <c r="X228" s="318"/>
      <c r="Y228" s="318"/>
      <c r="Z228" s="318"/>
      <c r="AA228" s="318"/>
      <c r="AB228" s="318"/>
      <c r="AC228" s="318"/>
      <c r="AD228" s="318"/>
      <c r="AE228" s="318"/>
      <c r="AF228" s="318"/>
      <c r="AG228" s="25"/>
      <c r="AH228" s="25"/>
      <c r="AI228" s="25"/>
      <c r="AJ228" s="25"/>
      <c r="AK228" s="25"/>
      <c r="AL228" s="25"/>
      <c r="AM228" s="25"/>
      <c r="AN228" s="25"/>
      <c r="AO228" s="25"/>
      <c r="AP228" s="25"/>
      <c r="AQ228" s="25"/>
      <c r="AR228" s="25"/>
      <c r="AS228" s="25"/>
      <c r="AT228" s="25"/>
      <c r="AU228" s="25"/>
      <c r="AV228" s="25"/>
      <c r="AW228" s="25"/>
      <c r="AX228" s="25"/>
      <c r="AY228" s="25"/>
      <c r="AZ228" s="25"/>
      <c r="BA228" s="25"/>
    </row>
    <row r="229" spans="1:53" ht="12.75">
      <c r="A229" s="321"/>
      <c r="B229" s="321"/>
      <c r="C229" s="318"/>
      <c r="D229" s="318"/>
      <c r="E229" s="318"/>
      <c r="F229" s="318"/>
      <c r="G229" s="318"/>
      <c r="H229" s="318"/>
      <c r="I229" s="318"/>
      <c r="J229" s="318"/>
      <c r="K229" s="318"/>
      <c r="L229" s="318"/>
      <c r="M229" s="318"/>
      <c r="N229" s="318"/>
      <c r="O229" s="318"/>
      <c r="P229" s="318"/>
      <c r="Q229" s="318"/>
      <c r="R229" s="318"/>
      <c r="S229" s="318"/>
      <c r="T229" s="318"/>
      <c r="U229" s="318"/>
      <c r="V229" s="318"/>
      <c r="W229" s="318"/>
      <c r="X229" s="318"/>
      <c r="Y229" s="318"/>
      <c r="Z229" s="318"/>
      <c r="AA229" s="318"/>
      <c r="AB229" s="318"/>
      <c r="AC229" s="318"/>
      <c r="AD229" s="318"/>
      <c r="AE229" s="318"/>
      <c r="AF229" s="318"/>
      <c r="AG229" s="25"/>
      <c r="AH229" s="25"/>
      <c r="AI229" s="25"/>
      <c r="AJ229" s="25"/>
      <c r="AK229" s="25"/>
      <c r="AL229" s="25"/>
      <c r="AM229" s="25"/>
      <c r="AN229" s="25"/>
      <c r="AO229" s="25"/>
      <c r="AP229" s="25"/>
      <c r="AQ229" s="25"/>
      <c r="AR229" s="25"/>
      <c r="AS229" s="25"/>
      <c r="AT229" s="25"/>
      <c r="AU229" s="25"/>
      <c r="AV229" s="25"/>
      <c r="AW229" s="25"/>
      <c r="AX229" s="25"/>
      <c r="AY229" s="25"/>
      <c r="AZ229" s="25"/>
      <c r="BA229" s="25"/>
    </row>
    <row r="230" spans="1:53" ht="12.75">
      <c r="A230" s="25"/>
      <c r="B230" s="25"/>
      <c r="C230" s="25"/>
      <c r="D230" s="25"/>
      <c r="E230" s="25"/>
      <c r="F230" s="25"/>
      <c r="G230" s="25"/>
      <c r="H230" s="25"/>
      <c r="I230" s="25"/>
      <c r="J230" s="25"/>
      <c r="K230" s="25"/>
      <c r="L230" s="25"/>
      <c r="M230" s="25"/>
      <c r="N230" s="25"/>
      <c r="O230" s="25"/>
      <c r="P230" s="25"/>
      <c r="Q230" s="25"/>
      <c r="R230" s="25"/>
      <c r="S230" s="25"/>
      <c r="T230" s="25"/>
      <c r="U230" s="25"/>
      <c r="V230" s="25"/>
      <c r="W230" s="25"/>
      <c r="X230" s="25"/>
      <c r="Y230" s="25"/>
      <c r="Z230" s="25"/>
      <c r="AA230" s="25"/>
      <c r="AB230" s="25"/>
      <c r="AC230" s="25"/>
      <c r="AD230" s="25"/>
      <c r="AE230" s="25"/>
      <c r="AF230" s="25"/>
      <c r="AG230" s="25"/>
      <c r="AH230" s="25"/>
      <c r="AI230" s="25"/>
      <c r="AJ230" s="25"/>
      <c r="AK230" s="25"/>
      <c r="AL230" s="25"/>
      <c r="AM230" s="25"/>
      <c r="AN230" s="25"/>
      <c r="AO230" s="25"/>
      <c r="AP230" s="25"/>
      <c r="AQ230" s="25"/>
      <c r="AR230" s="25"/>
      <c r="AS230" s="25"/>
      <c r="AT230" s="25"/>
      <c r="AU230" s="25"/>
      <c r="AV230" s="25"/>
      <c r="AW230" s="25"/>
      <c r="AX230" s="25"/>
      <c r="AY230" s="25"/>
      <c r="AZ230" s="25"/>
      <c r="BA230" s="25"/>
    </row>
    <row r="231" spans="1:53" ht="12.75">
      <c r="A231" s="25"/>
      <c r="B231" s="25"/>
      <c r="C231" s="25"/>
      <c r="D231" s="25"/>
      <c r="E231" s="25"/>
      <c r="F231" s="25"/>
      <c r="G231" s="25"/>
      <c r="H231" s="25"/>
      <c r="I231" s="25"/>
      <c r="J231" s="25"/>
      <c r="K231" s="25"/>
      <c r="L231" s="25"/>
      <c r="M231" s="25"/>
      <c r="N231" s="25"/>
      <c r="O231" s="25"/>
      <c r="P231" s="25"/>
      <c r="Q231" s="25"/>
      <c r="R231" s="25"/>
      <c r="S231" s="25"/>
      <c r="T231" s="25"/>
      <c r="U231" s="25"/>
      <c r="V231" s="25"/>
      <c r="W231" s="25"/>
      <c r="X231" s="25"/>
      <c r="Y231" s="25"/>
      <c r="Z231" s="25"/>
      <c r="AA231" s="25"/>
      <c r="AB231" s="25"/>
      <c r="AC231" s="25"/>
      <c r="AD231" s="25"/>
      <c r="AE231" s="25"/>
      <c r="AF231" s="25"/>
      <c r="AG231" s="25"/>
      <c r="AH231" s="25"/>
      <c r="AI231" s="25"/>
      <c r="AJ231" s="25"/>
      <c r="AK231" s="25"/>
      <c r="AL231" s="25"/>
      <c r="AM231" s="25"/>
      <c r="AN231" s="25"/>
      <c r="AO231" s="25"/>
      <c r="AP231" s="25"/>
      <c r="AQ231" s="25"/>
      <c r="AR231" s="25"/>
      <c r="AS231" s="25"/>
      <c r="AT231" s="25"/>
      <c r="AU231" s="25"/>
      <c r="AV231" s="25"/>
      <c r="AW231" s="25"/>
      <c r="AX231" s="25"/>
      <c r="AY231" s="25"/>
      <c r="AZ231" s="25"/>
      <c r="BA231" s="25"/>
    </row>
    <row r="232" spans="1:53" ht="12.75">
      <c r="A232" s="25"/>
      <c r="B232" s="25"/>
      <c r="C232" s="25"/>
      <c r="D232" s="25"/>
      <c r="E232" s="25"/>
      <c r="F232" s="25"/>
      <c r="G232" s="25"/>
      <c r="H232" s="25"/>
      <c r="I232" s="25"/>
      <c r="J232" s="25"/>
      <c r="K232" s="25"/>
      <c r="L232" s="25"/>
      <c r="M232" s="25"/>
      <c r="N232" s="25"/>
      <c r="O232" s="25"/>
      <c r="P232" s="25"/>
      <c r="Q232" s="25"/>
      <c r="R232" s="25"/>
      <c r="S232" s="25"/>
      <c r="T232" s="25"/>
      <c r="U232" s="25"/>
      <c r="V232" s="25"/>
      <c r="W232" s="25"/>
      <c r="X232" s="25"/>
      <c r="Y232" s="25"/>
      <c r="Z232" s="25"/>
      <c r="AA232" s="25"/>
      <c r="AB232" s="25"/>
      <c r="AC232" s="25"/>
      <c r="AD232" s="25"/>
      <c r="AE232" s="25"/>
      <c r="AF232" s="25"/>
      <c r="AG232" s="25"/>
      <c r="AH232" s="25"/>
      <c r="AI232" s="25"/>
      <c r="AJ232" s="25"/>
      <c r="AK232" s="25"/>
      <c r="AL232" s="25"/>
      <c r="AM232" s="25"/>
      <c r="AN232" s="25"/>
      <c r="AO232" s="25"/>
      <c r="AP232" s="25"/>
      <c r="AQ232" s="25"/>
      <c r="AR232" s="25"/>
      <c r="AS232" s="25"/>
      <c r="AT232" s="25"/>
      <c r="AU232" s="25"/>
      <c r="AV232" s="25"/>
      <c r="AW232" s="25"/>
      <c r="AX232" s="25"/>
      <c r="AY232" s="25"/>
      <c r="AZ232" s="25"/>
      <c r="BA232" s="25"/>
    </row>
    <row r="233" spans="1:53" ht="12.75">
      <c r="A233" s="25"/>
      <c r="B233" s="25"/>
      <c r="C233" s="25"/>
      <c r="D233" s="25"/>
      <c r="E233" s="25"/>
      <c r="F233" s="25"/>
      <c r="G233" s="25"/>
      <c r="H233" s="25"/>
      <c r="I233" s="25"/>
      <c r="J233" s="25"/>
      <c r="K233" s="25"/>
      <c r="L233" s="25"/>
      <c r="M233" s="25"/>
      <c r="N233" s="25"/>
      <c r="O233" s="25"/>
      <c r="P233" s="25"/>
      <c r="Q233" s="25"/>
      <c r="R233" s="25"/>
      <c r="S233" s="25"/>
      <c r="T233" s="25"/>
      <c r="U233" s="25"/>
      <c r="V233" s="25"/>
      <c r="W233" s="25"/>
      <c r="X233" s="25"/>
      <c r="Y233" s="25"/>
      <c r="Z233" s="25"/>
      <c r="AA233" s="25"/>
      <c r="AB233" s="25"/>
      <c r="AC233" s="25"/>
      <c r="AD233" s="25"/>
      <c r="AE233" s="25"/>
      <c r="AF233" s="25"/>
      <c r="AG233" s="25"/>
      <c r="AH233" s="25"/>
      <c r="AI233" s="25"/>
      <c r="AJ233" s="25"/>
      <c r="AK233" s="25"/>
      <c r="AL233" s="25"/>
      <c r="AM233" s="25"/>
      <c r="AN233" s="25"/>
      <c r="AO233" s="25"/>
      <c r="AP233" s="25"/>
      <c r="AQ233" s="25"/>
      <c r="AR233" s="25"/>
      <c r="AS233" s="25"/>
      <c r="AT233" s="25"/>
      <c r="AU233" s="25"/>
      <c r="AV233" s="25"/>
      <c r="AW233" s="25"/>
      <c r="AX233" s="25"/>
      <c r="AY233" s="25"/>
      <c r="AZ233" s="25"/>
      <c r="BA233" s="25"/>
    </row>
    <row r="234" spans="1:53" ht="12.75">
      <c r="A234" s="25"/>
      <c r="B234" s="25"/>
      <c r="C234" s="25"/>
      <c r="D234" s="25"/>
      <c r="E234" s="25"/>
      <c r="F234" s="25"/>
      <c r="G234" s="25"/>
      <c r="H234" s="25"/>
      <c r="I234" s="25"/>
      <c r="J234" s="25"/>
      <c r="K234" s="25"/>
      <c r="L234" s="25"/>
      <c r="M234" s="25"/>
      <c r="N234" s="25"/>
      <c r="O234" s="25"/>
      <c r="P234" s="25"/>
      <c r="Q234" s="25"/>
      <c r="R234" s="25"/>
      <c r="S234" s="25"/>
      <c r="T234" s="25"/>
      <c r="U234" s="25"/>
      <c r="V234" s="25"/>
      <c r="W234" s="25"/>
      <c r="X234" s="25"/>
      <c r="Y234" s="25"/>
      <c r="Z234" s="25"/>
      <c r="AA234" s="25"/>
      <c r="AB234" s="25"/>
      <c r="AC234" s="25"/>
      <c r="AD234" s="25"/>
      <c r="AE234" s="25"/>
      <c r="AF234" s="25"/>
      <c r="AG234" s="25"/>
      <c r="AH234" s="25"/>
      <c r="AI234" s="25"/>
      <c r="AJ234" s="25"/>
      <c r="AK234" s="25"/>
      <c r="AL234" s="25"/>
      <c r="AM234" s="25"/>
      <c r="AN234" s="25"/>
      <c r="AO234" s="25"/>
      <c r="AP234" s="25"/>
      <c r="AQ234" s="25"/>
      <c r="AR234" s="25"/>
      <c r="AS234" s="25"/>
      <c r="AT234" s="25"/>
      <c r="AU234" s="25"/>
      <c r="AV234" s="25"/>
      <c r="AW234" s="25"/>
      <c r="AX234" s="25"/>
      <c r="AY234" s="25"/>
      <c r="AZ234" s="25"/>
      <c r="BA234" s="25"/>
    </row>
    <row r="235" spans="1:53" ht="12.75">
      <c r="A235" s="25"/>
      <c r="B235" s="25"/>
      <c r="C235" s="25"/>
      <c r="D235" s="25"/>
      <c r="E235" s="25"/>
      <c r="F235" s="25"/>
      <c r="G235" s="25"/>
      <c r="H235" s="25"/>
      <c r="I235" s="25"/>
      <c r="J235" s="25"/>
      <c r="K235" s="25"/>
      <c r="L235" s="25"/>
      <c r="M235" s="25"/>
      <c r="N235" s="25"/>
      <c r="O235" s="25"/>
      <c r="P235" s="25"/>
      <c r="Q235" s="25"/>
      <c r="R235" s="25"/>
      <c r="S235" s="25"/>
      <c r="T235" s="25"/>
      <c r="U235" s="25"/>
      <c r="V235" s="25"/>
      <c r="W235" s="25"/>
      <c r="X235" s="25"/>
      <c r="Y235" s="25"/>
      <c r="Z235" s="25"/>
      <c r="AA235" s="25"/>
      <c r="AB235" s="25"/>
      <c r="AC235" s="25"/>
      <c r="AD235" s="25"/>
      <c r="AE235" s="25"/>
      <c r="AF235" s="25"/>
      <c r="AG235" s="25"/>
      <c r="AH235" s="25"/>
      <c r="AI235" s="25"/>
      <c r="AJ235" s="25"/>
      <c r="AK235" s="25"/>
      <c r="AL235" s="25"/>
      <c r="AM235" s="25"/>
      <c r="AN235" s="25"/>
      <c r="AO235" s="25"/>
      <c r="AP235" s="25"/>
      <c r="AQ235" s="25"/>
      <c r="AR235" s="25"/>
      <c r="AS235" s="25"/>
      <c r="AT235" s="25"/>
      <c r="AU235" s="25"/>
      <c r="AV235" s="25"/>
      <c r="AW235" s="25"/>
      <c r="AX235" s="25"/>
      <c r="AY235" s="25"/>
      <c r="AZ235" s="25"/>
      <c r="BA235" s="25"/>
    </row>
    <row r="236" spans="1:53" ht="12.75">
      <c r="A236" s="25"/>
      <c r="B236" s="25"/>
      <c r="C236" s="25"/>
      <c r="D236" s="25"/>
      <c r="E236" s="25"/>
      <c r="F236" s="25"/>
      <c r="G236" s="25"/>
      <c r="H236" s="25"/>
      <c r="I236" s="25"/>
      <c r="J236" s="25"/>
      <c r="K236" s="25"/>
      <c r="L236" s="25"/>
      <c r="M236" s="25"/>
      <c r="N236" s="25"/>
      <c r="O236" s="25"/>
      <c r="P236" s="25"/>
      <c r="Q236" s="25"/>
      <c r="R236" s="25"/>
      <c r="S236" s="25"/>
      <c r="T236" s="25"/>
      <c r="U236" s="25"/>
      <c r="V236" s="25"/>
      <c r="W236" s="25"/>
      <c r="X236" s="25"/>
      <c r="Y236" s="25"/>
      <c r="Z236" s="25"/>
      <c r="AA236" s="25"/>
      <c r="AB236" s="25"/>
      <c r="AC236" s="25"/>
      <c r="AD236" s="25"/>
      <c r="AE236" s="25"/>
      <c r="AF236" s="25"/>
      <c r="AG236" s="25"/>
      <c r="AH236" s="25"/>
      <c r="AI236" s="25"/>
      <c r="AJ236" s="25"/>
      <c r="AK236" s="25"/>
      <c r="AL236" s="25"/>
      <c r="AM236" s="25"/>
      <c r="AN236" s="25"/>
      <c r="AO236" s="25"/>
      <c r="AP236" s="25"/>
      <c r="AQ236" s="25"/>
      <c r="AR236" s="25"/>
      <c r="AS236" s="25"/>
      <c r="AT236" s="25"/>
      <c r="AU236" s="25"/>
      <c r="AV236" s="25"/>
      <c r="AW236" s="25"/>
      <c r="AX236" s="25"/>
      <c r="AY236" s="25"/>
      <c r="AZ236" s="25"/>
      <c r="BA236" s="25"/>
    </row>
    <row r="237" spans="1:53" ht="12.75">
      <c r="A237" s="25"/>
      <c r="B237" s="25"/>
      <c r="C237" s="25"/>
      <c r="D237" s="25"/>
      <c r="E237" s="25"/>
      <c r="F237" s="25"/>
      <c r="G237" s="25"/>
      <c r="H237" s="25"/>
      <c r="I237" s="25"/>
      <c r="J237" s="25"/>
      <c r="K237" s="25"/>
      <c r="L237" s="25"/>
      <c r="M237" s="25"/>
      <c r="N237" s="25"/>
      <c r="O237" s="25"/>
      <c r="P237" s="25"/>
      <c r="Q237" s="25"/>
      <c r="R237" s="25"/>
      <c r="S237" s="25"/>
      <c r="T237" s="25"/>
      <c r="U237" s="25"/>
      <c r="V237" s="25"/>
      <c r="W237" s="25"/>
      <c r="X237" s="25"/>
      <c r="Y237" s="25"/>
      <c r="Z237" s="25"/>
      <c r="AA237" s="25"/>
      <c r="AB237" s="25"/>
      <c r="AC237" s="25"/>
      <c r="AD237" s="25"/>
      <c r="AE237" s="25"/>
      <c r="AF237" s="25"/>
      <c r="AG237" s="25"/>
      <c r="AH237" s="25"/>
      <c r="AI237" s="25"/>
      <c r="AJ237" s="25"/>
      <c r="AK237" s="25"/>
      <c r="AL237" s="25"/>
      <c r="AM237" s="25"/>
      <c r="AN237" s="25"/>
      <c r="AO237" s="25"/>
      <c r="AP237" s="25"/>
      <c r="AQ237" s="25"/>
      <c r="AR237" s="25"/>
      <c r="AS237" s="25"/>
      <c r="AT237" s="25"/>
      <c r="AU237" s="25"/>
      <c r="AV237" s="25"/>
      <c r="AW237" s="25"/>
      <c r="AX237" s="25"/>
      <c r="AY237" s="25"/>
      <c r="AZ237" s="25"/>
      <c r="BA237" s="25"/>
    </row>
    <row r="238" spans="1:53" ht="12.75">
      <c r="A238" s="25"/>
      <c r="B238" s="25"/>
      <c r="C238" s="25"/>
      <c r="D238" s="25"/>
      <c r="E238" s="25"/>
      <c r="F238" s="25"/>
      <c r="G238" s="25"/>
      <c r="H238" s="25"/>
      <c r="I238" s="25"/>
      <c r="J238" s="25"/>
      <c r="K238" s="25"/>
      <c r="L238" s="25"/>
      <c r="M238" s="25"/>
      <c r="N238" s="25"/>
      <c r="O238" s="25"/>
      <c r="P238" s="25"/>
      <c r="Q238" s="25"/>
      <c r="R238" s="25"/>
      <c r="S238" s="25"/>
      <c r="T238" s="25"/>
      <c r="U238" s="25"/>
      <c r="V238" s="25"/>
      <c r="W238" s="25"/>
      <c r="X238" s="25"/>
      <c r="Y238" s="25"/>
      <c r="Z238" s="25"/>
      <c r="AA238" s="25"/>
      <c r="AB238" s="25"/>
      <c r="AC238" s="25"/>
      <c r="AD238" s="25"/>
      <c r="AE238" s="25"/>
      <c r="AF238" s="25"/>
      <c r="AG238" s="25"/>
      <c r="AH238" s="25"/>
      <c r="AI238" s="25"/>
      <c r="AJ238" s="25"/>
      <c r="AK238" s="25"/>
      <c r="AL238" s="25"/>
      <c r="AM238" s="25"/>
      <c r="AN238" s="25"/>
      <c r="AO238" s="25"/>
      <c r="AP238" s="25"/>
      <c r="AQ238" s="25"/>
      <c r="AR238" s="25"/>
      <c r="AS238" s="25"/>
      <c r="AT238" s="25"/>
      <c r="AU238" s="25"/>
      <c r="AV238" s="25"/>
      <c r="AW238" s="25"/>
      <c r="AX238" s="25"/>
      <c r="AY238" s="25"/>
      <c r="AZ238" s="25"/>
      <c r="BA238" s="25"/>
    </row>
    <row r="239" spans="1:53" ht="12.75">
      <c r="A239" s="25"/>
      <c r="B239" s="25"/>
      <c r="C239" s="25"/>
      <c r="D239" s="25"/>
      <c r="E239" s="25"/>
      <c r="F239" s="25"/>
      <c r="G239" s="25"/>
      <c r="H239" s="25"/>
      <c r="I239" s="25"/>
      <c r="J239" s="25"/>
      <c r="K239" s="25"/>
      <c r="L239" s="25"/>
      <c r="M239" s="25"/>
      <c r="N239" s="25"/>
      <c r="O239" s="25"/>
      <c r="P239" s="25"/>
      <c r="Q239" s="25"/>
      <c r="R239" s="25"/>
      <c r="S239" s="25"/>
      <c r="T239" s="25"/>
      <c r="U239" s="25"/>
      <c r="V239" s="25"/>
      <c r="W239" s="25"/>
      <c r="X239" s="25"/>
      <c r="Y239" s="25"/>
      <c r="Z239" s="25"/>
      <c r="AA239" s="25"/>
      <c r="AB239" s="25"/>
      <c r="AC239" s="25"/>
      <c r="AD239" s="25"/>
      <c r="AE239" s="25"/>
      <c r="AF239" s="25"/>
      <c r="AG239" s="25"/>
      <c r="AH239" s="25"/>
      <c r="AI239" s="25"/>
      <c r="AJ239" s="25"/>
      <c r="AK239" s="25"/>
      <c r="AL239" s="25"/>
      <c r="AM239" s="25"/>
      <c r="AN239" s="25"/>
      <c r="AO239" s="25"/>
      <c r="AP239" s="25"/>
      <c r="AQ239" s="25"/>
      <c r="AR239" s="25"/>
      <c r="AS239" s="25"/>
      <c r="AT239" s="25"/>
      <c r="AU239" s="25"/>
      <c r="AV239" s="25"/>
      <c r="AW239" s="25"/>
      <c r="AX239" s="25"/>
      <c r="AY239" s="25"/>
      <c r="AZ239" s="25"/>
      <c r="BA239" s="25"/>
    </row>
    <row r="240" spans="1:53" ht="12.75">
      <c r="A240" s="25"/>
      <c r="B240" s="25"/>
      <c r="C240" s="25"/>
      <c r="D240" s="25"/>
      <c r="E240" s="25"/>
      <c r="F240" s="25"/>
      <c r="G240" s="25"/>
      <c r="H240" s="25"/>
      <c r="I240" s="25"/>
      <c r="J240" s="25"/>
      <c r="K240" s="25"/>
      <c r="L240" s="25"/>
      <c r="M240" s="25"/>
      <c r="N240" s="25"/>
      <c r="O240" s="25"/>
      <c r="P240" s="25"/>
      <c r="Q240" s="25"/>
      <c r="R240" s="25"/>
      <c r="S240" s="25"/>
      <c r="T240" s="25"/>
      <c r="U240" s="25"/>
      <c r="V240" s="25"/>
      <c r="W240" s="25"/>
      <c r="X240" s="25"/>
      <c r="Y240" s="25"/>
      <c r="Z240" s="25"/>
      <c r="AA240" s="25"/>
      <c r="AB240" s="25"/>
      <c r="AC240" s="25"/>
      <c r="AD240" s="25"/>
      <c r="AE240" s="25"/>
      <c r="AF240" s="25"/>
      <c r="AG240" s="25"/>
      <c r="AH240" s="25"/>
      <c r="AI240" s="25"/>
      <c r="AJ240" s="25"/>
      <c r="AK240" s="25"/>
      <c r="AL240" s="25"/>
      <c r="AM240" s="25"/>
      <c r="AN240" s="25"/>
      <c r="AO240" s="25"/>
      <c r="AP240" s="25"/>
      <c r="AQ240" s="25"/>
      <c r="AR240" s="25"/>
      <c r="AS240" s="25"/>
      <c r="AT240" s="25"/>
      <c r="AU240" s="25"/>
      <c r="AV240" s="25"/>
      <c r="AW240" s="25"/>
      <c r="AX240" s="25"/>
      <c r="AY240" s="25"/>
      <c r="AZ240" s="25"/>
      <c r="BA240" s="25"/>
    </row>
    <row r="242" spans="36:38" ht="12.75">
      <c r="AJ242" s="771" t="s">
        <v>295</v>
      </c>
      <c r="AK242" s="771" t="s">
        <v>296</v>
      </c>
      <c r="AL242" s="771"/>
    </row>
    <row r="243" spans="36:38" ht="12.75">
      <c r="AJ243" s="771" t="s">
        <v>297</v>
      </c>
      <c r="AK243" s="771" t="s">
        <v>300</v>
      </c>
      <c r="AL243" s="771"/>
    </row>
    <row r="244" spans="36:38" ht="12.75">
      <c r="AJ244" s="771" t="s">
        <v>298</v>
      </c>
      <c r="AK244" s="771" t="s">
        <v>301</v>
      </c>
      <c r="AL244" s="771"/>
    </row>
    <row r="245" spans="36:38" ht="12.75">
      <c r="AJ245" s="771" t="s">
        <v>299</v>
      </c>
      <c r="AK245" s="771" t="s">
        <v>302</v>
      </c>
      <c r="AL245" s="771"/>
    </row>
    <row r="246" spans="36:38" ht="12.75">
      <c r="AJ246" s="771"/>
      <c r="AK246" s="771"/>
      <c r="AL246" s="771"/>
    </row>
    <row r="247" spans="36:38" ht="12.75">
      <c r="AJ247" s="771"/>
      <c r="AK247" s="771"/>
      <c r="AL247" s="771"/>
    </row>
    <row r="254" ht="12.75">
      <c r="C254">
        <v>5</v>
      </c>
    </row>
  </sheetData>
  <sheetProtection formatCells="0" selectLockedCells="1"/>
  <mergeCells count="30">
    <mergeCell ref="Y38:AF38"/>
    <mergeCell ref="AC12:AF12"/>
    <mergeCell ref="X14:AF14"/>
    <mergeCell ref="D29:L29"/>
    <mergeCell ref="Z25:AF25"/>
    <mergeCell ref="Z23:AF23"/>
    <mergeCell ref="O14:W14"/>
    <mergeCell ref="D33:F33"/>
    <mergeCell ref="D38:O38"/>
    <mergeCell ref="D27:L27"/>
    <mergeCell ref="W4:AF5"/>
    <mergeCell ref="S8:AB8"/>
    <mergeCell ref="D8:R8"/>
    <mergeCell ref="Q25:Y25"/>
    <mergeCell ref="R10:AF10"/>
    <mergeCell ref="M27:U27"/>
    <mergeCell ref="Z12:AB12"/>
    <mergeCell ref="C14:H14"/>
    <mergeCell ref="D10:Q10"/>
    <mergeCell ref="D23:P23"/>
    <mergeCell ref="AC8:AF8"/>
    <mergeCell ref="P38:X38"/>
    <mergeCell ref="M33:O33"/>
    <mergeCell ref="D25:P25"/>
    <mergeCell ref="I14:N14"/>
    <mergeCell ref="D63:AF63"/>
    <mergeCell ref="V33:AF33"/>
    <mergeCell ref="Q23:Y23"/>
    <mergeCell ref="R12:Y12"/>
    <mergeCell ref="D12:Q12"/>
  </mergeCells>
  <conditionalFormatting sqref="J33:L33 S33:U33">
    <cfRule type="expression" priority="2" dxfId="33" stopIfTrue="1">
      <formula>"if(and($as$107,or($as$110,$as$111))"</formula>
    </cfRule>
  </conditionalFormatting>
  <conditionalFormatting sqref="Z23:AF23">
    <cfRule type="cellIs" priority="3" dxfId="32" operator="equal" stopIfTrue="1">
      <formula>0.06</formula>
    </cfRule>
  </conditionalFormatting>
  <conditionalFormatting sqref="D28:U29">
    <cfRule type="expression" priority="1" dxfId="31" stopIfTrue="1">
      <formula>NOT($AR$147)</formula>
    </cfRule>
  </conditionalFormatting>
  <dataValidations count="8">
    <dataValidation type="whole" allowBlank="1" showInputMessage="1" showErrorMessage="1" promptTitle="Telephone" prompt="Please enter cell number or telephone number without spaces, dashes, or parenthesis.&#10;&#10;Example: 5035556666" sqref="Y38:AF38 D15:K15">
      <formula1>0</formula1>
      <formula2>9999999999</formula2>
    </dataValidation>
    <dataValidation allowBlank="1" showInputMessage="1" showErrorMessage="1" promptTitle="Fax" prompt="Please enter fax number without spaces, dashes, or parenthesis.&#10;&#10;Example: 5035556666" sqref="L15:R15"/>
    <dataValidation type="decimal" allowBlank="1" showInputMessage="1" showErrorMessage="1" prompt="Average electrical rate must be a single value (e.g. 0.045).  A range of values such as 0.045-0.050 will not work." error="Average electrical rate must be in terms of a single value (0.045).  A range of values such as 0.045-0.050 is not acceptable." sqref="Z23:AF23">
      <formula1>0</formula1>
      <formula2>10</formula2>
    </dataValidation>
    <dataValidation type="decimal" allowBlank="1" showInputMessage="1" showErrorMessage="1" prompt="Incentive rate must be a single value (e.g. 0.12).  A range of values such as 0.12-0.15 will not work." error="Incentive rate must be in terms of a single value (0.12).  A range of values such as 0.12-0.15 is not acceptable." sqref="D33:F33">
      <formula1>0</formula1>
      <formula2>10</formula2>
    </dataValidation>
    <dataValidation type="decimal" allowBlank="1" showInputMessage="1" showErrorMessage="1" sqref="M33:O33">
      <formula1>0</formula1>
      <formula2>1</formula2>
    </dataValidation>
    <dataValidation allowBlank="1" showInputMessage="1" showErrorMessage="1" promptTitle="Telephone" prompt="Please enter cell number or telephone number without spaces, dashes, or parenthesis.&#10;&#10;Example: 5035556666" sqref="C14"/>
    <dataValidation type="whole" allowBlank="1" showInputMessage="1" showErrorMessage="1" promptTitle="Fax" prompt="Please enter fax number without spaces, dashes, or parenthesis.&#10;&#10;Example: 5035556666" sqref="I14">
      <formula1>0</formula1>
      <formula2>9999999999</formula2>
    </dataValidation>
    <dataValidation type="list" allowBlank="1" sqref="X14:AF14">
      <formula1>ValidBusinessTypes</formula1>
    </dataValidation>
  </dataValidations>
  <printOptions/>
  <pageMargins left="0.5" right="0.25" top="0.4" bottom="0.27" header="0.4" footer="0"/>
  <pageSetup fitToHeight="1" fitToWidth="1" horizontalDpi="600" verticalDpi="600" orientation="portrait" scale="94" r:id="rId2"/>
  <drawing r:id="rId1"/>
</worksheet>
</file>

<file path=xl/worksheets/sheet10.xml><?xml version="1.0" encoding="utf-8"?>
<worksheet xmlns="http://schemas.openxmlformats.org/spreadsheetml/2006/main" xmlns:r="http://schemas.openxmlformats.org/officeDocument/2006/relationships">
  <sheetPr codeName="Sheet1">
    <pageSetUpPr fitToPage="1"/>
  </sheetPr>
  <dimension ref="A1:P59"/>
  <sheetViews>
    <sheetView showGridLines="0" zoomScaleSheetLayoutView="115" zoomScalePageLayoutView="0" workbookViewId="0" topLeftCell="A4">
      <selection activeCell="C23" sqref="C23"/>
    </sheetView>
  </sheetViews>
  <sheetFormatPr defaultColWidth="9.140625" defaultRowHeight="12.75"/>
  <cols>
    <col min="1" max="1" width="3.140625" style="0" customWidth="1"/>
    <col min="2" max="2" width="2.57421875" style="0" customWidth="1"/>
    <col min="3" max="3" width="100.57421875" style="0" customWidth="1"/>
    <col min="4" max="4" width="2.57421875" style="0" customWidth="1"/>
    <col min="16" max="16" width="100.57421875" style="0" customWidth="1"/>
  </cols>
  <sheetData>
    <row r="1" spans="1:15" ht="12.75">
      <c r="A1" s="25"/>
      <c r="B1" s="25"/>
      <c r="C1" s="25"/>
      <c r="D1" s="25"/>
      <c r="E1" s="25"/>
      <c r="F1" s="25"/>
      <c r="G1" s="25"/>
      <c r="H1" s="25"/>
      <c r="I1" s="25"/>
      <c r="J1" s="25"/>
      <c r="K1" s="25"/>
      <c r="L1" s="25"/>
      <c r="M1" s="25"/>
      <c r="N1" s="25"/>
      <c r="O1" s="25"/>
    </row>
    <row r="2" spans="1:15" ht="12.75" customHeight="1">
      <c r="A2" s="25"/>
      <c r="B2" s="25"/>
      <c r="C2" s="25"/>
      <c r="D2" s="25"/>
      <c r="E2" s="25"/>
      <c r="F2" s="25"/>
      <c r="G2" s="25"/>
      <c r="H2" s="25"/>
      <c r="I2" s="25"/>
      <c r="J2" s="25"/>
      <c r="K2" s="25"/>
      <c r="L2" s="25"/>
      <c r="M2" s="25"/>
      <c r="N2" s="25"/>
      <c r="O2" s="25"/>
    </row>
    <row r="3" spans="1:15" ht="5.25" customHeight="1">
      <c r="A3" s="25"/>
      <c r="B3" s="313"/>
      <c r="C3" s="313"/>
      <c r="D3" s="313"/>
      <c r="E3" s="25"/>
      <c r="F3" s="25"/>
      <c r="G3" s="25"/>
      <c r="H3" s="25"/>
      <c r="I3" s="25"/>
      <c r="J3" s="25"/>
      <c r="K3" s="25"/>
      <c r="L3" s="25"/>
      <c r="M3" s="25"/>
      <c r="N3" s="25"/>
      <c r="O3" s="25"/>
    </row>
    <row r="4" spans="1:15" ht="15" customHeight="1">
      <c r="A4" s="25"/>
      <c r="B4" s="313"/>
      <c r="C4" s="313"/>
      <c r="D4" s="313"/>
      <c r="E4" s="25"/>
      <c r="F4" s="25"/>
      <c r="G4" s="25"/>
      <c r="H4" s="25"/>
      <c r="I4" s="25"/>
      <c r="J4" s="25"/>
      <c r="K4" s="25"/>
      <c r="L4" s="25"/>
      <c r="M4" s="25"/>
      <c r="N4" s="25"/>
      <c r="O4" s="25"/>
    </row>
    <row r="5" spans="1:15" ht="15.75">
      <c r="A5" s="25"/>
      <c r="B5" s="313"/>
      <c r="C5" s="314" t="s">
        <v>563</v>
      </c>
      <c r="E5" s="25"/>
      <c r="F5" s="25"/>
      <c r="G5" s="25"/>
      <c r="H5" s="25"/>
      <c r="I5" s="25"/>
      <c r="J5" s="25"/>
      <c r="K5" s="25"/>
      <c r="L5" s="25"/>
      <c r="M5" s="25"/>
      <c r="N5" s="25"/>
      <c r="O5" s="25"/>
    </row>
    <row r="6" spans="1:15" ht="25.5" customHeight="1">
      <c r="A6" s="25"/>
      <c r="B6" s="313"/>
      <c r="C6" s="316" t="s">
        <v>564</v>
      </c>
      <c r="D6" s="313"/>
      <c r="E6" s="25"/>
      <c r="F6" s="25"/>
      <c r="G6" s="25"/>
      <c r="H6" s="25"/>
      <c r="I6" s="25"/>
      <c r="J6" s="25"/>
      <c r="K6" s="25"/>
      <c r="L6" s="25"/>
      <c r="M6" s="25"/>
      <c r="N6" s="25"/>
      <c r="O6" s="25"/>
    </row>
    <row r="7" spans="1:15" ht="102.75" customHeight="1">
      <c r="A7" s="25"/>
      <c r="B7" s="313"/>
      <c r="C7" s="315" t="s">
        <v>350</v>
      </c>
      <c r="D7" s="313"/>
      <c r="E7" s="25"/>
      <c r="F7" s="25"/>
      <c r="G7" s="25"/>
      <c r="H7" s="25"/>
      <c r="I7" s="25"/>
      <c r="J7" s="25"/>
      <c r="K7" s="25"/>
      <c r="L7" s="25"/>
      <c r="M7" s="25"/>
      <c r="N7" s="25"/>
      <c r="O7" s="25"/>
    </row>
    <row r="8" spans="1:15" ht="21.75" customHeight="1">
      <c r="A8" s="25"/>
      <c r="B8" s="313"/>
      <c r="C8" s="316" t="s">
        <v>565</v>
      </c>
      <c r="D8" s="313"/>
      <c r="E8" s="25"/>
      <c r="F8" s="25"/>
      <c r="G8" s="25"/>
      <c r="H8" s="25"/>
      <c r="I8" s="25"/>
      <c r="J8" s="25"/>
      <c r="K8" s="25"/>
      <c r="L8" s="25"/>
      <c r="M8" s="25"/>
      <c r="N8" s="25"/>
      <c r="O8" s="25"/>
    </row>
    <row r="9" spans="1:15" ht="90.75" customHeight="1">
      <c r="A9" s="25"/>
      <c r="B9" s="313"/>
      <c r="C9" s="315" t="s">
        <v>351</v>
      </c>
      <c r="D9" s="313"/>
      <c r="E9" s="25"/>
      <c r="F9" s="25"/>
      <c r="G9" s="25"/>
      <c r="H9" s="25"/>
      <c r="I9" s="25"/>
      <c r="J9" s="25"/>
      <c r="K9" s="25"/>
      <c r="L9" s="25"/>
      <c r="M9" s="25"/>
      <c r="N9" s="25"/>
      <c r="O9" s="25"/>
    </row>
    <row r="10" spans="1:15" ht="20.25" customHeight="1">
      <c r="A10" s="25"/>
      <c r="B10" s="313"/>
      <c r="C10" s="316" t="s">
        <v>566</v>
      </c>
      <c r="D10" s="313"/>
      <c r="E10" s="25"/>
      <c r="F10" s="25"/>
      <c r="G10" s="25"/>
      <c r="H10" s="25"/>
      <c r="I10" s="25"/>
      <c r="J10" s="25"/>
      <c r="K10" s="25"/>
      <c r="L10" s="25"/>
      <c r="M10" s="25"/>
      <c r="N10" s="25"/>
      <c r="O10" s="25"/>
    </row>
    <row r="11" spans="1:15" ht="51.75" customHeight="1">
      <c r="A11" s="25"/>
      <c r="B11" s="313"/>
      <c r="C11" s="315" t="s">
        <v>567</v>
      </c>
      <c r="D11" s="313"/>
      <c r="E11" s="25"/>
      <c r="F11" s="25"/>
      <c r="G11" s="25"/>
      <c r="H11" s="25"/>
      <c r="I11" s="25"/>
      <c r="J11" s="25"/>
      <c r="K11" s="25"/>
      <c r="L11" s="25"/>
      <c r="M11" s="25"/>
      <c r="N11" s="25"/>
      <c r="O11" s="25"/>
    </row>
    <row r="12" spans="1:15" ht="66" customHeight="1">
      <c r="A12" s="25"/>
      <c r="B12" s="313"/>
      <c r="C12" s="315" t="s">
        <v>352</v>
      </c>
      <c r="D12" s="313"/>
      <c r="E12" s="25"/>
      <c r="F12" s="25"/>
      <c r="G12" s="25"/>
      <c r="H12" s="25"/>
      <c r="I12" s="25"/>
      <c r="J12" s="25"/>
      <c r="K12" s="25"/>
      <c r="L12" s="25"/>
      <c r="M12" s="25"/>
      <c r="N12" s="25"/>
      <c r="O12" s="25"/>
    </row>
    <row r="13" spans="1:15" ht="107.25" customHeight="1">
      <c r="A13" s="25"/>
      <c r="B13" s="313"/>
      <c r="C13" s="315" t="s">
        <v>353</v>
      </c>
      <c r="D13" s="313"/>
      <c r="E13" s="25"/>
      <c r="F13" s="25"/>
      <c r="G13" s="25"/>
      <c r="H13" s="25"/>
      <c r="I13" s="25"/>
      <c r="J13" s="25"/>
      <c r="K13" s="25"/>
      <c r="L13" s="25"/>
      <c r="M13" s="25"/>
      <c r="N13" s="25"/>
      <c r="O13" s="25"/>
    </row>
    <row r="14" spans="1:15" ht="19.5" customHeight="1">
      <c r="A14" s="25"/>
      <c r="B14" s="313"/>
      <c r="C14" s="316" t="s">
        <v>568</v>
      </c>
      <c r="D14" s="313"/>
      <c r="E14" s="25"/>
      <c r="F14" s="25"/>
      <c r="G14" s="25"/>
      <c r="H14" s="25"/>
      <c r="I14" s="25"/>
      <c r="J14" s="25"/>
      <c r="K14" s="25"/>
      <c r="L14" s="25"/>
      <c r="M14" s="25"/>
      <c r="N14" s="25"/>
      <c r="O14" s="25"/>
    </row>
    <row r="15" spans="1:15" ht="109.5" customHeight="1">
      <c r="A15" s="25"/>
      <c r="B15" s="313"/>
      <c r="C15" s="315" t="s">
        <v>354</v>
      </c>
      <c r="D15" s="313"/>
      <c r="E15" s="25"/>
      <c r="F15" s="25"/>
      <c r="G15" s="25"/>
      <c r="H15" s="25"/>
      <c r="I15" s="25"/>
      <c r="J15" s="25"/>
      <c r="K15" s="25"/>
      <c r="L15" s="25"/>
      <c r="M15" s="25"/>
      <c r="N15" s="25"/>
      <c r="O15" s="25"/>
    </row>
    <row r="16" spans="1:15" ht="16.5" customHeight="1">
      <c r="A16" s="25"/>
      <c r="B16" s="313"/>
      <c r="C16" s="316" t="s">
        <v>569</v>
      </c>
      <c r="D16" s="313"/>
      <c r="E16" s="25"/>
      <c r="F16" s="25"/>
      <c r="G16" s="25"/>
      <c r="H16" s="25"/>
      <c r="I16" s="25"/>
      <c r="J16" s="25"/>
      <c r="K16" s="25"/>
      <c r="L16" s="25"/>
      <c r="M16" s="25"/>
      <c r="N16" s="25"/>
      <c r="O16" s="25"/>
    </row>
    <row r="17" spans="1:15" ht="66.75" customHeight="1">
      <c r="A17" s="25"/>
      <c r="B17" s="313"/>
      <c r="C17" s="315" t="s">
        <v>582</v>
      </c>
      <c r="D17" s="313"/>
      <c r="E17" s="25"/>
      <c r="F17" s="25"/>
      <c r="G17" s="25"/>
      <c r="H17" s="25"/>
      <c r="I17" s="25"/>
      <c r="J17" s="25"/>
      <c r="K17" s="25"/>
      <c r="L17" s="25"/>
      <c r="M17" s="25"/>
      <c r="N17" s="25"/>
      <c r="O17" s="25"/>
    </row>
    <row r="18" spans="1:15" ht="144" customHeight="1">
      <c r="A18" s="25"/>
      <c r="B18" s="313"/>
      <c r="C18" s="315" t="s">
        <v>588</v>
      </c>
      <c r="D18" s="313"/>
      <c r="E18" s="25"/>
      <c r="F18" s="25"/>
      <c r="G18" s="25"/>
      <c r="H18" s="25"/>
      <c r="I18" s="25"/>
      <c r="J18" s="25"/>
      <c r="K18" s="25"/>
      <c r="L18" s="25"/>
      <c r="M18" s="25"/>
      <c r="N18" s="25"/>
      <c r="O18" s="25"/>
    </row>
    <row r="19" spans="1:15" ht="85.5" customHeight="1">
      <c r="A19" s="25"/>
      <c r="B19" s="313"/>
      <c r="C19" s="315" t="s">
        <v>589</v>
      </c>
      <c r="D19" s="313"/>
      <c r="E19" s="25"/>
      <c r="F19" s="25"/>
      <c r="G19" s="25"/>
      <c r="H19" s="25"/>
      <c r="I19" s="25"/>
      <c r="J19" s="25"/>
      <c r="K19" s="25"/>
      <c r="L19" s="25"/>
      <c r="M19" s="25"/>
      <c r="N19" s="25"/>
      <c r="O19" s="25"/>
    </row>
    <row r="20" spans="1:15" ht="12" customHeight="1">
      <c r="A20" s="25"/>
      <c r="B20" s="313"/>
      <c r="C20" s="316" t="s">
        <v>590</v>
      </c>
      <c r="D20" s="313"/>
      <c r="E20" s="25"/>
      <c r="F20" s="25"/>
      <c r="G20" s="25"/>
      <c r="H20" s="25"/>
      <c r="I20" s="25"/>
      <c r="J20" s="25"/>
      <c r="K20" s="25"/>
      <c r="L20" s="25"/>
      <c r="M20" s="25"/>
      <c r="N20" s="25"/>
      <c r="O20" s="25"/>
    </row>
    <row r="21" spans="1:15" ht="85.5" customHeight="1">
      <c r="A21" s="25"/>
      <c r="B21" s="313"/>
      <c r="C21" s="315" t="s">
        <v>1053</v>
      </c>
      <c r="D21" s="313"/>
      <c r="E21" s="25"/>
      <c r="F21" s="25"/>
      <c r="G21" s="25"/>
      <c r="H21" s="25"/>
      <c r="I21" s="25"/>
      <c r="J21" s="25"/>
      <c r="K21" s="25"/>
      <c r="L21" s="25"/>
      <c r="M21" s="25"/>
      <c r="N21" s="25"/>
      <c r="O21" s="25"/>
    </row>
    <row r="22" spans="1:16" ht="15" hidden="1">
      <c r="A22" s="25"/>
      <c r="B22" s="313"/>
      <c r="C22" s="316" t="s">
        <v>303</v>
      </c>
      <c r="D22" s="313"/>
      <c r="E22" s="25"/>
      <c r="F22" s="25"/>
      <c r="G22" s="25"/>
      <c r="H22" s="25"/>
      <c r="I22" s="25"/>
      <c r="J22" s="25"/>
      <c r="K22" s="25"/>
      <c r="L22" s="25"/>
      <c r="M22" s="25"/>
      <c r="N22" s="25"/>
      <c r="O22" s="25"/>
      <c r="P22" s="316"/>
    </row>
    <row r="23" spans="1:16" ht="89.25" customHeight="1" hidden="1">
      <c r="A23" s="25"/>
      <c r="B23" s="313"/>
      <c r="C23" s="315" t="s">
        <v>304</v>
      </c>
      <c r="D23" s="313"/>
      <c r="E23" s="25"/>
      <c r="F23" s="25"/>
      <c r="G23" s="25"/>
      <c r="H23" s="25"/>
      <c r="I23" s="25"/>
      <c r="J23" s="25"/>
      <c r="K23" s="25"/>
      <c r="L23" s="25"/>
      <c r="M23" s="25"/>
      <c r="N23" s="25"/>
      <c r="O23" s="25"/>
      <c r="P23" s="315"/>
    </row>
    <row r="24" spans="1:15" ht="12.75">
      <c r="A24" s="25"/>
      <c r="B24" s="428" t="str">
        <f ca="1">"Cascade Energy, Inc. © "&amp;YEAR(TODAY())</f>
        <v>Cascade Energy, Inc. © 2023</v>
      </c>
      <c r="C24" s="313"/>
      <c r="D24" s="773" t="str">
        <f>ToolName&amp;" - "&amp;ToolVersion</f>
        <v>BPA NW Regional Compressed Air Tool - 4.1</v>
      </c>
      <c r="E24" s="25"/>
      <c r="F24" s="25"/>
      <c r="G24" s="25"/>
      <c r="H24" s="25"/>
      <c r="I24" s="25"/>
      <c r="J24" s="25"/>
      <c r="K24" s="25"/>
      <c r="L24" s="25"/>
      <c r="M24" s="25"/>
      <c r="N24" s="25"/>
      <c r="O24" s="25"/>
    </row>
    <row r="25" spans="1:15" ht="12.75">
      <c r="A25" s="25"/>
      <c r="B25" s="25"/>
      <c r="C25" s="25"/>
      <c r="D25" s="34"/>
      <c r="E25" s="25"/>
      <c r="F25" s="25"/>
      <c r="G25" s="25"/>
      <c r="H25" s="25"/>
      <c r="I25" s="25"/>
      <c r="J25" s="25"/>
      <c r="K25" s="25"/>
      <c r="L25" s="25"/>
      <c r="M25" s="25"/>
      <c r="N25" s="25"/>
      <c r="O25" s="25"/>
    </row>
    <row r="26" spans="1:15" ht="12.75">
      <c r="A26" s="25"/>
      <c r="B26" s="25"/>
      <c r="C26" s="25"/>
      <c r="D26" s="34"/>
      <c r="E26" s="25"/>
      <c r="F26" s="25"/>
      <c r="G26" s="25"/>
      <c r="H26" s="25"/>
      <c r="I26" s="25"/>
      <c r="J26" s="25"/>
      <c r="K26" s="25"/>
      <c r="L26" s="25"/>
      <c r="M26" s="25"/>
      <c r="N26" s="25"/>
      <c r="O26" s="25"/>
    </row>
    <row r="27" spans="1:15" ht="12.75">
      <c r="A27" s="25"/>
      <c r="B27" s="25"/>
      <c r="C27" s="25"/>
      <c r="D27" s="25"/>
      <c r="E27" s="25"/>
      <c r="F27" s="25"/>
      <c r="G27" s="25"/>
      <c r="H27" s="25"/>
      <c r="I27" s="25"/>
      <c r="J27" s="25"/>
      <c r="K27" s="25"/>
      <c r="L27" s="25"/>
      <c r="M27" s="25"/>
      <c r="N27" s="25"/>
      <c r="O27" s="25"/>
    </row>
    <row r="28" spans="1:15" ht="12.75">
      <c r="A28" s="25"/>
      <c r="B28" s="25"/>
      <c r="C28" s="25"/>
      <c r="D28" s="25"/>
      <c r="E28" s="25"/>
      <c r="F28" s="25"/>
      <c r="G28" s="25"/>
      <c r="H28" s="25"/>
      <c r="I28" s="25"/>
      <c r="J28" s="25"/>
      <c r="K28" s="25"/>
      <c r="L28" s="25"/>
      <c r="M28" s="25"/>
      <c r="N28" s="25"/>
      <c r="O28" s="25"/>
    </row>
    <row r="29" spans="1:15" ht="12.75">
      <c r="A29" s="25"/>
      <c r="B29" s="25"/>
      <c r="C29" s="25"/>
      <c r="D29" s="25"/>
      <c r="E29" s="25"/>
      <c r="F29" s="25"/>
      <c r="G29" s="25"/>
      <c r="H29" s="25"/>
      <c r="I29" s="25"/>
      <c r="J29" s="25"/>
      <c r="K29" s="25"/>
      <c r="L29" s="25"/>
      <c r="M29" s="25"/>
      <c r="N29" s="25"/>
      <c r="O29" s="25"/>
    </row>
    <row r="30" spans="1:15" ht="12.75">
      <c r="A30" s="25"/>
      <c r="B30" s="25"/>
      <c r="C30" s="25"/>
      <c r="D30" s="25"/>
      <c r="E30" s="25"/>
      <c r="F30" s="25"/>
      <c r="G30" s="25"/>
      <c r="H30" s="25"/>
      <c r="I30" s="25"/>
      <c r="J30" s="25"/>
      <c r="K30" s="25"/>
      <c r="L30" s="25"/>
      <c r="M30" s="25"/>
      <c r="N30" s="25"/>
      <c r="O30" s="25"/>
    </row>
    <row r="31" spans="1:15" ht="12.75">
      <c r="A31" s="25"/>
      <c r="B31" s="25"/>
      <c r="C31" s="25"/>
      <c r="D31" s="25"/>
      <c r="E31" s="25"/>
      <c r="F31" s="25"/>
      <c r="G31" s="25"/>
      <c r="H31" s="25"/>
      <c r="I31" s="25"/>
      <c r="J31" s="25"/>
      <c r="K31" s="25"/>
      <c r="L31" s="25"/>
      <c r="M31" s="25"/>
      <c r="N31" s="25"/>
      <c r="O31" s="25"/>
    </row>
    <row r="32" spans="1:15" ht="12.75">
      <c r="A32" s="25"/>
      <c r="B32" s="25"/>
      <c r="C32" s="25"/>
      <c r="D32" s="25"/>
      <c r="E32" s="25"/>
      <c r="F32" s="25"/>
      <c r="G32" s="25"/>
      <c r="H32" s="25"/>
      <c r="I32" s="25"/>
      <c r="J32" s="25"/>
      <c r="K32" s="25"/>
      <c r="L32" s="25"/>
      <c r="M32" s="25"/>
      <c r="N32" s="25"/>
      <c r="O32" s="25"/>
    </row>
    <row r="33" spans="1:15" ht="12.75">
      <c r="A33" s="25"/>
      <c r="B33" s="25"/>
      <c r="C33" s="25"/>
      <c r="D33" s="25"/>
      <c r="E33" s="25"/>
      <c r="F33" s="25"/>
      <c r="G33" s="25"/>
      <c r="H33" s="25"/>
      <c r="I33" s="25"/>
      <c r="J33" s="25"/>
      <c r="K33" s="25"/>
      <c r="L33" s="25"/>
      <c r="M33" s="25"/>
      <c r="N33" s="25"/>
      <c r="O33" s="25"/>
    </row>
    <row r="34" spans="1:15" ht="12.75">
      <c r="A34" s="25"/>
      <c r="B34" s="25"/>
      <c r="C34" s="25"/>
      <c r="D34" s="25"/>
      <c r="E34" s="25"/>
      <c r="F34" s="25"/>
      <c r="G34" s="25"/>
      <c r="H34" s="25"/>
      <c r="I34" s="25"/>
      <c r="J34" s="25"/>
      <c r="K34" s="25"/>
      <c r="L34" s="25"/>
      <c r="M34" s="25"/>
      <c r="N34" s="25"/>
      <c r="O34" s="25"/>
    </row>
    <row r="35" spans="1:15" ht="12.75">
      <c r="A35" s="25"/>
      <c r="B35" s="25"/>
      <c r="C35" s="25"/>
      <c r="D35" s="25"/>
      <c r="E35" s="25"/>
      <c r="F35" s="25"/>
      <c r="G35" s="25"/>
      <c r="H35" s="25"/>
      <c r="I35" s="25"/>
      <c r="J35" s="25"/>
      <c r="K35" s="25"/>
      <c r="L35" s="25"/>
      <c r="M35" s="25"/>
      <c r="N35" s="25"/>
      <c r="O35" s="25"/>
    </row>
    <row r="36" spans="1:15" ht="12.75">
      <c r="A36" s="25"/>
      <c r="B36" s="25"/>
      <c r="C36" s="25"/>
      <c r="D36" s="25"/>
      <c r="E36" s="25"/>
      <c r="F36" s="25"/>
      <c r="G36" s="25"/>
      <c r="H36" s="25"/>
      <c r="I36" s="25"/>
      <c r="J36" s="25"/>
      <c r="K36" s="25"/>
      <c r="L36" s="25"/>
      <c r="M36" s="25"/>
      <c r="N36" s="25"/>
      <c r="O36" s="25"/>
    </row>
    <row r="37" spans="1:15" ht="12.75">
      <c r="A37" s="25"/>
      <c r="B37" s="25"/>
      <c r="C37" s="25"/>
      <c r="D37" s="25"/>
      <c r="E37" s="25"/>
      <c r="F37" s="25"/>
      <c r="G37" s="25"/>
      <c r="H37" s="25"/>
      <c r="I37" s="25"/>
      <c r="J37" s="25"/>
      <c r="K37" s="25"/>
      <c r="L37" s="25"/>
      <c r="M37" s="25"/>
      <c r="N37" s="25"/>
      <c r="O37" s="25"/>
    </row>
    <row r="38" spans="1:15" ht="12.75">
      <c r="A38" s="25"/>
      <c r="B38" s="25"/>
      <c r="C38" s="25"/>
      <c r="D38" s="25"/>
      <c r="E38" s="25"/>
      <c r="F38" s="25"/>
      <c r="G38" s="25"/>
      <c r="H38" s="25"/>
      <c r="I38" s="25"/>
      <c r="J38" s="25"/>
      <c r="K38" s="25"/>
      <c r="L38" s="25"/>
      <c r="M38" s="25"/>
      <c r="N38" s="25"/>
      <c r="O38" s="25"/>
    </row>
    <row r="39" spans="1:15" ht="12.75">
      <c r="A39" s="25"/>
      <c r="B39" s="25"/>
      <c r="C39" s="25"/>
      <c r="D39" s="25"/>
      <c r="E39" s="25"/>
      <c r="F39" s="25"/>
      <c r="G39" s="25"/>
      <c r="H39" s="25"/>
      <c r="I39" s="25"/>
      <c r="J39" s="25"/>
      <c r="K39" s="25"/>
      <c r="L39" s="25"/>
      <c r="M39" s="25"/>
      <c r="N39" s="25"/>
      <c r="O39" s="25"/>
    </row>
    <row r="40" spans="1:15" ht="12.75">
      <c r="A40" s="25"/>
      <c r="B40" s="25"/>
      <c r="C40" s="25"/>
      <c r="D40" s="25"/>
      <c r="E40" s="25"/>
      <c r="F40" s="25"/>
      <c r="G40" s="25"/>
      <c r="H40" s="25"/>
      <c r="I40" s="25"/>
      <c r="J40" s="25"/>
      <c r="K40" s="25"/>
      <c r="L40" s="25"/>
      <c r="M40" s="25"/>
      <c r="N40" s="25"/>
      <c r="O40" s="25"/>
    </row>
    <row r="41" spans="1:15" ht="12.75">
      <c r="A41" s="25"/>
      <c r="B41" s="25"/>
      <c r="C41" s="25"/>
      <c r="D41" s="25"/>
      <c r="E41" s="25"/>
      <c r="F41" s="25"/>
      <c r="G41" s="25"/>
      <c r="H41" s="25"/>
      <c r="I41" s="25"/>
      <c r="J41" s="25"/>
      <c r="K41" s="25"/>
      <c r="L41" s="25"/>
      <c r="M41" s="25"/>
      <c r="N41" s="25"/>
      <c r="O41" s="25"/>
    </row>
    <row r="42" spans="1:15" ht="12.75">
      <c r="A42" s="25"/>
      <c r="B42" s="25"/>
      <c r="C42" s="25"/>
      <c r="D42" s="25"/>
      <c r="E42" s="25"/>
      <c r="F42" s="25"/>
      <c r="G42" s="25"/>
      <c r="H42" s="25"/>
      <c r="I42" s="25"/>
      <c r="J42" s="25"/>
      <c r="K42" s="25"/>
      <c r="L42" s="25"/>
      <c r="M42" s="25"/>
      <c r="N42" s="25"/>
      <c r="O42" s="25"/>
    </row>
    <row r="43" spans="1:15" ht="12.75">
      <c r="A43" s="25"/>
      <c r="B43" s="25"/>
      <c r="C43" s="25"/>
      <c r="D43" s="25"/>
      <c r="E43" s="25"/>
      <c r="F43" s="25"/>
      <c r="G43" s="25"/>
      <c r="H43" s="25"/>
      <c r="I43" s="25"/>
      <c r="J43" s="25"/>
      <c r="K43" s="25"/>
      <c r="L43" s="25"/>
      <c r="M43" s="25"/>
      <c r="N43" s="25"/>
      <c r="O43" s="25"/>
    </row>
    <row r="44" spans="1:15" ht="12.75">
      <c r="A44" s="25"/>
      <c r="B44" s="25"/>
      <c r="C44" s="25"/>
      <c r="D44" s="25"/>
      <c r="E44" s="25"/>
      <c r="F44" s="25"/>
      <c r="G44" s="25"/>
      <c r="H44" s="25"/>
      <c r="I44" s="25"/>
      <c r="J44" s="25"/>
      <c r="K44" s="25"/>
      <c r="L44" s="25"/>
      <c r="M44" s="25"/>
      <c r="N44" s="25"/>
      <c r="O44" s="25"/>
    </row>
    <row r="45" spans="1:15" ht="12.75">
      <c r="A45" s="25"/>
      <c r="B45" s="25"/>
      <c r="C45" s="25"/>
      <c r="D45" s="25"/>
      <c r="E45" s="25"/>
      <c r="F45" s="25"/>
      <c r="G45" s="25"/>
      <c r="H45" s="25"/>
      <c r="I45" s="25"/>
      <c r="J45" s="25"/>
      <c r="K45" s="25"/>
      <c r="L45" s="25"/>
      <c r="M45" s="25"/>
      <c r="N45" s="25"/>
      <c r="O45" s="25"/>
    </row>
    <row r="46" spans="1:15" ht="12.75">
      <c r="A46" s="25"/>
      <c r="B46" s="25"/>
      <c r="C46" s="25"/>
      <c r="D46" s="25"/>
      <c r="E46" s="25"/>
      <c r="F46" s="25"/>
      <c r="G46" s="25"/>
      <c r="H46" s="25"/>
      <c r="I46" s="25"/>
      <c r="J46" s="25"/>
      <c r="K46" s="25"/>
      <c r="L46" s="25"/>
      <c r="M46" s="25"/>
      <c r="N46" s="25"/>
      <c r="O46" s="25"/>
    </row>
    <row r="47" spans="1:15" ht="12.75">
      <c r="A47" s="25"/>
      <c r="B47" s="25"/>
      <c r="C47" s="25"/>
      <c r="D47" s="25"/>
      <c r="E47" s="25"/>
      <c r="F47" s="25"/>
      <c r="G47" s="25"/>
      <c r="H47" s="25"/>
      <c r="I47" s="25"/>
      <c r="J47" s="25"/>
      <c r="K47" s="25"/>
      <c r="L47" s="25"/>
      <c r="M47" s="25"/>
      <c r="N47" s="25"/>
      <c r="O47" s="25"/>
    </row>
    <row r="48" spans="1:15" ht="12.75">
      <c r="A48" s="25"/>
      <c r="B48" s="25"/>
      <c r="C48" s="25"/>
      <c r="D48" s="25"/>
      <c r="E48" s="25"/>
      <c r="F48" s="25"/>
      <c r="G48" s="25"/>
      <c r="H48" s="25"/>
      <c r="I48" s="25"/>
      <c r="J48" s="25"/>
      <c r="K48" s="25"/>
      <c r="L48" s="25"/>
      <c r="M48" s="25"/>
      <c r="N48" s="25"/>
      <c r="O48" s="25"/>
    </row>
    <row r="49" spans="1:15" ht="12.75">
      <c r="A49" s="25"/>
      <c r="B49" s="25"/>
      <c r="C49" s="25"/>
      <c r="D49" s="25"/>
      <c r="E49" s="25"/>
      <c r="F49" s="25"/>
      <c r="G49" s="25"/>
      <c r="H49" s="25"/>
      <c r="I49" s="25"/>
      <c r="J49" s="25"/>
      <c r="K49" s="25"/>
      <c r="L49" s="25"/>
      <c r="M49" s="25"/>
      <c r="N49" s="25"/>
      <c r="O49" s="25"/>
    </row>
    <row r="50" spans="1:15" ht="12.75">
      <c r="A50" s="25"/>
      <c r="B50" s="25"/>
      <c r="C50" s="25"/>
      <c r="D50" s="25"/>
      <c r="E50" s="25"/>
      <c r="F50" s="25"/>
      <c r="G50" s="25"/>
      <c r="H50" s="25"/>
      <c r="I50" s="25"/>
      <c r="J50" s="25"/>
      <c r="K50" s="25"/>
      <c r="L50" s="25"/>
      <c r="M50" s="25"/>
      <c r="N50" s="25"/>
      <c r="O50" s="25"/>
    </row>
    <row r="51" spans="1:15" ht="12.75">
      <c r="A51" s="25"/>
      <c r="B51" s="25"/>
      <c r="C51" s="25"/>
      <c r="D51" s="25"/>
      <c r="E51" s="25"/>
      <c r="F51" s="25"/>
      <c r="G51" s="25"/>
      <c r="H51" s="25"/>
      <c r="I51" s="25"/>
      <c r="J51" s="25"/>
      <c r="K51" s="25"/>
      <c r="L51" s="25"/>
      <c r="M51" s="25"/>
      <c r="N51" s="25"/>
      <c r="O51" s="25"/>
    </row>
    <row r="52" spans="1:15" ht="12.75">
      <c r="A52" s="25"/>
      <c r="B52" s="25"/>
      <c r="C52" s="25"/>
      <c r="D52" s="25"/>
      <c r="E52" s="25"/>
      <c r="F52" s="25"/>
      <c r="G52" s="25"/>
      <c r="H52" s="25"/>
      <c r="I52" s="25"/>
      <c r="J52" s="25"/>
      <c r="K52" s="25"/>
      <c r="L52" s="25"/>
      <c r="M52" s="25"/>
      <c r="N52" s="25"/>
      <c r="O52" s="25"/>
    </row>
    <row r="53" spans="1:15" ht="12.75">
      <c r="A53" s="25"/>
      <c r="B53" s="25"/>
      <c r="C53" s="25"/>
      <c r="D53" s="25"/>
      <c r="E53" s="25"/>
      <c r="F53" s="25"/>
      <c r="G53" s="25"/>
      <c r="H53" s="25"/>
      <c r="I53" s="25"/>
      <c r="J53" s="25"/>
      <c r="K53" s="25"/>
      <c r="L53" s="25"/>
      <c r="M53" s="25"/>
      <c r="N53" s="25"/>
      <c r="O53" s="25"/>
    </row>
    <row r="54" spans="1:15" ht="12.75">
      <c r="A54" s="25"/>
      <c r="B54" s="25"/>
      <c r="C54" s="25"/>
      <c r="D54" s="25"/>
      <c r="E54" s="25"/>
      <c r="F54" s="25"/>
      <c r="G54" s="25"/>
      <c r="H54" s="25"/>
      <c r="I54" s="25"/>
      <c r="J54" s="25"/>
      <c r="K54" s="25"/>
      <c r="L54" s="25"/>
      <c r="M54" s="25"/>
      <c r="N54" s="25"/>
      <c r="O54" s="25"/>
    </row>
    <row r="55" spans="1:15" ht="12.75">
      <c r="A55" s="25"/>
      <c r="B55" s="25"/>
      <c r="C55" s="25"/>
      <c r="D55" s="25"/>
      <c r="E55" s="25"/>
      <c r="F55" s="25"/>
      <c r="G55" s="25"/>
      <c r="H55" s="25"/>
      <c r="I55" s="25"/>
      <c r="J55" s="25"/>
      <c r="K55" s="25"/>
      <c r="L55" s="25"/>
      <c r="M55" s="25"/>
      <c r="N55" s="25"/>
      <c r="O55" s="25"/>
    </row>
    <row r="56" spans="1:15" ht="12.75">
      <c r="A56" s="25"/>
      <c r="B56" s="25"/>
      <c r="C56" s="25"/>
      <c r="D56" s="25"/>
      <c r="E56" s="25"/>
      <c r="F56" s="25"/>
      <c r="G56" s="25"/>
      <c r="H56" s="25"/>
      <c r="I56" s="25"/>
      <c r="J56" s="25"/>
      <c r="K56" s="25"/>
      <c r="L56" s="25"/>
      <c r="M56" s="25"/>
      <c r="N56" s="25"/>
      <c r="O56" s="25"/>
    </row>
    <row r="57" spans="1:15" ht="12.75">
      <c r="A57" s="25"/>
      <c r="B57" s="25"/>
      <c r="C57" s="25"/>
      <c r="D57" s="25"/>
      <c r="E57" s="25"/>
      <c r="F57" s="25"/>
      <c r="G57" s="25"/>
      <c r="H57" s="25"/>
      <c r="I57" s="25"/>
      <c r="J57" s="25"/>
      <c r="K57" s="25"/>
      <c r="L57" s="25"/>
      <c r="M57" s="25"/>
      <c r="N57" s="25"/>
      <c r="O57" s="25"/>
    </row>
    <row r="58" spans="1:15" ht="12.75">
      <c r="A58" s="25"/>
      <c r="B58" s="25"/>
      <c r="C58" s="25"/>
      <c r="D58" s="25"/>
      <c r="E58" s="25"/>
      <c r="F58" s="25"/>
      <c r="G58" s="25"/>
      <c r="H58" s="25"/>
      <c r="I58" s="25"/>
      <c r="J58" s="25"/>
      <c r="K58" s="25"/>
      <c r="L58" s="25"/>
      <c r="M58" s="25"/>
      <c r="N58" s="25"/>
      <c r="O58" s="25"/>
    </row>
    <row r="59" spans="1:15" ht="12.75">
      <c r="A59" s="25"/>
      <c r="B59" s="25"/>
      <c r="C59" s="25"/>
      <c r="D59" s="25"/>
      <c r="E59" s="25"/>
      <c r="F59" s="25"/>
      <c r="G59" s="25"/>
      <c r="H59" s="25"/>
      <c r="I59" s="25"/>
      <c r="J59" s="25"/>
      <c r="K59" s="25"/>
      <c r="L59" s="25"/>
      <c r="M59" s="25"/>
      <c r="N59" s="25"/>
      <c r="O59" s="25"/>
    </row>
  </sheetData>
  <sheetProtection formatCells="0" selectLockedCells="1"/>
  <printOptions/>
  <pageMargins left="0.75" right="0.75" top="0.31" bottom="0.43" header="0.39" footer="0.5"/>
  <pageSetup fitToHeight="0" fitToWidth="1" horizontalDpi="600" verticalDpi="600" orientation="portrait" scale="94" r:id="rId1"/>
  <rowBreaks count="1" manualBreakCount="1">
    <brk id="15" min="1" max="3" man="1"/>
  </rowBreaks>
</worksheet>
</file>

<file path=xl/worksheets/sheet11.xml><?xml version="1.0" encoding="utf-8"?>
<worksheet xmlns="http://schemas.openxmlformats.org/spreadsheetml/2006/main" xmlns:r="http://schemas.openxmlformats.org/officeDocument/2006/relationships">
  <sheetPr codeName="Sheet5"/>
  <dimension ref="A1:AQ2"/>
  <sheetViews>
    <sheetView zoomScalePageLayoutView="0" workbookViewId="0" topLeftCell="A1">
      <selection activeCell="A2" sqref="A2:AB2"/>
    </sheetView>
  </sheetViews>
  <sheetFormatPr defaultColWidth="9.140625" defaultRowHeight="12.75"/>
  <cols>
    <col min="1" max="1" width="21.00390625" style="0" bestFit="1" customWidth="1"/>
    <col min="2" max="2" width="14.421875" style="0" bestFit="1" customWidth="1"/>
    <col min="3" max="3" width="13.421875" style="0" bestFit="1" customWidth="1"/>
  </cols>
  <sheetData>
    <row r="1" spans="1:28" ht="12.75">
      <c r="A1" t="s">
        <v>1179</v>
      </c>
      <c r="B1" t="s">
        <v>1116</v>
      </c>
      <c r="C1" t="s">
        <v>1180</v>
      </c>
      <c r="D1" t="s">
        <v>1181</v>
      </c>
      <c r="E1" t="s">
        <v>1182</v>
      </c>
      <c r="F1" t="s">
        <v>1183</v>
      </c>
      <c r="G1" t="s">
        <v>1184</v>
      </c>
      <c r="H1" t="s">
        <v>1185</v>
      </c>
      <c r="I1" t="s">
        <v>1186</v>
      </c>
      <c r="J1" t="s">
        <v>1187</v>
      </c>
      <c r="K1" t="s">
        <v>1188</v>
      </c>
      <c r="L1" t="s">
        <v>668</v>
      </c>
      <c r="M1" t="s">
        <v>1117</v>
      </c>
      <c r="N1" t="s">
        <v>1118</v>
      </c>
      <c r="O1" t="s">
        <v>1189</v>
      </c>
      <c r="P1" t="s">
        <v>1190</v>
      </c>
      <c r="Q1" t="s">
        <v>1191</v>
      </c>
      <c r="R1" t="s">
        <v>1192</v>
      </c>
      <c r="S1" t="s">
        <v>1193</v>
      </c>
      <c r="T1" t="s">
        <v>1194</v>
      </c>
      <c r="U1" t="s">
        <v>1195</v>
      </c>
      <c r="V1" t="s">
        <v>1196</v>
      </c>
      <c r="W1" t="s">
        <v>1197</v>
      </c>
      <c r="X1" t="s">
        <v>1198</v>
      </c>
      <c r="Y1" t="s">
        <v>1199</v>
      </c>
      <c r="Z1" t="s">
        <v>1119</v>
      </c>
      <c r="AA1" s="228" t="s">
        <v>1200</v>
      </c>
      <c r="AB1" s="228" t="s">
        <v>1201</v>
      </c>
    </row>
    <row r="2" spans="1:43" ht="12.75">
      <c r="A2" t="str">
        <f>MeasureName</f>
        <v> hp VFD air compressor</v>
      </c>
      <c r="B2" t="s">
        <v>1120</v>
      </c>
      <c r="C2">
        <f>InputBusinessType</f>
      </c>
      <c r="D2">
        <f>ContactName</f>
      </c>
      <c r="E2" s="869">
        <f>TelOrCell</f>
      </c>
      <c r="F2" s="870"/>
      <c r="G2" s="870">
        <f>Fax</f>
      </c>
      <c r="H2">
        <f>ContactEmail</f>
      </c>
      <c r="I2" t="s">
        <v>1121</v>
      </c>
      <c r="J2">
        <f>'Savings Calculations'!P18</f>
        <v>0</v>
      </c>
      <c r="K2" s="228" t="s">
        <v>616</v>
      </c>
      <c r="L2" t="str">
        <f>CONCATENATE('Savings Calculations'!J18,"hp ",VLOOKUP('Savings Calculations'!L15,'Savings Calculations'!$CF$93:$CG$97,2))</f>
        <v>hp Inlet Modulation</v>
      </c>
      <c r="O2" s="871">
        <f>'Master Outputs'!B216</f>
        <v>0</v>
      </c>
      <c r="P2">
        <f>UtilityName</f>
        <v>0</v>
      </c>
      <c r="Q2" s="228" t="s">
        <v>1202</v>
      </c>
      <c r="S2" s="872">
        <f>'Master Outputs'!B195</f>
      </c>
      <c r="U2" s="855" t="e">
        <f>'Master Outputs'!B183</f>
        <v>#N/A</v>
      </c>
      <c r="V2" t="e">
        <f>BaselineElectricityKwh</f>
        <v>#N/A</v>
      </c>
      <c r="Y2" s="872">
        <f>'Master Outputs'!B189</f>
        <v>0</v>
      </c>
      <c r="Z2" s="228" t="s">
        <v>1124</v>
      </c>
      <c r="AB2" s="855"/>
      <c r="AC2" s="855"/>
      <c r="AQ2" s="228"/>
    </row>
  </sheetData>
  <sheetProtection formatCells="0"/>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Sheet2">
    <pageSetUpPr fitToPage="1"/>
  </sheetPr>
  <dimension ref="A1:DR203"/>
  <sheetViews>
    <sheetView showGridLines="0" zoomScaleSheetLayoutView="100" workbookViewId="0" topLeftCell="A22">
      <selection activeCell="T67" sqref="T67:V67"/>
    </sheetView>
  </sheetViews>
  <sheetFormatPr defaultColWidth="9.140625" defaultRowHeight="12.75"/>
  <cols>
    <col min="1" max="1" width="2.57421875" style="351" customWidth="1"/>
    <col min="2" max="2" width="4.57421875" style="351" customWidth="1"/>
    <col min="3" max="4" width="8.57421875" style="351" customWidth="1"/>
    <col min="5" max="5" width="6.57421875" style="351" customWidth="1"/>
    <col min="6" max="6" width="2.8515625" style="351" customWidth="1"/>
    <col min="7" max="7" width="8.8515625" style="351" customWidth="1"/>
    <col min="8" max="8" width="8.57421875" style="351" customWidth="1"/>
    <col min="9" max="9" width="0.13671875" style="351" customWidth="1"/>
    <col min="10" max="11" width="3.421875" style="351" customWidth="1"/>
    <col min="12" max="12" width="7.00390625" style="351" customWidth="1"/>
    <col min="13" max="13" width="7.57421875" style="351" customWidth="1"/>
    <col min="14" max="14" width="0.42578125" style="351" customWidth="1"/>
    <col min="15" max="15" width="0.5625" style="351" customWidth="1"/>
    <col min="16" max="16" width="14.421875" style="351" customWidth="1"/>
    <col min="17" max="17" width="2.57421875" style="351" customWidth="1"/>
    <col min="18" max="18" width="8.421875" style="349" hidden="1" customWidth="1"/>
    <col min="19" max="19" width="9.421875" style="351" customWidth="1"/>
    <col min="20" max="20" width="2.57421875" style="351" customWidth="1"/>
    <col min="21" max="21" width="4.57421875" style="351" customWidth="1"/>
    <col min="22" max="22" width="6.140625" style="351" customWidth="1"/>
    <col min="23" max="23" width="4.421875" style="351" customWidth="1"/>
    <col min="24" max="24" width="5.421875" style="351" customWidth="1"/>
    <col min="25" max="25" width="4.57421875" style="351" customWidth="1"/>
    <col min="26" max="26" width="0.5625" style="351" customWidth="1"/>
    <col min="27" max="27" width="5.00390625" style="351" customWidth="1"/>
    <col min="28" max="28" width="32.421875" style="351" bestFit="1" customWidth="1"/>
    <col min="29" max="29" width="16.421875" style="351" bestFit="1" customWidth="1"/>
    <col min="30" max="30" width="5.57421875" style="351" customWidth="1"/>
    <col min="31" max="31" width="11.57421875" style="351" bestFit="1" customWidth="1"/>
    <col min="32" max="32" width="12.57421875" style="351" bestFit="1" customWidth="1"/>
    <col min="33" max="33" width="4.8515625" style="351" customWidth="1"/>
    <col min="34" max="39" width="3.421875" style="351" customWidth="1"/>
    <col min="40" max="40" width="11.57421875" style="351" customWidth="1"/>
    <col min="41" max="41" width="3.421875" style="351" customWidth="1"/>
    <col min="42" max="42" width="9.00390625" style="351" customWidth="1"/>
    <col min="43" max="69" width="3.421875" style="351" customWidth="1"/>
    <col min="70" max="71" width="3.421875" style="729" customWidth="1"/>
    <col min="72" max="72" width="4.421875" style="729" customWidth="1"/>
    <col min="73" max="73" width="7.57421875" style="729" customWidth="1"/>
    <col min="74" max="77" width="8.00390625" style="388" customWidth="1"/>
    <col min="78" max="78" width="7.57421875" style="388" customWidth="1"/>
    <col min="79" max="79" width="3.140625" style="388" customWidth="1"/>
    <col min="80" max="81" width="5.8515625" style="388" customWidth="1"/>
    <col min="82" max="82" width="8.00390625" style="388" customWidth="1"/>
    <col min="83" max="83" width="8.8515625" style="388" customWidth="1"/>
    <col min="84" max="86" width="8.00390625" style="388" customWidth="1"/>
    <col min="87" max="87" width="6.421875" style="388" customWidth="1"/>
    <col min="88" max="88" width="7.421875" style="388" customWidth="1"/>
    <col min="89" max="89" width="5.421875" style="388" customWidth="1"/>
    <col min="90" max="91" width="9.140625" style="388" customWidth="1"/>
    <col min="92" max="92" width="5.57421875" style="388" customWidth="1"/>
    <col min="93" max="93" width="6.421875" style="388" customWidth="1"/>
    <col min="94" max="94" width="4.8515625" style="388" customWidth="1"/>
    <col min="95" max="95" width="11.00390625" style="388" customWidth="1"/>
    <col min="96" max="96" width="5.57421875" style="388" customWidth="1"/>
    <col min="97" max="97" width="5.421875" style="388" customWidth="1"/>
    <col min="98" max="98" width="7.00390625" style="388" customWidth="1"/>
    <col min="99" max="99" width="9.421875" style="388" customWidth="1"/>
    <col min="100" max="100" width="8.421875" style="388" customWidth="1"/>
    <col min="101" max="101" width="9.00390625" style="388" customWidth="1"/>
    <col min="102" max="102" width="9.140625" style="729" customWidth="1"/>
    <col min="103" max="103" width="6.57421875" style="351" customWidth="1"/>
    <col min="104" max="104" width="7.57421875" style="351" customWidth="1"/>
    <col min="105" max="112" width="3.421875" style="351" customWidth="1"/>
    <col min="113" max="16384" width="9.140625" style="351" customWidth="1"/>
  </cols>
  <sheetData>
    <row r="1" spans="1:122" ht="12.75" customHeight="1">
      <c r="A1" s="348"/>
      <c r="B1" s="348"/>
      <c r="C1" s="348"/>
      <c r="D1" s="348"/>
      <c r="E1" s="348"/>
      <c r="F1" s="348"/>
      <c r="G1" s="348"/>
      <c r="H1" s="348"/>
      <c r="I1" s="348"/>
      <c r="J1" s="348"/>
      <c r="K1" s="348"/>
      <c r="L1" s="348"/>
      <c r="M1" s="348"/>
      <c r="N1" s="348"/>
      <c r="O1" s="348"/>
      <c r="P1" s="348"/>
      <c r="Q1" s="348"/>
      <c r="R1" s="348"/>
      <c r="S1" s="348"/>
      <c r="T1" s="348"/>
      <c r="U1" s="348"/>
      <c r="V1" s="348"/>
      <c r="W1" s="348"/>
      <c r="X1" s="348"/>
      <c r="Y1" s="348"/>
      <c r="Z1" s="348"/>
      <c r="AA1" s="348"/>
      <c r="AB1" s="348"/>
      <c r="AC1" s="348"/>
      <c r="AD1" s="348"/>
      <c r="AE1" s="348"/>
      <c r="AF1" s="348"/>
      <c r="AG1" s="348"/>
      <c r="AH1" s="348"/>
      <c r="AI1" s="348"/>
      <c r="AJ1" s="348"/>
      <c r="AK1" s="348"/>
      <c r="AL1" s="348"/>
      <c r="AM1" s="348"/>
      <c r="AN1" s="348"/>
      <c r="AO1" s="348"/>
      <c r="AP1" s="348"/>
      <c r="AQ1" s="348"/>
      <c r="AR1" s="348"/>
      <c r="AS1" s="348"/>
      <c r="AT1" s="348"/>
      <c r="AU1" s="348"/>
      <c r="AV1" s="348"/>
      <c r="AW1" s="348"/>
      <c r="AX1" s="348"/>
      <c r="AY1" s="348"/>
      <c r="AZ1" s="348"/>
      <c r="BA1" s="348"/>
      <c r="BB1" s="348"/>
      <c r="BC1" s="348"/>
      <c r="BD1" s="348"/>
      <c r="BE1" s="348"/>
      <c r="BF1" s="348"/>
      <c r="BG1" s="348"/>
      <c r="BH1" s="348"/>
      <c r="BI1" s="348"/>
      <c r="BJ1" s="348"/>
      <c r="BK1" s="348"/>
      <c r="BL1" s="348"/>
      <c r="BM1" s="348"/>
      <c r="BN1" s="348"/>
      <c r="BO1" s="348"/>
      <c r="BP1" s="348"/>
      <c r="BQ1" s="348"/>
      <c r="BR1" s="348"/>
      <c r="BS1" s="348"/>
      <c r="BT1" s="348"/>
      <c r="BU1" s="348"/>
      <c r="BV1" s="348"/>
      <c r="BW1" s="348"/>
      <c r="BX1" s="348"/>
      <c r="BY1" s="348"/>
      <c r="BZ1" s="348"/>
      <c r="CA1" s="348"/>
      <c r="CB1" s="348"/>
      <c r="CC1" s="348"/>
      <c r="CD1" s="348"/>
      <c r="CE1" s="348"/>
      <c r="CF1" s="348"/>
      <c r="CG1" s="348"/>
      <c r="CH1" s="348"/>
      <c r="CI1" s="348"/>
      <c r="CJ1" s="348"/>
      <c r="CK1" s="348"/>
      <c r="CL1" s="348"/>
      <c r="CM1" s="348"/>
      <c r="CN1" s="348"/>
      <c r="CO1" s="348"/>
      <c r="CP1" s="348"/>
      <c r="CQ1" s="348"/>
      <c r="CR1" s="348"/>
      <c r="CS1" s="348"/>
      <c r="CT1" s="348"/>
      <c r="CU1" s="348"/>
      <c r="CV1" s="348"/>
      <c r="CW1" s="348"/>
      <c r="CX1" s="348"/>
      <c r="CY1" s="348"/>
      <c r="CZ1" s="348"/>
      <c r="DA1" s="348"/>
      <c r="DB1" s="348"/>
      <c r="DC1" s="348"/>
      <c r="DD1" s="348"/>
      <c r="DE1" s="348"/>
      <c r="DF1" s="348"/>
      <c r="DG1" s="348"/>
      <c r="DH1" s="348"/>
      <c r="DI1" s="350"/>
      <c r="DJ1" s="350"/>
      <c r="DK1" s="350"/>
      <c r="DL1" s="350"/>
      <c r="DM1" s="350"/>
      <c r="DN1" s="350"/>
      <c r="DO1" s="350"/>
      <c r="DP1" s="350"/>
      <c r="DQ1" s="350"/>
      <c r="DR1" s="350"/>
    </row>
    <row r="2" spans="1:122" ht="7.5" customHeight="1">
      <c r="A2" s="348"/>
      <c r="B2" s="349"/>
      <c r="C2" s="349"/>
      <c r="D2" s="349"/>
      <c r="E2" s="349"/>
      <c r="F2" s="349"/>
      <c r="G2" s="349"/>
      <c r="H2" s="349"/>
      <c r="I2" s="349"/>
      <c r="J2" s="349"/>
      <c r="K2" s="349"/>
      <c r="L2" s="349"/>
      <c r="M2" s="349"/>
      <c r="N2" s="349"/>
      <c r="O2" s="349"/>
      <c r="P2" s="349"/>
      <c r="Q2" s="349"/>
      <c r="S2" s="349"/>
      <c r="T2" s="349"/>
      <c r="U2" s="349"/>
      <c r="V2" s="349"/>
      <c r="W2" s="349"/>
      <c r="X2" s="349"/>
      <c r="Y2" s="349"/>
      <c r="Z2" s="348"/>
      <c r="AA2" s="348"/>
      <c r="AB2" s="348"/>
      <c r="AC2" s="348"/>
      <c r="AD2" s="348"/>
      <c r="AE2" s="348"/>
      <c r="AF2" s="348"/>
      <c r="AG2" s="348"/>
      <c r="AH2" s="348"/>
      <c r="AI2" s="348"/>
      <c r="AJ2" s="348"/>
      <c r="AK2" s="348"/>
      <c r="AL2" s="348"/>
      <c r="AM2" s="348"/>
      <c r="AN2" s="348"/>
      <c r="AO2" s="348"/>
      <c r="AP2" s="348"/>
      <c r="AQ2" s="348"/>
      <c r="AR2" s="348"/>
      <c r="AS2" s="348"/>
      <c r="AT2" s="348"/>
      <c r="AU2" s="348"/>
      <c r="AV2" s="348"/>
      <c r="AW2" s="348"/>
      <c r="AX2" s="348"/>
      <c r="AY2" s="348"/>
      <c r="AZ2" s="348"/>
      <c r="BA2" s="348"/>
      <c r="BB2" s="348"/>
      <c r="BC2" s="348"/>
      <c r="BD2" s="348"/>
      <c r="BE2" s="348"/>
      <c r="BF2" s="348"/>
      <c r="BG2" s="348"/>
      <c r="BH2" s="348"/>
      <c r="BI2" s="348"/>
      <c r="BJ2" s="348"/>
      <c r="BK2" s="348"/>
      <c r="BL2" s="348"/>
      <c r="BM2" s="348"/>
      <c r="BN2" s="348"/>
      <c r="BO2" s="348"/>
      <c r="BP2" s="348"/>
      <c r="BQ2" s="348"/>
      <c r="BR2" s="348"/>
      <c r="BS2" s="348"/>
      <c r="BT2" s="348"/>
      <c r="BU2" s="348"/>
      <c r="BV2" s="348"/>
      <c r="BW2" s="348"/>
      <c r="BX2" s="348"/>
      <c r="BY2" s="348"/>
      <c r="BZ2" s="348"/>
      <c r="CA2" s="348"/>
      <c r="CB2" s="348"/>
      <c r="CC2" s="348"/>
      <c r="CD2" s="348"/>
      <c r="CE2" s="348"/>
      <c r="CF2" s="348"/>
      <c r="CG2" s="348"/>
      <c r="CH2" s="348"/>
      <c r="CI2" s="348"/>
      <c r="CJ2" s="348"/>
      <c r="CK2" s="348"/>
      <c r="CL2" s="348"/>
      <c r="CM2" s="348"/>
      <c r="CN2" s="348"/>
      <c r="CO2" s="348"/>
      <c r="CP2" s="348"/>
      <c r="CQ2" s="348"/>
      <c r="CR2" s="348"/>
      <c r="CS2" s="348"/>
      <c r="CT2" s="348"/>
      <c r="CU2" s="348"/>
      <c r="CV2" s="348"/>
      <c r="CW2" s="348"/>
      <c r="CX2" s="348"/>
      <c r="CY2" s="348"/>
      <c r="CZ2" s="348"/>
      <c r="DA2" s="348"/>
      <c r="DB2" s="348"/>
      <c r="DC2" s="348"/>
      <c r="DD2" s="348"/>
      <c r="DE2" s="348"/>
      <c r="DF2" s="348"/>
      <c r="DG2" s="348"/>
      <c r="DH2" s="348"/>
      <c r="DI2" s="350"/>
      <c r="DJ2" s="350"/>
      <c r="DK2" s="350"/>
      <c r="DL2" s="350"/>
      <c r="DM2" s="350"/>
      <c r="DN2" s="350"/>
      <c r="DO2" s="350"/>
      <c r="DP2" s="350"/>
      <c r="DQ2" s="350"/>
      <c r="DR2" s="350"/>
    </row>
    <row r="3" spans="1:122" ht="16.5" customHeight="1">
      <c r="A3" s="348"/>
      <c r="B3" s="349"/>
      <c r="C3" s="352" t="s">
        <v>859</v>
      </c>
      <c r="D3" s="349"/>
      <c r="E3" s="349"/>
      <c r="F3" s="349"/>
      <c r="G3" s="349"/>
      <c r="H3" s="349"/>
      <c r="I3" s="349"/>
      <c r="J3" s="349"/>
      <c r="K3" s="349"/>
      <c r="L3" s="349"/>
      <c r="M3" s="349"/>
      <c r="N3" s="349"/>
      <c r="O3" s="349"/>
      <c r="P3" s="349"/>
      <c r="Q3" s="349"/>
      <c r="X3" s="349"/>
      <c r="Y3" s="349"/>
      <c r="Z3" s="348"/>
      <c r="AA3" s="348"/>
      <c r="AB3" s="348"/>
      <c r="AC3" s="348"/>
      <c r="AD3" s="348"/>
      <c r="AE3" s="348"/>
      <c r="AF3" s="348"/>
      <c r="AG3" s="348"/>
      <c r="AH3" s="348"/>
      <c r="AI3" s="348"/>
      <c r="AJ3" s="348"/>
      <c r="AK3" s="348"/>
      <c r="AL3" s="348"/>
      <c r="AM3" s="348"/>
      <c r="AN3" s="353"/>
      <c r="AO3" s="348"/>
      <c r="AP3" s="348"/>
      <c r="AQ3" s="348"/>
      <c r="AR3" s="348"/>
      <c r="AS3" s="348"/>
      <c r="AT3" s="348"/>
      <c r="AU3" s="348"/>
      <c r="AV3" s="348"/>
      <c r="AW3" s="348"/>
      <c r="AX3" s="348"/>
      <c r="AY3" s="348"/>
      <c r="AZ3" s="348"/>
      <c r="BA3" s="348"/>
      <c r="BB3" s="348"/>
      <c r="BC3" s="348"/>
      <c r="BD3" s="348"/>
      <c r="BE3" s="348"/>
      <c r="BF3" s="348"/>
      <c r="BG3" s="348"/>
      <c r="BH3" s="348"/>
      <c r="BI3" s="348"/>
      <c r="BJ3" s="348"/>
      <c r="BK3" s="348"/>
      <c r="BL3" s="348"/>
      <c r="BM3" s="348"/>
      <c r="BN3" s="348"/>
      <c r="BO3" s="348"/>
      <c r="BP3" s="348"/>
      <c r="BQ3" s="348"/>
      <c r="BR3" s="348"/>
      <c r="BS3" s="348"/>
      <c r="BT3" s="348"/>
      <c r="BU3" s="348"/>
      <c r="BV3" s="348"/>
      <c r="BW3" s="348"/>
      <c r="BX3" s="348"/>
      <c r="BY3" s="348"/>
      <c r="BZ3" s="348"/>
      <c r="CA3" s="348"/>
      <c r="CB3" s="348"/>
      <c r="CC3" s="348"/>
      <c r="CD3" s="348"/>
      <c r="CE3" s="348"/>
      <c r="CF3" s="348"/>
      <c r="CG3" s="348"/>
      <c r="CH3" s="348"/>
      <c r="CI3" s="348"/>
      <c r="CJ3" s="348"/>
      <c r="CK3" s="348"/>
      <c r="CL3" s="348"/>
      <c r="CM3" s="348"/>
      <c r="CN3" s="348"/>
      <c r="CO3" s="348"/>
      <c r="CP3" s="348"/>
      <c r="CQ3" s="348"/>
      <c r="CR3" s="348"/>
      <c r="CS3" s="348"/>
      <c r="CT3" s="348"/>
      <c r="CU3" s="348"/>
      <c r="CV3" s="348"/>
      <c r="CW3" s="348"/>
      <c r="CX3" s="348"/>
      <c r="CY3" s="348"/>
      <c r="CZ3" s="348"/>
      <c r="DA3" s="348"/>
      <c r="DB3" s="348"/>
      <c r="DC3" s="348"/>
      <c r="DD3" s="348"/>
      <c r="DE3" s="348"/>
      <c r="DF3" s="348"/>
      <c r="DG3" s="348"/>
      <c r="DH3" s="348"/>
      <c r="DI3" s="350"/>
      <c r="DJ3" s="350"/>
      <c r="DK3" s="350"/>
      <c r="DL3" s="350"/>
      <c r="DM3" s="350"/>
      <c r="DN3" s="350"/>
      <c r="DO3" s="350"/>
      <c r="DP3" s="350"/>
      <c r="DQ3" s="350"/>
      <c r="DR3" s="350"/>
    </row>
    <row r="4" spans="1:122" ht="4.5" customHeight="1">
      <c r="A4" s="348"/>
      <c r="B4" s="349"/>
      <c r="C4" s="349"/>
      <c r="D4" s="349"/>
      <c r="E4" s="349"/>
      <c r="F4" s="349"/>
      <c r="G4" s="349"/>
      <c r="H4" s="349"/>
      <c r="I4" s="349"/>
      <c r="J4" s="349"/>
      <c r="K4" s="349"/>
      <c r="L4" s="349"/>
      <c r="M4" s="349"/>
      <c r="N4" s="349"/>
      <c r="O4" s="349"/>
      <c r="P4" s="349"/>
      <c r="Q4" s="349"/>
      <c r="X4" s="349"/>
      <c r="Y4" s="349"/>
      <c r="Z4" s="348"/>
      <c r="AA4" s="348"/>
      <c r="AB4" s="348"/>
      <c r="AC4" s="348"/>
      <c r="AD4" s="348"/>
      <c r="AE4" s="348"/>
      <c r="AF4" s="348"/>
      <c r="AG4" s="348"/>
      <c r="AH4" s="348"/>
      <c r="AI4" s="348"/>
      <c r="AJ4" s="348"/>
      <c r="AK4" s="348"/>
      <c r="AL4" s="348"/>
      <c r="AM4" s="348"/>
      <c r="AN4" s="348"/>
      <c r="AO4" s="348"/>
      <c r="AP4" s="348"/>
      <c r="AQ4" s="348"/>
      <c r="AR4" s="348"/>
      <c r="AS4" s="348"/>
      <c r="AT4" s="348"/>
      <c r="AU4" s="348"/>
      <c r="AV4" s="348"/>
      <c r="AW4" s="348"/>
      <c r="AX4" s="348"/>
      <c r="AY4" s="348"/>
      <c r="AZ4" s="348"/>
      <c r="BA4" s="348"/>
      <c r="BB4" s="348"/>
      <c r="BC4" s="348"/>
      <c r="BD4" s="348"/>
      <c r="BE4" s="348"/>
      <c r="BF4" s="348"/>
      <c r="BG4" s="348"/>
      <c r="BH4" s="348"/>
      <c r="BI4" s="348"/>
      <c r="BJ4" s="348"/>
      <c r="BK4" s="348"/>
      <c r="BL4" s="348"/>
      <c r="BM4" s="348"/>
      <c r="BN4" s="348"/>
      <c r="BO4" s="348"/>
      <c r="BP4" s="348"/>
      <c r="BQ4" s="348"/>
      <c r="BR4" s="348"/>
      <c r="BS4" s="348"/>
      <c r="BT4" s="348"/>
      <c r="BU4" s="348"/>
      <c r="BV4" s="348"/>
      <c r="BW4" s="348"/>
      <c r="BX4" s="348"/>
      <c r="BY4" s="348"/>
      <c r="BZ4" s="348"/>
      <c r="CA4" s="348"/>
      <c r="CB4" s="348"/>
      <c r="CC4" s="348"/>
      <c r="CD4" s="348"/>
      <c r="CE4" s="348"/>
      <c r="CF4" s="348"/>
      <c r="CG4" s="348"/>
      <c r="CH4" s="348"/>
      <c r="CI4" s="348"/>
      <c r="CJ4" s="348"/>
      <c r="CK4" s="348"/>
      <c r="CL4" s="348"/>
      <c r="CM4" s="348"/>
      <c r="CN4" s="348"/>
      <c r="CO4" s="348"/>
      <c r="CP4" s="348"/>
      <c r="CQ4" s="348"/>
      <c r="CR4" s="348"/>
      <c r="CS4" s="348"/>
      <c r="CT4" s="348"/>
      <c r="CU4" s="348"/>
      <c r="CV4" s="348"/>
      <c r="CW4" s="348"/>
      <c r="CX4" s="348"/>
      <c r="CY4" s="348"/>
      <c r="CZ4" s="348"/>
      <c r="DA4" s="348"/>
      <c r="DB4" s="348"/>
      <c r="DC4" s="348"/>
      <c r="DD4" s="348"/>
      <c r="DE4" s="348"/>
      <c r="DF4" s="348"/>
      <c r="DG4" s="348"/>
      <c r="DH4" s="348"/>
      <c r="DI4" s="350"/>
      <c r="DJ4" s="350"/>
      <c r="DK4" s="350"/>
      <c r="DL4" s="350"/>
      <c r="DM4" s="350"/>
      <c r="DN4" s="350"/>
      <c r="DO4" s="350"/>
      <c r="DP4" s="350"/>
      <c r="DQ4" s="350"/>
      <c r="DR4" s="350"/>
    </row>
    <row r="5" spans="1:122" ht="15" customHeight="1">
      <c r="A5" s="348"/>
      <c r="B5" s="349"/>
      <c r="D5" s="619" t="s">
        <v>791</v>
      </c>
      <c r="E5" s="620" t="str">
        <f>IF(ISBLANK(CompanyName),"",CompanyName&amp;" – "&amp;SiteCity&amp;", "&amp;SiteState)</f>
        <v> – , WA</v>
      </c>
      <c r="F5" s="355"/>
      <c r="G5" s="349"/>
      <c r="H5" s="349"/>
      <c r="I5" s="349"/>
      <c r="J5" s="349"/>
      <c r="K5" s="349"/>
      <c r="L5" s="349"/>
      <c r="M5" s="349"/>
      <c r="N5" s="349"/>
      <c r="O5" s="349"/>
      <c r="Q5" s="1142">
        <f>'Customer Information'!W4</f>
        <v>0</v>
      </c>
      <c r="R5" s="1142"/>
      <c r="S5" s="1142"/>
      <c r="T5" s="1142"/>
      <c r="U5" s="1142"/>
      <c r="V5" s="1142"/>
      <c r="W5" s="1142"/>
      <c r="X5" s="1142"/>
      <c r="Y5" s="349"/>
      <c r="Z5" s="348"/>
      <c r="AA5" s="348"/>
      <c r="AB5" s="348"/>
      <c r="AC5" s="348"/>
      <c r="AD5" s="348"/>
      <c r="AE5" s="348"/>
      <c r="AF5" s="348"/>
      <c r="AG5" s="348"/>
      <c r="AH5" s="348"/>
      <c r="AI5" s="348"/>
      <c r="AJ5" s="348"/>
      <c r="AK5" s="348"/>
      <c r="AL5" s="348"/>
      <c r="AM5" s="348"/>
      <c r="AN5" s="356"/>
      <c r="AO5" s="348"/>
      <c r="AP5" s="348"/>
      <c r="AQ5" s="353"/>
      <c r="AR5" s="348"/>
      <c r="AS5" s="348"/>
      <c r="AT5" s="348"/>
      <c r="AU5" s="348"/>
      <c r="AV5" s="348"/>
      <c r="AW5" s="348"/>
      <c r="AX5" s="348"/>
      <c r="AY5" s="348"/>
      <c r="AZ5" s="348"/>
      <c r="BA5" s="348"/>
      <c r="BB5" s="348"/>
      <c r="BC5" s="348"/>
      <c r="BD5" s="348"/>
      <c r="BE5" s="348"/>
      <c r="BF5" s="348"/>
      <c r="BG5" s="348"/>
      <c r="BH5" s="348"/>
      <c r="BI5" s="348"/>
      <c r="BJ5" s="348"/>
      <c r="BK5" s="348"/>
      <c r="BL5" s="348"/>
      <c r="BM5" s="348"/>
      <c r="BN5" s="348"/>
      <c r="BO5" s="348"/>
      <c r="BP5" s="348"/>
      <c r="BQ5" s="348"/>
      <c r="BR5" s="348"/>
      <c r="BS5" s="348"/>
      <c r="BT5" s="348"/>
      <c r="BU5" s="348"/>
      <c r="BV5" s="348"/>
      <c r="BW5" s="348"/>
      <c r="BX5" s="348"/>
      <c r="BY5" s="348"/>
      <c r="BZ5" s="348"/>
      <c r="CA5" s="348"/>
      <c r="CB5" s="348"/>
      <c r="CC5" s="348"/>
      <c r="CD5" s="348"/>
      <c r="CE5" s="348"/>
      <c r="CF5" s="348"/>
      <c r="CG5" s="348"/>
      <c r="CH5" s="348"/>
      <c r="CI5" s="348"/>
      <c r="CJ5" s="348"/>
      <c r="CK5" s="348"/>
      <c r="CL5" s="348"/>
      <c r="CM5" s="348"/>
      <c r="CN5" s="348"/>
      <c r="CO5" s="348"/>
      <c r="CP5" s="348"/>
      <c r="CQ5" s="348"/>
      <c r="CR5" s="348"/>
      <c r="CS5" s="348"/>
      <c r="CT5" s="348"/>
      <c r="CU5" s="348"/>
      <c r="CV5" s="348"/>
      <c r="CW5" s="348"/>
      <c r="CX5" s="348"/>
      <c r="CY5" s="348"/>
      <c r="CZ5" s="348"/>
      <c r="DA5" s="348"/>
      <c r="DB5" s="348"/>
      <c r="DC5" s="348"/>
      <c r="DD5" s="348"/>
      <c r="DE5" s="348"/>
      <c r="DF5" s="348"/>
      <c r="DG5" s="348"/>
      <c r="DH5" s="348"/>
      <c r="DI5" s="350"/>
      <c r="DJ5" s="350"/>
      <c r="DK5" s="350"/>
      <c r="DL5" s="350"/>
      <c r="DM5" s="350"/>
      <c r="DN5" s="350"/>
      <c r="DO5" s="350"/>
      <c r="DP5" s="350"/>
      <c r="DQ5" s="350"/>
      <c r="DR5" s="350"/>
    </row>
    <row r="6" spans="1:122" ht="15" customHeight="1">
      <c r="A6" s="348"/>
      <c r="B6" s="349"/>
      <c r="D6" s="619" t="s">
        <v>792</v>
      </c>
      <c r="E6" s="620">
        <f>VendorCompany</f>
      </c>
      <c r="F6" s="355"/>
      <c r="G6" s="349"/>
      <c r="H6" s="349"/>
      <c r="I6" s="349"/>
      <c r="J6" s="349"/>
      <c r="K6" s="349"/>
      <c r="L6" s="349"/>
      <c r="M6" s="349"/>
      <c r="N6" s="349"/>
      <c r="O6" s="349"/>
      <c r="P6" s="1015"/>
      <c r="Q6" s="1142"/>
      <c r="R6" s="1142"/>
      <c r="S6" s="1142"/>
      <c r="T6" s="1142"/>
      <c r="U6" s="1142"/>
      <c r="V6" s="1142"/>
      <c r="W6" s="1142"/>
      <c r="X6" s="1142"/>
      <c r="Y6" s="349"/>
      <c r="Z6" s="348"/>
      <c r="AA6" s="348"/>
      <c r="AB6" s="348"/>
      <c r="AC6" s="348"/>
      <c r="AD6" s="348"/>
      <c r="AE6" s="348"/>
      <c r="AF6" s="348"/>
      <c r="AG6" s="348"/>
      <c r="AH6" s="348"/>
      <c r="AI6" s="348"/>
      <c r="AJ6" s="348"/>
      <c r="AK6" s="348"/>
      <c r="AL6" s="348"/>
      <c r="AM6" s="348"/>
      <c r="AN6" s="348"/>
      <c r="AO6" s="348"/>
      <c r="AP6" s="348"/>
      <c r="AQ6" s="353"/>
      <c r="AR6" s="348"/>
      <c r="AS6" s="348"/>
      <c r="AT6" s="348"/>
      <c r="AU6" s="348"/>
      <c r="AV6" s="348"/>
      <c r="AW6" s="348"/>
      <c r="AX6" s="348"/>
      <c r="AY6" s="348"/>
      <c r="AZ6" s="348"/>
      <c r="BA6" s="348"/>
      <c r="BB6" s="348"/>
      <c r="BC6" s="348"/>
      <c r="BD6" s="348"/>
      <c r="BE6" s="348"/>
      <c r="BF6" s="348"/>
      <c r="BG6" s="348"/>
      <c r="BH6" s="348"/>
      <c r="BI6" s="348"/>
      <c r="BJ6" s="348"/>
      <c r="BK6" s="348"/>
      <c r="BL6" s="348"/>
      <c r="BM6" s="348"/>
      <c r="BN6" s="348"/>
      <c r="BO6" s="348"/>
      <c r="BP6" s="348"/>
      <c r="BQ6" s="348"/>
      <c r="BR6" s="348"/>
      <c r="BS6" s="348"/>
      <c r="BT6" s="348"/>
      <c r="BU6" s="348"/>
      <c r="BV6" s="348"/>
      <c r="BW6" s="348"/>
      <c r="BX6" s="348"/>
      <c r="BY6" s="348"/>
      <c r="BZ6" s="348"/>
      <c r="CA6" s="348"/>
      <c r="CB6" s="348"/>
      <c r="CC6" s="348"/>
      <c r="CD6" s="348"/>
      <c r="CE6" s="348"/>
      <c r="CF6" s="348"/>
      <c r="CG6" s="348"/>
      <c r="CH6" s="348"/>
      <c r="CI6" s="348"/>
      <c r="CJ6" s="348"/>
      <c r="CK6" s="348"/>
      <c r="CL6" s="348"/>
      <c r="CM6" s="348"/>
      <c r="CN6" s="348"/>
      <c r="CO6" s="348"/>
      <c r="CP6" s="348"/>
      <c r="CQ6" s="348"/>
      <c r="CR6" s="348"/>
      <c r="CS6" s="348"/>
      <c r="CT6" s="348"/>
      <c r="CU6" s="348"/>
      <c r="CV6" s="348"/>
      <c r="CW6" s="348"/>
      <c r="CX6" s="348"/>
      <c r="CY6" s="348"/>
      <c r="CZ6" s="348"/>
      <c r="DA6" s="348"/>
      <c r="DB6" s="348"/>
      <c r="DC6" s="348"/>
      <c r="DD6" s="348"/>
      <c r="DE6" s="348"/>
      <c r="DF6" s="348"/>
      <c r="DG6" s="348"/>
      <c r="DH6" s="348"/>
      <c r="DI6" s="350"/>
      <c r="DJ6" s="350"/>
      <c r="DK6" s="350"/>
      <c r="DL6" s="350"/>
      <c r="DM6" s="350"/>
      <c r="DN6" s="350"/>
      <c r="DO6" s="350"/>
      <c r="DP6" s="350"/>
      <c r="DQ6" s="350"/>
      <c r="DR6" s="350"/>
    </row>
    <row r="7" spans="1:122" ht="9" customHeight="1">
      <c r="A7" s="348"/>
      <c r="B7" s="349"/>
      <c r="C7" s="354"/>
      <c r="D7" s="355"/>
      <c r="E7" s="355"/>
      <c r="F7" s="355"/>
      <c r="G7" s="349"/>
      <c r="H7" s="349"/>
      <c r="I7" s="349"/>
      <c r="J7" s="349"/>
      <c r="K7" s="349"/>
      <c r="L7" s="349"/>
      <c r="M7" s="349"/>
      <c r="N7" s="349"/>
      <c r="O7" s="349"/>
      <c r="P7" s="1015"/>
      <c r="Q7" s="1142"/>
      <c r="R7" s="1142"/>
      <c r="S7" s="1142"/>
      <c r="T7" s="1142"/>
      <c r="U7" s="1142"/>
      <c r="V7" s="1142"/>
      <c r="W7" s="1142"/>
      <c r="X7" s="1142"/>
      <c r="Y7" s="349"/>
      <c r="Z7" s="348"/>
      <c r="AA7" s="348"/>
      <c r="AB7" s="348"/>
      <c r="AC7" s="348"/>
      <c r="AD7" s="348"/>
      <c r="AE7" s="348"/>
      <c r="AF7" s="348"/>
      <c r="AG7" s="348"/>
      <c r="AH7" s="357"/>
      <c r="AI7" s="357"/>
      <c r="AJ7" s="357"/>
      <c r="AK7" s="357"/>
      <c r="AL7" s="357"/>
      <c r="AM7" s="357"/>
      <c r="AN7" s="357"/>
      <c r="AO7" s="357"/>
      <c r="AP7" s="348"/>
      <c r="AQ7" s="358"/>
      <c r="AR7" s="357"/>
      <c r="AS7" s="357"/>
      <c r="AT7" s="357"/>
      <c r="AU7" s="357"/>
      <c r="AV7" s="357"/>
      <c r="AW7" s="357"/>
      <c r="AX7" s="357"/>
      <c r="AY7" s="357"/>
      <c r="AZ7" s="357"/>
      <c r="BA7" s="357"/>
      <c r="BB7" s="357"/>
      <c r="BC7" s="357"/>
      <c r="BD7" s="357"/>
      <c r="BE7" s="357"/>
      <c r="BF7" s="357"/>
      <c r="BG7" s="357"/>
      <c r="BH7" s="357"/>
      <c r="BI7" s="357"/>
      <c r="BJ7" s="357"/>
      <c r="BK7" s="357"/>
      <c r="BL7" s="357"/>
      <c r="BM7" s="357"/>
      <c r="BN7" s="357"/>
      <c r="BO7" s="357"/>
      <c r="BP7" s="357"/>
      <c r="BQ7" s="348"/>
      <c r="BR7" s="348"/>
      <c r="BS7" s="348"/>
      <c r="BT7" s="348"/>
      <c r="BU7" s="348"/>
      <c r="BV7" s="348"/>
      <c r="BW7" s="348"/>
      <c r="BX7" s="348"/>
      <c r="BY7" s="348"/>
      <c r="BZ7" s="348"/>
      <c r="CA7" s="348"/>
      <c r="CB7" s="348"/>
      <c r="CC7" s="348"/>
      <c r="CD7" s="348"/>
      <c r="CE7" s="348"/>
      <c r="CF7" s="348"/>
      <c r="CG7" s="348"/>
      <c r="CH7" s="348"/>
      <c r="CI7" s="348"/>
      <c r="CJ7" s="348"/>
      <c r="CK7" s="348"/>
      <c r="CL7" s="348"/>
      <c r="CM7" s="348"/>
      <c r="CN7" s="348"/>
      <c r="CO7" s="348"/>
      <c r="CP7" s="348"/>
      <c r="CQ7" s="348"/>
      <c r="CR7" s="348"/>
      <c r="CS7" s="348"/>
      <c r="CT7" s="348"/>
      <c r="CU7" s="348"/>
      <c r="CV7" s="348"/>
      <c r="CW7" s="348"/>
      <c r="CX7" s="348"/>
      <c r="CY7" s="348"/>
      <c r="CZ7" s="348"/>
      <c r="DA7" s="348"/>
      <c r="DB7" s="348"/>
      <c r="DC7" s="348"/>
      <c r="DD7" s="348"/>
      <c r="DE7" s="348"/>
      <c r="DF7" s="348"/>
      <c r="DG7" s="348"/>
      <c r="DH7" s="348"/>
      <c r="DI7" s="350"/>
      <c r="DJ7" s="350"/>
      <c r="DK7" s="350"/>
      <c r="DL7" s="350"/>
      <c r="DM7" s="350"/>
      <c r="DN7" s="350"/>
      <c r="DO7" s="350"/>
      <c r="DP7" s="350"/>
      <c r="DQ7" s="350"/>
      <c r="DR7" s="350"/>
    </row>
    <row r="8" spans="1:122" ht="13.5" customHeight="1">
      <c r="A8" s="348"/>
      <c r="B8" s="349"/>
      <c r="C8" s="360" t="s">
        <v>264</v>
      </c>
      <c r="D8" s="361"/>
      <c r="E8" s="361"/>
      <c r="F8" s="361"/>
      <c r="G8" s="361"/>
      <c r="H8" s="361"/>
      <c r="I8" s="361"/>
      <c r="J8" s="361"/>
      <c r="K8" s="361"/>
      <c r="L8" s="361"/>
      <c r="M8" s="361"/>
      <c r="N8" s="361"/>
      <c r="O8" s="361"/>
      <c r="P8" s="361"/>
      <c r="Q8" s="361"/>
      <c r="R8" s="361"/>
      <c r="S8" s="361"/>
      <c r="T8" s="361"/>
      <c r="U8" s="361"/>
      <c r="V8" s="361"/>
      <c r="W8" s="361"/>
      <c r="X8" s="361"/>
      <c r="Y8" s="349"/>
      <c r="Z8" s="348"/>
      <c r="AA8" s="348"/>
      <c r="AB8" s="348"/>
      <c r="AC8" s="348"/>
      <c r="AD8" s="348"/>
      <c r="AE8" s="348"/>
      <c r="AF8" s="348"/>
      <c r="AG8" s="348"/>
      <c r="AH8" s="357"/>
      <c r="AI8" s="357"/>
      <c r="AJ8" s="357"/>
      <c r="AK8" s="357"/>
      <c r="AL8" s="357"/>
      <c r="AM8" s="357"/>
      <c r="AN8" s="362"/>
      <c r="AO8" s="357"/>
      <c r="AP8" s="348"/>
      <c r="AQ8" s="357"/>
      <c r="AR8" s="357"/>
      <c r="AS8" s="357"/>
      <c r="AT8" s="357"/>
      <c r="AU8" s="357"/>
      <c r="AV8" s="357"/>
      <c r="AW8" s="357"/>
      <c r="AX8" s="357"/>
      <c r="AY8" s="357"/>
      <c r="AZ8" s="357"/>
      <c r="BA8" s="357"/>
      <c r="BB8" s="357"/>
      <c r="BC8" s="357"/>
      <c r="BD8" s="357"/>
      <c r="BE8" s="357"/>
      <c r="BF8" s="357"/>
      <c r="BG8" s="357"/>
      <c r="BH8" s="357"/>
      <c r="BI8" s="357"/>
      <c r="BJ8" s="357"/>
      <c r="BK8" s="357"/>
      <c r="BL8" s="357"/>
      <c r="BM8" s="357"/>
      <c r="BN8" s="357"/>
      <c r="BO8" s="357"/>
      <c r="BP8" s="357"/>
      <c r="BQ8" s="348"/>
      <c r="BR8" s="348"/>
      <c r="BS8" s="348"/>
      <c r="BT8" s="348"/>
      <c r="BU8" s="348"/>
      <c r="BV8" s="348"/>
      <c r="BW8" s="348"/>
      <c r="BX8" s="348"/>
      <c r="BY8" s="348"/>
      <c r="BZ8" s="348"/>
      <c r="CA8" s="348"/>
      <c r="CB8" s="348"/>
      <c r="CC8" s="348"/>
      <c r="CD8" s="348"/>
      <c r="CE8" s="348"/>
      <c r="CF8" s="348"/>
      <c r="CG8" s="348"/>
      <c r="CH8" s="348"/>
      <c r="CI8" s="348"/>
      <c r="CJ8" s="348"/>
      <c r="CK8" s="348"/>
      <c r="CL8" s="348"/>
      <c r="CM8" s="348"/>
      <c r="CN8" s="348"/>
      <c r="CO8" s="348"/>
      <c r="CP8" s="348"/>
      <c r="CQ8" s="348"/>
      <c r="CR8" s="348"/>
      <c r="CS8" s="348"/>
      <c r="CT8" s="348"/>
      <c r="CU8" s="348"/>
      <c r="CV8" s="348"/>
      <c r="CW8" s="348"/>
      <c r="CX8" s="348"/>
      <c r="CY8" s="348"/>
      <c r="CZ8" s="348"/>
      <c r="DA8" s="348"/>
      <c r="DB8" s="348"/>
      <c r="DC8" s="348"/>
      <c r="DD8" s="348"/>
      <c r="DE8" s="348"/>
      <c r="DF8" s="348"/>
      <c r="DG8" s="348"/>
      <c r="DH8" s="348"/>
      <c r="DI8" s="350"/>
      <c r="DJ8" s="350"/>
      <c r="DK8" s="350"/>
      <c r="DL8" s="350"/>
      <c r="DM8" s="350"/>
      <c r="DN8" s="350"/>
      <c r="DO8" s="350"/>
      <c r="DP8" s="350"/>
      <c r="DQ8" s="350"/>
      <c r="DR8" s="350"/>
    </row>
    <row r="9" spans="1:122" ht="16.5" customHeight="1">
      <c r="A9" s="348"/>
      <c r="B9" s="349"/>
      <c r="C9" s="349" t="s">
        <v>265</v>
      </c>
      <c r="D9" s="349"/>
      <c r="E9" s="349"/>
      <c r="F9" s="349"/>
      <c r="G9" s="349"/>
      <c r="H9" s="349"/>
      <c r="I9" s="349"/>
      <c r="J9" s="349"/>
      <c r="K9" s="349"/>
      <c r="L9" s="349"/>
      <c r="M9" s="349"/>
      <c r="N9" s="349"/>
      <c r="O9" s="349"/>
      <c r="P9" s="349"/>
      <c r="Q9" s="349"/>
      <c r="S9" s="349"/>
      <c r="T9" s="349"/>
      <c r="U9" s="349"/>
      <c r="V9" s="349"/>
      <c r="W9" s="349"/>
      <c r="X9" s="349"/>
      <c r="Y9" s="349"/>
      <c r="Z9" s="348"/>
      <c r="AA9" s="348"/>
      <c r="AB9" s="348"/>
      <c r="AC9" s="348"/>
      <c r="AD9" s="348"/>
      <c r="AE9" s="348"/>
      <c r="AF9" s="348"/>
      <c r="AG9" s="348"/>
      <c r="AH9" s="357"/>
      <c r="AI9" s="357"/>
      <c r="AJ9" s="357"/>
      <c r="AK9" s="357"/>
      <c r="AL9" s="357"/>
      <c r="AM9" s="357"/>
      <c r="AN9" s="362"/>
      <c r="AO9" s="357"/>
      <c r="AP9" s="348"/>
      <c r="AQ9" s="358"/>
      <c r="AR9" s="357"/>
      <c r="AS9" s="357"/>
      <c r="AT9" s="357"/>
      <c r="AU9" s="357"/>
      <c r="AV9" s="357"/>
      <c r="AW9" s="357"/>
      <c r="AX9" s="357"/>
      <c r="AY9" s="357"/>
      <c r="AZ9" s="357"/>
      <c r="BA9" s="357"/>
      <c r="BB9" s="357"/>
      <c r="BC9" s="357"/>
      <c r="BD9" s="357"/>
      <c r="BE9" s="357"/>
      <c r="BF9" s="357"/>
      <c r="BG9" s="357"/>
      <c r="BH9" s="357"/>
      <c r="BI9" s="357"/>
      <c r="BJ9" s="357"/>
      <c r="BK9" s="357"/>
      <c r="BL9" s="357"/>
      <c r="BM9" s="357"/>
      <c r="BN9" s="357"/>
      <c r="BO9" s="357"/>
      <c r="BP9" s="357"/>
      <c r="BQ9" s="348"/>
      <c r="BR9" s="348"/>
      <c r="BS9" s="348"/>
      <c r="BT9" s="348"/>
      <c r="BU9" s="348"/>
      <c r="BV9" s="348"/>
      <c r="BW9" s="348"/>
      <c r="BX9" s="348"/>
      <c r="BY9" s="348"/>
      <c r="BZ9" s="348"/>
      <c r="CA9" s="348"/>
      <c r="CB9" s="348"/>
      <c r="CC9" s="348"/>
      <c r="CD9" s="348"/>
      <c r="CE9" s="348"/>
      <c r="CF9" s="348"/>
      <c r="CG9" s="348"/>
      <c r="CH9" s="348"/>
      <c r="CI9" s="348"/>
      <c r="CJ9" s="348"/>
      <c r="CK9" s="348"/>
      <c r="CL9" s="348"/>
      <c r="CM9" s="348"/>
      <c r="CN9" s="348"/>
      <c r="CO9" s="348"/>
      <c r="CP9" s="348"/>
      <c r="CQ9" s="348"/>
      <c r="CR9" s="348"/>
      <c r="CS9" s="348"/>
      <c r="CT9" s="348"/>
      <c r="CU9" s="348"/>
      <c r="CV9" s="348"/>
      <c r="CW9" s="348"/>
      <c r="CX9" s="348"/>
      <c r="CY9" s="348"/>
      <c r="CZ9" s="348"/>
      <c r="DA9" s="348"/>
      <c r="DB9" s="348"/>
      <c r="DC9" s="348"/>
      <c r="DD9" s="348"/>
      <c r="DE9" s="348"/>
      <c r="DF9" s="348"/>
      <c r="DG9" s="348"/>
      <c r="DH9" s="348"/>
      <c r="DI9" s="350"/>
      <c r="DJ9" s="350"/>
      <c r="DK9" s="350"/>
      <c r="DL9" s="350"/>
      <c r="DM9" s="350"/>
      <c r="DN9" s="350"/>
      <c r="DO9" s="350"/>
      <c r="DP9" s="350"/>
      <c r="DQ9" s="350"/>
      <c r="DR9" s="350"/>
    </row>
    <row r="10" spans="1:122" ht="13.5" customHeight="1">
      <c r="A10" s="348"/>
      <c r="B10" s="349"/>
      <c r="C10" s="349"/>
      <c r="D10" s="349"/>
      <c r="E10" s="349"/>
      <c r="F10" s="349"/>
      <c r="G10" s="349"/>
      <c r="H10" s="349"/>
      <c r="I10" s="349"/>
      <c r="J10" s="349"/>
      <c r="K10" s="349"/>
      <c r="L10" s="349"/>
      <c r="M10" s="349"/>
      <c r="N10" s="349"/>
      <c r="O10" s="349"/>
      <c r="P10" s="349"/>
      <c r="Q10" s="349"/>
      <c r="S10" s="349"/>
      <c r="T10" s="349"/>
      <c r="U10" s="349"/>
      <c r="V10" s="349"/>
      <c r="W10" s="349"/>
      <c r="X10" s="349"/>
      <c r="Y10" s="349"/>
      <c r="Z10" s="348"/>
      <c r="AA10" s="348"/>
      <c r="AB10" s="348"/>
      <c r="AC10" s="348"/>
      <c r="AD10" s="348"/>
      <c r="AE10" s="348"/>
      <c r="AF10" s="348"/>
      <c r="AG10" s="348"/>
      <c r="AH10" s="357"/>
      <c r="AI10" s="357"/>
      <c r="AJ10" s="357"/>
      <c r="AK10" s="357"/>
      <c r="AL10" s="357"/>
      <c r="AM10" s="357"/>
      <c r="AN10" s="362"/>
      <c r="AO10" s="357"/>
      <c r="AP10" s="348"/>
      <c r="AQ10" s="357"/>
      <c r="AR10" s="357"/>
      <c r="AS10" s="357"/>
      <c r="AT10" s="357"/>
      <c r="AU10" s="357"/>
      <c r="AV10" s="357"/>
      <c r="AW10" s="357"/>
      <c r="AX10" s="357"/>
      <c r="AY10" s="357"/>
      <c r="AZ10" s="357"/>
      <c r="BA10" s="357"/>
      <c r="BB10" s="357"/>
      <c r="BC10" s="357"/>
      <c r="BD10" s="357"/>
      <c r="BE10" s="357"/>
      <c r="BF10" s="357"/>
      <c r="BG10" s="357"/>
      <c r="BH10" s="357"/>
      <c r="BI10" s="357"/>
      <c r="BJ10" s="357"/>
      <c r="BK10" s="357"/>
      <c r="BL10" s="357"/>
      <c r="BM10" s="357"/>
      <c r="BN10" s="357"/>
      <c r="BO10" s="357"/>
      <c r="BP10" s="357"/>
      <c r="BQ10" s="348"/>
      <c r="BR10" s="348"/>
      <c r="BS10" s="348"/>
      <c r="BT10" s="348"/>
      <c r="BU10" s="348"/>
      <c r="BV10" s="348"/>
      <c r="BW10" s="348"/>
      <c r="BX10" s="348"/>
      <c r="BY10" s="348"/>
      <c r="BZ10" s="348"/>
      <c r="CA10" s="348"/>
      <c r="CB10" s="348"/>
      <c r="CC10" s="348"/>
      <c r="CD10" s="348"/>
      <c r="CE10" s="348"/>
      <c r="CF10" s="348"/>
      <c r="CG10" s="348"/>
      <c r="CH10" s="348"/>
      <c r="CI10" s="348"/>
      <c r="CJ10" s="348"/>
      <c r="CK10" s="348"/>
      <c r="CL10" s="348"/>
      <c r="CM10" s="348"/>
      <c r="CN10" s="348"/>
      <c r="CO10" s="348"/>
      <c r="CP10" s="348"/>
      <c r="CQ10" s="348"/>
      <c r="CR10" s="348"/>
      <c r="CS10" s="348"/>
      <c r="CT10" s="348"/>
      <c r="CU10" s="348"/>
      <c r="CV10" s="348"/>
      <c r="CW10" s="348"/>
      <c r="CX10" s="348"/>
      <c r="CY10" s="348"/>
      <c r="CZ10" s="348"/>
      <c r="DA10" s="348"/>
      <c r="DB10" s="348"/>
      <c r="DC10" s="348"/>
      <c r="DD10" s="348"/>
      <c r="DE10" s="348"/>
      <c r="DF10" s="348"/>
      <c r="DG10" s="348"/>
      <c r="DH10" s="348"/>
      <c r="DI10" s="350"/>
      <c r="DJ10" s="350"/>
      <c r="DK10" s="350"/>
      <c r="DL10" s="350"/>
      <c r="DM10" s="350"/>
      <c r="DN10" s="350"/>
      <c r="DO10" s="350"/>
      <c r="DP10" s="350"/>
      <c r="DQ10" s="350"/>
      <c r="DR10" s="350"/>
    </row>
    <row r="11" spans="1:122" ht="13.5" customHeight="1">
      <c r="A11" s="348"/>
      <c r="B11" s="349"/>
      <c r="C11" s="349"/>
      <c r="D11" s="349"/>
      <c r="E11" s="349"/>
      <c r="F11" s="349"/>
      <c r="G11" s="349"/>
      <c r="H11" s="349"/>
      <c r="I11" s="349"/>
      <c r="J11" s="349"/>
      <c r="K11" s="349"/>
      <c r="L11" s="349"/>
      <c r="M11" s="349"/>
      <c r="N11" s="349"/>
      <c r="O11" s="349"/>
      <c r="P11" s="349"/>
      <c r="Q11" s="349"/>
      <c r="S11" s="349"/>
      <c r="T11" s="349"/>
      <c r="U11" s="349"/>
      <c r="V11" s="349"/>
      <c r="W11" s="349"/>
      <c r="X11" s="349"/>
      <c r="Y11" s="349"/>
      <c r="Z11" s="348"/>
      <c r="AA11" s="348"/>
      <c r="AB11" s="348"/>
      <c r="AC11" s="348"/>
      <c r="AD11" s="348"/>
      <c r="AE11" s="348"/>
      <c r="AF11" s="348"/>
      <c r="AG11" s="348"/>
      <c r="AH11" s="357"/>
      <c r="AI11" s="357"/>
      <c r="AJ11" s="357"/>
      <c r="AK11" s="357"/>
      <c r="AL11" s="357"/>
      <c r="AM11" s="357"/>
      <c r="AN11" s="362"/>
      <c r="AO11" s="357"/>
      <c r="AP11" s="348"/>
      <c r="AQ11" s="357"/>
      <c r="AR11" s="357"/>
      <c r="AS11" s="357"/>
      <c r="AT11" s="357"/>
      <c r="AU11" s="357"/>
      <c r="AV11" s="357"/>
      <c r="AW11" s="357"/>
      <c r="AX11" s="357"/>
      <c r="AY11" s="357"/>
      <c r="AZ11" s="357"/>
      <c r="BA11" s="357"/>
      <c r="BB11" s="357"/>
      <c r="BC11" s="357"/>
      <c r="BD11" s="357"/>
      <c r="BE11" s="357"/>
      <c r="BF11" s="357"/>
      <c r="BG11" s="357"/>
      <c r="BH11" s="357"/>
      <c r="BI11" s="357"/>
      <c r="BJ11" s="357"/>
      <c r="BK11" s="357"/>
      <c r="BL11" s="357"/>
      <c r="BM11" s="357"/>
      <c r="BN11" s="357"/>
      <c r="BO11" s="357"/>
      <c r="BP11" s="357"/>
      <c r="BQ11" s="348"/>
      <c r="BR11" s="348"/>
      <c r="BS11" s="348"/>
      <c r="BT11" s="348"/>
      <c r="BU11" s="348"/>
      <c r="BV11" s="348"/>
      <c r="BW11" s="348"/>
      <c r="BX11" s="348"/>
      <c r="BY11" s="348"/>
      <c r="BZ11" s="348"/>
      <c r="CA11" s="348"/>
      <c r="CB11" s="348"/>
      <c r="CC11" s="348"/>
      <c r="CD11" s="348"/>
      <c r="CE11" s="348"/>
      <c r="CF11" s="348"/>
      <c r="CG11" s="348"/>
      <c r="CH11" s="348"/>
      <c r="CI11" s="348"/>
      <c r="CJ11" s="348"/>
      <c r="CK11" s="348"/>
      <c r="CL11" s="348"/>
      <c r="CM11" s="348"/>
      <c r="CN11" s="348"/>
      <c r="CO11" s="348"/>
      <c r="CP11" s="348"/>
      <c r="CQ11" s="348"/>
      <c r="CR11" s="348"/>
      <c r="CS11" s="348"/>
      <c r="CT11" s="348"/>
      <c r="CU11" s="348"/>
      <c r="CV11" s="348"/>
      <c r="CW11" s="348"/>
      <c r="CX11" s="348"/>
      <c r="CY11" s="348"/>
      <c r="CZ11" s="348"/>
      <c r="DA11" s="348"/>
      <c r="DB11" s="348"/>
      <c r="DC11" s="348"/>
      <c r="DD11" s="348"/>
      <c r="DE11" s="348"/>
      <c r="DF11" s="348"/>
      <c r="DG11" s="348"/>
      <c r="DH11" s="348"/>
      <c r="DI11" s="350"/>
      <c r="DJ11" s="350"/>
      <c r="DK11" s="350"/>
      <c r="DL11" s="350"/>
      <c r="DM11" s="350"/>
      <c r="DN11" s="350"/>
      <c r="DO11" s="350"/>
      <c r="DP11" s="350"/>
      <c r="DQ11" s="350"/>
      <c r="DR11" s="350"/>
    </row>
    <row r="12" spans="1:122" ht="13.5" customHeight="1">
      <c r="A12" s="348"/>
      <c r="B12" s="349"/>
      <c r="C12" s="360" t="s">
        <v>725</v>
      </c>
      <c r="D12" s="361"/>
      <c r="E12" s="361"/>
      <c r="F12" s="361"/>
      <c r="G12" s="361"/>
      <c r="H12" s="361"/>
      <c r="I12" s="361"/>
      <c r="J12" s="361"/>
      <c r="K12" s="361"/>
      <c r="L12" s="361"/>
      <c r="M12" s="361"/>
      <c r="N12" s="361"/>
      <c r="O12" s="361"/>
      <c r="P12" s="361"/>
      <c r="Q12" s="361"/>
      <c r="R12" s="361"/>
      <c r="S12" s="361"/>
      <c r="T12" s="361"/>
      <c r="U12" s="361"/>
      <c r="V12" s="361"/>
      <c r="W12" s="361"/>
      <c r="X12" s="361"/>
      <c r="Y12" s="349"/>
      <c r="Z12" s="348"/>
      <c r="AA12" s="348"/>
      <c r="AB12" s="348"/>
      <c r="AC12" s="348"/>
      <c r="AD12" s="348"/>
      <c r="AE12" s="348"/>
      <c r="AF12" s="348"/>
      <c r="AG12" s="348"/>
      <c r="AH12" s="357"/>
      <c r="AI12" s="357"/>
      <c r="AJ12" s="357"/>
      <c r="AK12" s="357"/>
      <c r="AL12" s="357"/>
      <c r="AM12" s="357"/>
      <c r="AN12" s="362"/>
      <c r="AO12" s="357"/>
      <c r="AP12" s="348"/>
      <c r="AQ12" s="357"/>
      <c r="AR12" s="357"/>
      <c r="AS12" s="357"/>
      <c r="AT12" s="357"/>
      <c r="AU12" s="357"/>
      <c r="AV12" s="357"/>
      <c r="AW12" s="357"/>
      <c r="AX12" s="357"/>
      <c r="AY12" s="357"/>
      <c r="AZ12" s="357"/>
      <c r="BA12" s="357"/>
      <c r="BB12" s="357"/>
      <c r="BC12" s="357"/>
      <c r="BD12" s="357"/>
      <c r="BE12" s="357"/>
      <c r="BF12" s="357"/>
      <c r="BG12" s="357"/>
      <c r="BH12" s="357"/>
      <c r="BI12" s="357"/>
      <c r="BJ12" s="357"/>
      <c r="BK12" s="357"/>
      <c r="BL12" s="357"/>
      <c r="BM12" s="357"/>
      <c r="BN12" s="357"/>
      <c r="BO12" s="357"/>
      <c r="BP12" s="357"/>
      <c r="BQ12" s="348"/>
      <c r="BR12" s="348"/>
      <c r="BS12" s="348"/>
      <c r="BT12" s="348"/>
      <c r="BU12" s="348"/>
      <c r="BV12" s="348"/>
      <c r="BW12" s="348"/>
      <c r="BX12" s="348"/>
      <c r="BY12" s="348"/>
      <c r="BZ12" s="348"/>
      <c r="CA12" s="348"/>
      <c r="CB12" s="348"/>
      <c r="CC12" s="348"/>
      <c r="CD12" s="348"/>
      <c r="CE12" s="348"/>
      <c r="CF12" s="348"/>
      <c r="CG12" s="348"/>
      <c r="CH12" s="348"/>
      <c r="CI12" s="348"/>
      <c r="CJ12" s="348"/>
      <c r="CK12" s="348"/>
      <c r="CL12" s="348"/>
      <c r="CM12" s="348"/>
      <c r="CN12" s="348"/>
      <c r="CO12" s="348"/>
      <c r="CP12" s="348"/>
      <c r="CQ12" s="348"/>
      <c r="CR12" s="348"/>
      <c r="CS12" s="348"/>
      <c r="CT12" s="348"/>
      <c r="CU12" s="348"/>
      <c r="CV12" s="348"/>
      <c r="CW12" s="348"/>
      <c r="CX12" s="348"/>
      <c r="CY12" s="348"/>
      <c r="CZ12" s="348"/>
      <c r="DA12" s="348"/>
      <c r="DB12" s="348"/>
      <c r="DC12" s="348"/>
      <c r="DD12" s="348"/>
      <c r="DE12" s="348"/>
      <c r="DF12" s="348"/>
      <c r="DG12" s="348"/>
      <c r="DH12" s="348"/>
      <c r="DI12" s="350"/>
      <c r="DJ12" s="350"/>
      <c r="DK12" s="350"/>
      <c r="DL12" s="350"/>
      <c r="DM12" s="350"/>
      <c r="DN12" s="350"/>
      <c r="DO12" s="350"/>
      <c r="DP12" s="350"/>
      <c r="DQ12" s="350"/>
      <c r="DR12" s="350"/>
    </row>
    <row r="13" spans="1:122" ht="29.25" customHeight="1">
      <c r="A13" s="348"/>
      <c r="B13" s="349"/>
      <c r="C13" s="363"/>
      <c r="D13" s="349"/>
      <c r="E13" s="349"/>
      <c r="F13" s="349"/>
      <c r="G13" s="349"/>
      <c r="H13" s="364"/>
      <c r="I13" s="364"/>
      <c r="J13" s="1061" t="s">
        <v>727</v>
      </c>
      <c r="K13" s="1061"/>
      <c r="L13" s="1061"/>
      <c r="M13" s="1061"/>
      <c r="N13" s="602"/>
      <c r="O13" s="602"/>
      <c r="P13" s="1061" t="s">
        <v>774</v>
      </c>
      <c r="Q13" s="1061"/>
      <c r="R13" s="602"/>
      <c r="S13" s="602"/>
      <c r="T13" s="602"/>
      <c r="X13" s="365"/>
      <c r="Y13" s="349"/>
      <c r="Z13" s="348"/>
      <c r="AA13" s="348"/>
      <c r="AB13" s="348"/>
      <c r="AC13" s="348"/>
      <c r="AD13" s="348"/>
      <c r="AE13" s="348"/>
      <c r="AF13" s="348"/>
      <c r="AG13" s="348"/>
      <c r="AH13" s="357"/>
      <c r="AI13" s="357"/>
      <c r="AJ13" s="357"/>
      <c r="AK13" s="357"/>
      <c r="AL13" s="357"/>
      <c r="AM13" s="357"/>
      <c r="AN13" s="362"/>
      <c r="AO13" s="357"/>
      <c r="AP13" s="348"/>
      <c r="AQ13" s="357"/>
      <c r="AR13" s="357"/>
      <c r="AS13" s="357"/>
      <c r="AT13" s="357"/>
      <c r="AU13" s="357"/>
      <c r="AV13" s="357"/>
      <c r="AW13" s="357"/>
      <c r="AX13" s="357"/>
      <c r="AY13" s="357"/>
      <c r="AZ13" s="357"/>
      <c r="BA13" s="357"/>
      <c r="BB13" s="357"/>
      <c r="BC13" s="357"/>
      <c r="BD13" s="357"/>
      <c r="BE13" s="357"/>
      <c r="BF13" s="357"/>
      <c r="BG13" s="357"/>
      <c r="BH13" s="357"/>
      <c r="BI13" s="357"/>
      <c r="BJ13" s="357"/>
      <c r="BK13" s="357"/>
      <c r="BL13" s="357"/>
      <c r="BM13" s="357"/>
      <c r="BN13" s="357"/>
      <c r="BO13" s="357"/>
      <c r="BP13" s="357"/>
      <c r="BQ13" s="348"/>
      <c r="BR13" s="348"/>
      <c r="BS13" s="348"/>
      <c r="BT13" s="348"/>
      <c r="BU13" s="348"/>
      <c r="BV13" s="348"/>
      <c r="BW13" s="348"/>
      <c r="BX13" s="348"/>
      <c r="BY13" s="348"/>
      <c r="BZ13" s="348"/>
      <c r="CA13" s="348"/>
      <c r="CB13" s="348"/>
      <c r="CC13" s="348"/>
      <c r="CD13" s="348"/>
      <c r="CE13" s="348"/>
      <c r="CF13" s="348"/>
      <c r="CG13" s="348"/>
      <c r="CH13" s="348"/>
      <c r="CI13" s="348"/>
      <c r="CJ13" s="348"/>
      <c r="CK13" s="348"/>
      <c r="CL13" s="348"/>
      <c r="CM13" s="348"/>
      <c r="CN13" s="348"/>
      <c r="CO13" s="348"/>
      <c r="CP13" s="348"/>
      <c r="CQ13" s="348"/>
      <c r="CR13" s="348"/>
      <c r="CS13" s="348"/>
      <c r="CT13" s="348"/>
      <c r="CU13" s="348"/>
      <c r="CV13" s="348"/>
      <c r="CW13" s="348"/>
      <c r="CX13" s="348"/>
      <c r="CY13" s="348"/>
      <c r="CZ13" s="348"/>
      <c r="DA13" s="348"/>
      <c r="DB13" s="348"/>
      <c r="DC13" s="348"/>
      <c r="DD13" s="348"/>
      <c r="DE13" s="348"/>
      <c r="DF13" s="348"/>
      <c r="DG13" s="348"/>
      <c r="DH13" s="348"/>
      <c r="DI13" s="350"/>
      <c r="DJ13" s="350"/>
      <c r="DK13" s="350"/>
      <c r="DL13" s="350"/>
      <c r="DM13" s="350"/>
      <c r="DN13" s="350"/>
      <c r="DO13" s="350"/>
      <c r="DP13" s="350"/>
      <c r="DQ13" s="350"/>
      <c r="DR13" s="350"/>
    </row>
    <row r="14" spans="1:122" ht="16.5" customHeight="1">
      <c r="A14" s="348"/>
      <c r="B14" s="349"/>
      <c r="C14" s="366"/>
      <c r="D14" s="367"/>
      <c r="E14" s="367"/>
      <c r="F14" s="367"/>
      <c r="G14" s="367"/>
      <c r="H14" s="367" t="s">
        <v>716</v>
      </c>
      <c r="I14" s="367"/>
      <c r="J14" s="367"/>
      <c r="K14" s="367"/>
      <c r="L14" s="368">
        <v>1</v>
      </c>
      <c r="M14" s="349"/>
      <c r="P14" s="349"/>
      <c r="Q14" s="369">
        <v>1</v>
      </c>
      <c r="R14" s="370"/>
      <c r="S14" s="370"/>
      <c r="T14" s="349"/>
      <c r="X14" s="371"/>
      <c r="Y14" s="349"/>
      <c r="Z14" s="348"/>
      <c r="AA14" s="348"/>
      <c r="AB14" s="348"/>
      <c r="AC14" s="348"/>
      <c r="AD14" s="348"/>
      <c r="AE14" s="348"/>
      <c r="AF14" s="348"/>
      <c r="AG14" s="348"/>
      <c r="AH14" s="357"/>
      <c r="AI14" s="357"/>
      <c r="AJ14" s="357"/>
      <c r="AK14" s="357"/>
      <c r="AL14" s="357"/>
      <c r="AM14" s="357"/>
      <c r="AN14" s="362"/>
      <c r="AO14" s="357"/>
      <c r="AP14" s="357"/>
      <c r="AQ14" s="357"/>
      <c r="AR14" s="357"/>
      <c r="AS14" s="357"/>
      <c r="AT14" s="357"/>
      <c r="AU14" s="357"/>
      <c r="AV14" s="357"/>
      <c r="AW14" s="357"/>
      <c r="AX14" s="357"/>
      <c r="AY14" s="357"/>
      <c r="AZ14" s="357"/>
      <c r="BA14" s="357"/>
      <c r="BB14" s="357"/>
      <c r="BC14" s="357"/>
      <c r="BD14" s="357"/>
      <c r="BE14" s="357"/>
      <c r="BF14" s="357"/>
      <c r="BG14" s="357"/>
      <c r="BH14" s="357"/>
      <c r="BI14" s="357"/>
      <c r="BJ14" s="357"/>
      <c r="BK14" s="357"/>
      <c r="BL14" s="357"/>
      <c r="BM14" s="357"/>
      <c r="BN14" s="357"/>
      <c r="BO14" s="357"/>
      <c r="BP14" s="357"/>
      <c r="BQ14" s="348"/>
      <c r="BR14" s="348"/>
      <c r="BS14" s="348"/>
      <c r="BT14" s="348"/>
      <c r="BU14" s="348"/>
      <c r="BV14" s="348"/>
      <c r="BW14" s="348"/>
      <c r="BX14" s="348"/>
      <c r="BY14" s="348"/>
      <c r="BZ14" s="348"/>
      <c r="CA14" s="348"/>
      <c r="CB14" s="348"/>
      <c r="CC14" s="348"/>
      <c r="CD14" s="348"/>
      <c r="CE14" s="348"/>
      <c r="CF14" s="348"/>
      <c r="CG14" s="348"/>
      <c r="CH14" s="348"/>
      <c r="CI14" s="348"/>
      <c r="CJ14" s="348"/>
      <c r="CK14" s="348"/>
      <c r="CL14" s="348"/>
      <c r="CM14" s="348"/>
      <c r="CN14" s="348"/>
      <c r="CO14" s="348"/>
      <c r="CP14" s="348"/>
      <c r="CQ14" s="348"/>
      <c r="CR14" s="348"/>
      <c r="CS14" s="348"/>
      <c r="CT14" s="348"/>
      <c r="CU14" s="348"/>
      <c r="CV14" s="348"/>
      <c r="CW14" s="348"/>
      <c r="CX14" s="348"/>
      <c r="CY14" s="348"/>
      <c r="CZ14" s="348"/>
      <c r="DA14" s="348"/>
      <c r="DB14" s="348"/>
      <c r="DC14" s="348"/>
      <c r="DD14" s="348"/>
      <c r="DE14" s="348"/>
      <c r="DF14" s="348"/>
      <c r="DG14" s="348"/>
      <c r="DH14" s="348"/>
      <c r="DI14" s="350"/>
      <c r="DJ14" s="350"/>
      <c r="DK14" s="350"/>
      <c r="DL14" s="350"/>
      <c r="DM14" s="350"/>
      <c r="DN14" s="350"/>
      <c r="DO14" s="350"/>
      <c r="DP14" s="350"/>
      <c r="DQ14" s="350"/>
      <c r="DR14" s="350"/>
    </row>
    <row r="15" spans="1:122" ht="13.5" customHeight="1">
      <c r="A15" s="348"/>
      <c r="B15" s="349"/>
      <c r="C15" s="366"/>
      <c r="D15" s="367"/>
      <c r="E15" s="367"/>
      <c r="F15" s="367"/>
      <c r="G15" s="367"/>
      <c r="H15" s="367" t="s">
        <v>717</v>
      </c>
      <c r="I15" s="367"/>
      <c r="J15" s="367"/>
      <c r="K15" s="367"/>
      <c r="L15" s="368">
        <v>1</v>
      </c>
      <c r="M15" s="349"/>
      <c r="P15" s="349"/>
      <c r="Q15" s="369">
        <v>4</v>
      </c>
      <c r="R15" s="370"/>
      <c r="S15" s="370"/>
      <c r="T15" s="349"/>
      <c r="X15" s="371"/>
      <c r="Y15" s="349"/>
      <c r="Z15" s="348"/>
      <c r="AA15" s="348"/>
      <c r="AB15" s="348"/>
      <c r="AC15" s="348"/>
      <c r="AD15" s="348"/>
      <c r="AE15" s="348"/>
      <c r="AF15" s="348"/>
      <c r="AG15" s="348"/>
      <c r="AH15" s="357"/>
      <c r="AI15" s="357"/>
      <c r="AJ15" s="357"/>
      <c r="AK15" s="357"/>
      <c r="AL15" s="357"/>
      <c r="AM15" s="357"/>
      <c r="AN15" s="362"/>
      <c r="AO15" s="357"/>
      <c r="AP15" s="357"/>
      <c r="AQ15" s="358"/>
      <c r="AR15" s="357"/>
      <c r="AS15" s="357"/>
      <c r="AT15" s="357"/>
      <c r="AU15" s="357"/>
      <c r="AV15" s="357"/>
      <c r="AW15" s="357"/>
      <c r="AX15" s="357"/>
      <c r="AY15" s="357"/>
      <c r="AZ15" s="357"/>
      <c r="BA15" s="357"/>
      <c r="BB15" s="357"/>
      <c r="BC15" s="357"/>
      <c r="BD15" s="357"/>
      <c r="BE15" s="357"/>
      <c r="BF15" s="357"/>
      <c r="BG15" s="357"/>
      <c r="BH15" s="357"/>
      <c r="BI15" s="357"/>
      <c r="BJ15" s="357"/>
      <c r="BK15" s="357"/>
      <c r="BL15" s="357"/>
      <c r="BM15" s="357"/>
      <c r="BN15" s="357"/>
      <c r="BO15" s="357"/>
      <c r="BP15" s="357"/>
      <c r="BQ15" s="348"/>
      <c r="BR15" s="348"/>
      <c r="BS15" s="348"/>
      <c r="BT15" s="348"/>
      <c r="BU15" s="348"/>
      <c r="BV15" s="348"/>
      <c r="BW15" s="348"/>
      <c r="BX15" s="348"/>
      <c r="BY15" s="348"/>
      <c r="BZ15" s="348"/>
      <c r="CA15" s="348"/>
      <c r="CB15" s="348"/>
      <c r="CC15" s="348"/>
      <c r="CD15" s="348"/>
      <c r="CE15" s="348"/>
      <c r="CF15" s="348"/>
      <c r="CG15" s="348"/>
      <c r="CH15" s="348"/>
      <c r="CI15" s="348"/>
      <c r="CJ15" s="348"/>
      <c r="CK15" s="348"/>
      <c r="CL15" s="348"/>
      <c r="CM15" s="348"/>
      <c r="CN15" s="348"/>
      <c r="CO15" s="348"/>
      <c r="CP15" s="348"/>
      <c r="CQ15" s="348"/>
      <c r="CR15" s="348"/>
      <c r="CS15" s="348"/>
      <c r="CT15" s="348"/>
      <c r="CU15" s="348"/>
      <c r="CV15" s="348"/>
      <c r="CW15" s="348"/>
      <c r="CX15" s="348"/>
      <c r="CY15" s="348"/>
      <c r="CZ15" s="348"/>
      <c r="DA15" s="348"/>
      <c r="DB15" s="348"/>
      <c r="DC15" s="348"/>
      <c r="DD15" s="348"/>
      <c r="DE15" s="348"/>
      <c r="DF15" s="348"/>
      <c r="DG15" s="348"/>
      <c r="DH15" s="348"/>
      <c r="DI15" s="350"/>
      <c r="DJ15" s="350"/>
      <c r="DK15" s="350"/>
      <c r="DL15" s="350"/>
      <c r="DM15" s="350"/>
      <c r="DN15" s="350"/>
      <c r="DO15" s="350"/>
      <c r="DP15" s="350"/>
      <c r="DQ15" s="350"/>
      <c r="DR15" s="350"/>
    </row>
    <row r="16" spans="1:122" ht="13.5" customHeight="1">
      <c r="A16" s="348"/>
      <c r="B16" s="349"/>
      <c r="C16" s="366"/>
      <c r="D16" s="367"/>
      <c r="E16" s="367"/>
      <c r="F16" s="367"/>
      <c r="G16" s="367"/>
      <c r="H16" s="367" t="s">
        <v>651</v>
      </c>
      <c r="I16" s="367"/>
      <c r="J16" s="367"/>
      <c r="K16" s="367"/>
      <c r="L16" s="368">
        <v>6</v>
      </c>
      <c r="M16" s="349"/>
      <c r="P16" s="349"/>
      <c r="Q16" s="369">
        <v>1</v>
      </c>
      <c r="R16" s="370"/>
      <c r="S16" s="370"/>
      <c r="T16" s="349"/>
      <c r="X16" s="371"/>
      <c r="Y16" s="349"/>
      <c r="Z16" s="348"/>
      <c r="AA16" s="348"/>
      <c r="AB16" s="348"/>
      <c r="AC16" s="348"/>
      <c r="AD16" s="348"/>
      <c r="AE16" s="348"/>
      <c r="AF16" s="348"/>
      <c r="AG16" s="348"/>
      <c r="AH16" s="357"/>
      <c r="AI16" s="357"/>
      <c r="AJ16" s="357"/>
      <c r="AK16" s="357"/>
      <c r="AL16" s="357"/>
      <c r="AM16" s="357"/>
      <c r="AN16" s="357"/>
      <c r="AO16" s="357"/>
      <c r="AP16" s="357"/>
      <c r="AQ16" s="357"/>
      <c r="AR16" s="357"/>
      <c r="AS16" s="357"/>
      <c r="AT16" s="357"/>
      <c r="AU16" s="357"/>
      <c r="AV16" s="357"/>
      <c r="AW16" s="357"/>
      <c r="AX16" s="357"/>
      <c r="AY16" s="357"/>
      <c r="AZ16" s="357"/>
      <c r="BA16" s="357"/>
      <c r="BB16" s="357"/>
      <c r="BC16" s="357"/>
      <c r="BD16" s="357"/>
      <c r="BE16" s="357"/>
      <c r="BF16" s="357"/>
      <c r="BG16" s="357"/>
      <c r="BH16" s="357"/>
      <c r="BI16" s="357"/>
      <c r="BJ16" s="357"/>
      <c r="BK16" s="357"/>
      <c r="BL16" s="357"/>
      <c r="BM16" s="357"/>
      <c r="BN16" s="357"/>
      <c r="BO16" s="357"/>
      <c r="BP16" s="357"/>
      <c r="BQ16" s="348"/>
      <c r="BR16" s="348"/>
      <c r="BS16" s="348"/>
      <c r="BT16" s="348"/>
      <c r="BU16" s="348"/>
      <c r="BV16" s="348"/>
      <c r="BW16" s="348"/>
      <c r="BX16" s="348"/>
      <c r="BY16" s="348"/>
      <c r="BZ16" s="348"/>
      <c r="CA16" s="348"/>
      <c r="CB16" s="348"/>
      <c r="CC16" s="348"/>
      <c r="CD16" s="348"/>
      <c r="CE16" s="348"/>
      <c r="CF16" s="348"/>
      <c r="CG16" s="348"/>
      <c r="CH16" s="348"/>
      <c r="CI16" s="348"/>
      <c r="CJ16" s="348"/>
      <c r="CK16" s="348"/>
      <c r="CL16" s="348"/>
      <c r="CM16" s="348"/>
      <c r="CN16" s="348"/>
      <c r="CO16" s="348"/>
      <c r="CP16" s="348"/>
      <c r="CQ16" s="348"/>
      <c r="CR16" s="348"/>
      <c r="CS16" s="348"/>
      <c r="CT16" s="348"/>
      <c r="CU16" s="348"/>
      <c r="CV16" s="348"/>
      <c r="CW16" s="348"/>
      <c r="CX16" s="348"/>
      <c r="CY16" s="348"/>
      <c r="CZ16" s="348"/>
      <c r="DA16" s="348"/>
      <c r="DB16" s="348"/>
      <c r="DC16" s="348"/>
      <c r="DD16" s="348"/>
      <c r="DE16" s="348"/>
      <c r="DF16" s="348"/>
      <c r="DG16" s="348"/>
      <c r="DH16" s="348"/>
      <c r="DI16" s="350"/>
      <c r="DJ16" s="350"/>
      <c r="DK16" s="350"/>
      <c r="DL16" s="350"/>
      <c r="DM16" s="350"/>
      <c r="DN16" s="350"/>
      <c r="DO16" s="350"/>
      <c r="DP16" s="350"/>
      <c r="DQ16" s="350"/>
      <c r="DR16" s="350"/>
    </row>
    <row r="17" spans="1:122" ht="13.5" customHeight="1">
      <c r="A17" s="348"/>
      <c r="B17" s="349"/>
      <c r="C17" s="366"/>
      <c r="D17" s="367"/>
      <c r="E17" s="367"/>
      <c r="F17" s="367"/>
      <c r="G17" s="367"/>
      <c r="H17" s="367"/>
      <c r="I17" s="367"/>
      <c r="J17" s="367"/>
      <c r="K17" s="367"/>
      <c r="L17" s="349"/>
      <c r="M17" s="349"/>
      <c r="U17" s="371"/>
      <c r="V17" s="371"/>
      <c r="W17" s="371"/>
      <c r="X17" s="371"/>
      <c r="Y17" s="349"/>
      <c r="Z17" s="348"/>
      <c r="AA17" s="348"/>
      <c r="AB17" s="348"/>
      <c r="AC17" s="348"/>
      <c r="AD17" s="348"/>
      <c r="AE17" s="348"/>
      <c r="AF17" s="348"/>
      <c r="AG17" s="348"/>
      <c r="AH17" s="357"/>
      <c r="AI17" s="357"/>
      <c r="AJ17" s="357"/>
      <c r="AK17" s="357"/>
      <c r="AL17" s="357"/>
      <c r="AM17" s="357"/>
      <c r="AN17" s="357"/>
      <c r="AO17" s="357"/>
      <c r="AP17" s="357"/>
      <c r="AQ17" s="357"/>
      <c r="AR17" s="357"/>
      <c r="AS17" s="357"/>
      <c r="AT17" s="357"/>
      <c r="AU17" s="357"/>
      <c r="AV17" s="357"/>
      <c r="AW17" s="357"/>
      <c r="AX17" s="357"/>
      <c r="AY17" s="357"/>
      <c r="AZ17" s="357"/>
      <c r="BA17" s="357"/>
      <c r="BB17" s="357"/>
      <c r="BC17" s="357"/>
      <c r="BD17" s="357"/>
      <c r="BE17" s="357"/>
      <c r="BF17" s="357"/>
      <c r="BG17" s="357"/>
      <c r="BH17" s="357"/>
      <c r="BI17" s="357"/>
      <c r="BJ17" s="357"/>
      <c r="BK17" s="357"/>
      <c r="BL17" s="357"/>
      <c r="BM17" s="357"/>
      <c r="BN17" s="357"/>
      <c r="BO17" s="357"/>
      <c r="BP17" s="357"/>
      <c r="BQ17" s="348"/>
      <c r="BR17" s="348"/>
      <c r="BS17" s="348"/>
      <c r="BT17" s="348"/>
      <c r="BU17" s="348"/>
      <c r="BV17" s="348"/>
      <c r="BW17" s="348"/>
      <c r="BX17" s="348"/>
      <c r="BY17" s="348"/>
      <c r="BZ17" s="348"/>
      <c r="CA17" s="348"/>
      <c r="CB17" s="348"/>
      <c r="CC17" s="348"/>
      <c r="CD17" s="348"/>
      <c r="CE17" s="348"/>
      <c r="CF17" s="348"/>
      <c r="CG17" s="348"/>
      <c r="CH17" s="348"/>
      <c r="CI17" s="348"/>
      <c r="CJ17" s="348"/>
      <c r="CK17" s="348"/>
      <c r="CL17" s="348"/>
      <c r="CM17" s="348"/>
      <c r="CN17" s="348"/>
      <c r="CO17" s="348"/>
      <c r="CP17" s="348"/>
      <c r="CQ17" s="348"/>
      <c r="CR17" s="348"/>
      <c r="CS17" s="348"/>
      <c r="CT17" s="348"/>
      <c r="CU17" s="348"/>
      <c r="CV17" s="348"/>
      <c r="CW17" s="348"/>
      <c r="CX17" s="348"/>
      <c r="CY17" s="348"/>
      <c r="CZ17" s="348"/>
      <c r="DA17" s="348"/>
      <c r="DB17" s="348"/>
      <c r="DC17" s="348"/>
      <c r="DD17" s="348"/>
      <c r="DE17" s="348"/>
      <c r="DF17" s="348"/>
      <c r="DG17" s="348"/>
      <c r="DH17" s="348"/>
      <c r="DI17" s="350"/>
      <c r="DJ17" s="350"/>
      <c r="DK17" s="350"/>
      <c r="DL17" s="350"/>
      <c r="DM17" s="350"/>
      <c r="DN17" s="350"/>
      <c r="DO17" s="350"/>
      <c r="DP17" s="350"/>
      <c r="DQ17" s="350"/>
      <c r="DR17" s="350"/>
    </row>
    <row r="18" spans="1:122" ht="13.5" customHeight="1">
      <c r="A18" s="348"/>
      <c r="B18" s="349"/>
      <c r="C18" s="366"/>
      <c r="D18" s="367"/>
      <c r="E18" s="367"/>
      <c r="F18" s="367"/>
      <c r="G18" s="367"/>
      <c r="H18" s="367" t="s">
        <v>632</v>
      </c>
      <c r="I18" s="367"/>
      <c r="J18" s="1139"/>
      <c r="K18" s="1140"/>
      <c r="L18" s="1141"/>
      <c r="M18" s="372" t="s">
        <v>723</v>
      </c>
      <c r="N18" s="372"/>
      <c r="P18" s="723"/>
      <c r="Q18" s="373" t="s">
        <v>1061</v>
      </c>
      <c r="V18" s="371"/>
      <c r="W18" s="371"/>
      <c r="X18" s="371"/>
      <c r="Y18" s="349"/>
      <c r="Z18" s="348"/>
      <c r="AA18" s="348"/>
      <c r="AB18" s="348"/>
      <c r="AC18" s="348"/>
      <c r="AD18" s="348"/>
      <c r="AE18" s="348"/>
      <c r="AF18" s="348"/>
      <c r="AG18" s="348"/>
      <c r="AH18" s="357"/>
      <c r="AI18" s="357"/>
      <c r="AJ18" s="357"/>
      <c r="AK18" s="357"/>
      <c r="AL18" s="357"/>
      <c r="AM18" s="357"/>
      <c r="AN18" s="357"/>
      <c r="AO18" s="357"/>
      <c r="AP18" s="357"/>
      <c r="AQ18" s="357"/>
      <c r="AR18" s="357"/>
      <c r="AS18" s="357"/>
      <c r="AT18" s="357"/>
      <c r="AU18" s="357"/>
      <c r="AV18" s="357"/>
      <c r="AW18" s="357"/>
      <c r="AX18" s="357"/>
      <c r="AY18" s="357"/>
      <c r="AZ18" s="357"/>
      <c r="BA18" s="357"/>
      <c r="BB18" s="357"/>
      <c r="BC18" s="357"/>
      <c r="BD18" s="357"/>
      <c r="BE18" s="357"/>
      <c r="BF18" s="357"/>
      <c r="BG18" s="357"/>
      <c r="BH18" s="357"/>
      <c r="BI18" s="357"/>
      <c r="BJ18" s="357"/>
      <c r="BK18" s="357"/>
      <c r="BL18" s="357"/>
      <c r="BM18" s="357"/>
      <c r="BN18" s="357"/>
      <c r="BO18" s="357"/>
      <c r="BP18" s="357"/>
      <c r="BQ18" s="348"/>
      <c r="BR18" s="348"/>
      <c r="BS18" s="348"/>
      <c r="BT18" s="348"/>
      <c r="BU18" s="348"/>
      <c r="BV18" s="348"/>
      <c r="BW18" s="348"/>
      <c r="BX18" s="348"/>
      <c r="BY18" s="348"/>
      <c r="BZ18" s="348"/>
      <c r="CA18" s="348"/>
      <c r="CB18" s="348"/>
      <c r="CC18" s="348"/>
      <c r="CD18" s="348"/>
      <c r="CE18" s="348"/>
      <c r="CF18" s="348"/>
      <c r="CG18" s="348"/>
      <c r="CH18" s="348"/>
      <c r="CI18" s="348"/>
      <c r="CJ18" s="348"/>
      <c r="CK18" s="348"/>
      <c r="CL18" s="348"/>
      <c r="CM18" s="348"/>
      <c r="CN18" s="348"/>
      <c r="CO18" s="348"/>
      <c r="CP18" s="348"/>
      <c r="CQ18" s="348"/>
      <c r="CR18" s="348"/>
      <c r="CS18" s="348"/>
      <c r="CT18" s="348"/>
      <c r="CU18" s="348"/>
      <c r="CV18" s="348"/>
      <c r="CW18" s="348"/>
      <c r="CX18" s="348"/>
      <c r="CY18" s="348"/>
      <c r="CZ18" s="348"/>
      <c r="DA18" s="348"/>
      <c r="DB18" s="348"/>
      <c r="DC18" s="348"/>
      <c r="DD18" s="348"/>
      <c r="DE18" s="348"/>
      <c r="DF18" s="348"/>
      <c r="DG18" s="348"/>
      <c r="DH18" s="348"/>
      <c r="DI18" s="350"/>
      <c r="DJ18" s="350"/>
      <c r="DK18" s="350"/>
      <c r="DL18" s="350"/>
      <c r="DM18" s="350"/>
      <c r="DN18" s="350"/>
      <c r="DO18" s="350"/>
      <c r="DP18" s="350"/>
      <c r="DQ18" s="350"/>
      <c r="DR18" s="350"/>
    </row>
    <row r="19" spans="1:122" ht="13.5" customHeight="1">
      <c r="A19" s="348"/>
      <c r="B19" s="349"/>
      <c r="C19" s="366"/>
      <c r="D19" s="367"/>
      <c r="E19" s="367"/>
      <c r="F19" s="367"/>
      <c r="G19" s="367"/>
      <c r="H19" s="367" t="s">
        <v>722</v>
      </c>
      <c r="I19" s="367"/>
      <c r="J19" s="1139"/>
      <c r="K19" s="1140"/>
      <c r="L19" s="1141"/>
      <c r="M19" s="366" t="s">
        <v>775</v>
      </c>
      <c r="N19" s="366"/>
      <c r="P19" s="723"/>
      <c r="Q19" s="375" t="s">
        <v>1062</v>
      </c>
      <c r="V19" s="371"/>
      <c r="W19" s="371"/>
      <c r="X19" s="371"/>
      <c r="Y19" s="349"/>
      <c r="Z19" s="348"/>
      <c r="AA19" s="348"/>
      <c r="AB19" s="348"/>
      <c r="AC19" s="348"/>
      <c r="AD19" s="348"/>
      <c r="AE19" s="348"/>
      <c r="AF19" s="348"/>
      <c r="AG19" s="348"/>
      <c r="AH19" s="357"/>
      <c r="AI19" s="357"/>
      <c r="AJ19" s="357"/>
      <c r="AK19" s="357"/>
      <c r="AL19" s="357"/>
      <c r="AM19" s="357"/>
      <c r="AN19" s="357"/>
      <c r="AO19" s="357"/>
      <c r="AP19" s="357"/>
      <c r="AQ19" s="357"/>
      <c r="AR19" s="357"/>
      <c r="AS19" s="357"/>
      <c r="AT19" s="357"/>
      <c r="AU19" s="357"/>
      <c r="AV19" s="357"/>
      <c r="AW19" s="357"/>
      <c r="AX19" s="357"/>
      <c r="AY19" s="357"/>
      <c r="AZ19" s="357"/>
      <c r="BA19" s="357"/>
      <c r="BB19" s="357"/>
      <c r="BC19" s="357"/>
      <c r="BD19" s="357"/>
      <c r="BE19" s="357"/>
      <c r="BF19" s="357"/>
      <c r="BG19" s="357"/>
      <c r="BH19" s="357"/>
      <c r="BI19" s="357"/>
      <c r="BJ19" s="357"/>
      <c r="BK19" s="357"/>
      <c r="BL19" s="357"/>
      <c r="BM19" s="357"/>
      <c r="BN19" s="357"/>
      <c r="BO19" s="357"/>
      <c r="BP19" s="357"/>
      <c r="BQ19" s="348"/>
      <c r="BR19" s="348"/>
      <c r="BS19" s="348"/>
      <c r="BT19" s="348"/>
      <c r="BU19" s="348"/>
      <c r="BV19" s="348"/>
      <c r="BW19" s="348"/>
      <c r="BX19" s="348"/>
      <c r="BY19" s="348"/>
      <c r="BZ19" s="348"/>
      <c r="CA19" s="348"/>
      <c r="CB19" s="348"/>
      <c r="CC19" s="348"/>
      <c r="CD19" s="348"/>
      <c r="CE19" s="348"/>
      <c r="CF19" s="348"/>
      <c r="CG19" s="348"/>
      <c r="CH19" s="348"/>
      <c r="CI19" s="348"/>
      <c r="CJ19" s="348"/>
      <c r="CK19" s="348"/>
      <c r="CL19" s="348"/>
      <c r="CM19" s="348"/>
      <c r="CN19" s="348"/>
      <c r="CO19" s="348"/>
      <c r="CP19" s="348"/>
      <c r="CQ19" s="348"/>
      <c r="CR19" s="348"/>
      <c r="CS19" s="348"/>
      <c r="CT19" s="348"/>
      <c r="CU19" s="348"/>
      <c r="CV19" s="348"/>
      <c r="CW19" s="348"/>
      <c r="CX19" s="348"/>
      <c r="CY19" s="348"/>
      <c r="CZ19" s="348"/>
      <c r="DA19" s="348"/>
      <c r="DB19" s="348"/>
      <c r="DC19" s="348"/>
      <c r="DD19" s="348"/>
      <c r="DE19" s="348"/>
      <c r="DF19" s="348"/>
      <c r="DG19" s="348"/>
      <c r="DH19" s="348"/>
      <c r="DI19" s="350"/>
      <c r="DJ19" s="350"/>
      <c r="DK19" s="350"/>
      <c r="DL19" s="350"/>
      <c r="DM19" s="350"/>
      <c r="DN19" s="350"/>
      <c r="DO19" s="350"/>
      <c r="DP19" s="350"/>
      <c r="DQ19" s="350"/>
      <c r="DR19" s="350"/>
    </row>
    <row r="20" spans="1:122" ht="13.5" customHeight="1">
      <c r="A20" s="348"/>
      <c r="B20" s="349"/>
      <c r="C20" s="366"/>
      <c r="D20" s="367"/>
      <c r="E20" s="367"/>
      <c r="F20" s="367"/>
      <c r="G20" s="367"/>
      <c r="H20" s="367" t="s">
        <v>283</v>
      </c>
      <c r="I20" s="367"/>
      <c r="J20" s="1139"/>
      <c r="K20" s="1140"/>
      <c r="L20" s="1141"/>
      <c r="M20" s="366" t="s">
        <v>279</v>
      </c>
      <c r="N20" s="366"/>
      <c r="P20" s="727"/>
      <c r="Q20" s="375"/>
      <c r="V20" s="371"/>
      <c r="W20" s="371"/>
      <c r="X20" s="371"/>
      <c r="Y20" s="349"/>
      <c r="Z20" s="348"/>
      <c r="AA20" s="348"/>
      <c r="AB20" s="348"/>
      <c r="AC20" s="348"/>
      <c r="AD20" s="348"/>
      <c r="AE20" s="348"/>
      <c r="AF20" s="348"/>
      <c r="AG20" s="348"/>
      <c r="AH20" s="357"/>
      <c r="AI20" s="357"/>
      <c r="AJ20" s="357"/>
      <c r="AK20" s="357"/>
      <c r="AL20" s="357"/>
      <c r="AM20" s="357"/>
      <c r="AN20" s="357"/>
      <c r="AO20" s="357"/>
      <c r="AP20" s="357"/>
      <c r="AQ20" s="357"/>
      <c r="AR20" s="357"/>
      <c r="AS20" s="357"/>
      <c r="AT20" s="357"/>
      <c r="AU20" s="357"/>
      <c r="AV20" s="357"/>
      <c r="AW20" s="357"/>
      <c r="AX20" s="357"/>
      <c r="AY20" s="357"/>
      <c r="AZ20" s="357"/>
      <c r="BA20" s="357"/>
      <c r="BB20" s="357"/>
      <c r="BC20" s="357"/>
      <c r="BD20" s="357"/>
      <c r="BE20" s="357"/>
      <c r="BF20" s="357"/>
      <c r="BG20" s="357"/>
      <c r="BH20" s="357"/>
      <c r="BI20" s="357"/>
      <c r="BJ20" s="357"/>
      <c r="BK20" s="357"/>
      <c r="BL20" s="357"/>
      <c r="BM20" s="357"/>
      <c r="BN20" s="357"/>
      <c r="BO20" s="357"/>
      <c r="BP20" s="357"/>
      <c r="BQ20" s="348"/>
      <c r="BR20" s="348"/>
      <c r="BS20" s="348"/>
      <c r="BT20" s="348"/>
      <c r="BU20" s="348"/>
      <c r="BV20" s="348"/>
      <c r="BW20" s="348"/>
      <c r="BX20" s="348"/>
      <c r="BY20" s="348"/>
      <c r="BZ20" s="348"/>
      <c r="CA20" s="348"/>
      <c r="CB20" s="348"/>
      <c r="CC20" s="348"/>
      <c r="CD20" s="348"/>
      <c r="CE20" s="348"/>
      <c r="CF20" s="348"/>
      <c r="CG20" s="348"/>
      <c r="CH20" s="348"/>
      <c r="CI20" s="348"/>
      <c r="CJ20" s="348"/>
      <c r="CK20" s="348"/>
      <c r="CL20" s="348"/>
      <c r="CM20" s="348"/>
      <c r="CN20" s="348"/>
      <c r="CO20" s="348"/>
      <c r="CP20" s="348"/>
      <c r="CQ20" s="348"/>
      <c r="CR20" s="348"/>
      <c r="CS20" s="348"/>
      <c r="CT20" s="348"/>
      <c r="CU20" s="348"/>
      <c r="CV20" s="348"/>
      <c r="CW20" s="348"/>
      <c r="CX20" s="348"/>
      <c r="CY20" s="348"/>
      <c r="CZ20" s="348"/>
      <c r="DA20" s="348"/>
      <c r="DB20" s="348"/>
      <c r="DC20" s="348"/>
      <c r="DD20" s="348"/>
      <c r="DE20" s="348"/>
      <c r="DF20" s="348"/>
      <c r="DG20" s="348"/>
      <c r="DH20" s="348"/>
      <c r="DI20" s="350"/>
      <c r="DJ20" s="350"/>
      <c r="DK20" s="350"/>
      <c r="DL20" s="350"/>
      <c r="DM20" s="350"/>
      <c r="DN20" s="350"/>
      <c r="DO20" s="350"/>
      <c r="DP20" s="350"/>
      <c r="DQ20" s="350"/>
      <c r="DR20" s="350"/>
    </row>
    <row r="21" spans="1:122" ht="13.5" customHeight="1">
      <c r="A21" s="348"/>
      <c r="B21" s="349"/>
      <c r="C21" s="366"/>
      <c r="D21" s="367"/>
      <c r="E21" s="367"/>
      <c r="F21" s="367"/>
      <c r="G21" s="367"/>
      <c r="H21" s="367" t="s">
        <v>358</v>
      </c>
      <c r="I21" s="367"/>
      <c r="J21" s="1143">
        <f>CQ79</f>
        <v>0</v>
      </c>
      <c r="K21" s="1144"/>
      <c r="L21" s="1145"/>
      <c r="M21" s="366" t="s">
        <v>284</v>
      </c>
      <c r="N21" s="366"/>
      <c r="P21" s="763">
        <f>CQ80</f>
        <v>0</v>
      </c>
      <c r="Q21" s="375" t="s">
        <v>284</v>
      </c>
      <c r="V21" s="371"/>
      <c r="W21" s="371"/>
      <c r="X21" s="371"/>
      <c r="Y21" s="349"/>
      <c r="Z21" s="348"/>
      <c r="AA21" s="348"/>
      <c r="AB21" s="348"/>
      <c r="AC21" s="348"/>
      <c r="AD21" s="348"/>
      <c r="AE21" s="348"/>
      <c r="AF21" s="348"/>
      <c r="AG21" s="348"/>
      <c r="AH21" s="357"/>
      <c r="AI21" s="357"/>
      <c r="AJ21" s="357"/>
      <c r="AK21" s="357"/>
      <c r="AL21" s="357"/>
      <c r="AM21" s="357"/>
      <c r="AN21" s="357"/>
      <c r="AO21" s="357"/>
      <c r="AP21" s="357"/>
      <c r="AQ21" s="357"/>
      <c r="AR21" s="357"/>
      <c r="AS21" s="357"/>
      <c r="AT21" s="357"/>
      <c r="AU21" s="357"/>
      <c r="AV21" s="357"/>
      <c r="AW21" s="357"/>
      <c r="AX21" s="357"/>
      <c r="AY21" s="357"/>
      <c r="AZ21" s="357"/>
      <c r="BA21" s="357"/>
      <c r="BB21" s="357"/>
      <c r="BC21" s="357"/>
      <c r="BD21" s="357"/>
      <c r="BE21" s="357"/>
      <c r="BF21" s="357"/>
      <c r="BG21" s="357"/>
      <c r="BH21" s="357"/>
      <c r="BI21" s="357"/>
      <c r="BJ21" s="357"/>
      <c r="BK21" s="357"/>
      <c r="BL21" s="357"/>
      <c r="BM21" s="357"/>
      <c r="BN21" s="357"/>
      <c r="BO21" s="357"/>
      <c r="BP21" s="357"/>
      <c r="BQ21" s="348"/>
      <c r="BR21" s="348"/>
      <c r="BS21" s="348"/>
      <c r="BT21" s="348"/>
      <c r="BU21" s="348"/>
      <c r="BV21" s="348"/>
      <c r="BW21" s="348"/>
      <c r="BX21" s="348"/>
      <c r="BY21" s="348"/>
      <c r="BZ21" s="348"/>
      <c r="CA21" s="348"/>
      <c r="CB21" s="348"/>
      <c r="CC21" s="348"/>
      <c r="CD21" s="348"/>
      <c r="CE21" s="348"/>
      <c r="CF21" s="348"/>
      <c r="CG21" s="348"/>
      <c r="CH21" s="348"/>
      <c r="CI21" s="348"/>
      <c r="CJ21" s="348"/>
      <c r="CK21" s="348"/>
      <c r="CL21" s="348"/>
      <c r="CM21" s="348"/>
      <c r="CN21" s="348"/>
      <c r="CO21" s="348"/>
      <c r="CP21" s="348"/>
      <c r="CQ21" s="348"/>
      <c r="CR21" s="348"/>
      <c r="CS21" s="348"/>
      <c r="CT21" s="348"/>
      <c r="CU21" s="348"/>
      <c r="CV21" s="348"/>
      <c r="CW21" s="348"/>
      <c r="CX21" s="348"/>
      <c r="CY21" s="348"/>
      <c r="CZ21" s="348"/>
      <c r="DA21" s="348"/>
      <c r="DB21" s="348"/>
      <c r="DC21" s="348"/>
      <c r="DD21" s="348"/>
      <c r="DE21" s="348"/>
      <c r="DF21" s="348"/>
      <c r="DG21" s="348"/>
      <c r="DH21" s="348"/>
      <c r="DI21" s="350"/>
      <c r="DJ21" s="350"/>
      <c r="DK21" s="350"/>
      <c r="DL21" s="350"/>
      <c r="DM21" s="350"/>
      <c r="DN21" s="350"/>
      <c r="DO21" s="350"/>
      <c r="DP21" s="350"/>
      <c r="DQ21" s="350"/>
      <c r="DR21" s="350"/>
    </row>
    <row r="22" spans="1:122" ht="13.5" customHeight="1">
      <c r="A22" s="348"/>
      <c r="B22" s="349"/>
      <c r="C22" s="366"/>
      <c r="D22" s="367"/>
      <c r="E22" s="367"/>
      <c r="F22" s="367"/>
      <c r="G22" s="367"/>
      <c r="H22" s="367" t="s">
        <v>857</v>
      </c>
      <c r="I22" s="367"/>
      <c r="J22" s="1122"/>
      <c r="K22" s="1123"/>
      <c r="L22" s="1124"/>
      <c r="M22" s="366" t="s">
        <v>848</v>
      </c>
      <c r="N22" s="366"/>
      <c r="P22" s="376"/>
      <c r="Q22" s="375" t="s">
        <v>1063</v>
      </c>
      <c r="V22" s="371"/>
      <c r="W22" s="371"/>
      <c r="X22" s="371"/>
      <c r="Y22" s="349"/>
      <c r="Z22" s="348"/>
      <c r="AA22" s="348"/>
      <c r="AB22" s="348"/>
      <c r="AC22" s="348"/>
      <c r="AD22" s="348"/>
      <c r="AE22" s="348"/>
      <c r="AF22" s="348"/>
      <c r="AG22" s="348"/>
      <c r="AH22" s="357"/>
      <c r="AI22" s="357"/>
      <c r="AJ22" s="357"/>
      <c r="AK22" s="357"/>
      <c r="AL22" s="348"/>
      <c r="AM22" s="348"/>
      <c r="AN22" s="348"/>
      <c r="AO22" s="348"/>
      <c r="AP22" s="348"/>
      <c r="AQ22" s="348"/>
      <c r="AR22" s="357"/>
      <c r="AS22" s="357"/>
      <c r="AT22" s="357"/>
      <c r="AU22" s="357"/>
      <c r="AV22" s="357"/>
      <c r="AW22" s="357"/>
      <c r="AX22" s="357"/>
      <c r="AY22" s="357"/>
      <c r="AZ22" s="357"/>
      <c r="BA22" s="357"/>
      <c r="BB22" s="357"/>
      <c r="BC22" s="357"/>
      <c r="BD22" s="357"/>
      <c r="BE22" s="357"/>
      <c r="BF22" s="357"/>
      <c r="BG22" s="357"/>
      <c r="BH22" s="357"/>
      <c r="BI22" s="357"/>
      <c r="BJ22" s="357"/>
      <c r="BK22" s="357"/>
      <c r="BL22" s="357"/>
      <c r="BM22" s="357"/>
      <c r="BN22" s="357"/>
      <c r="BO22" s="357"/>
      <c r="BP22" s="357"/>
      <c r="BQ22" s="348"/>
      <c r="BR22" s="348"/>
      <c r="BS22" s="348"/>
      <c r="BT22" s="348"/>
      <c r="BU22" s="348"/>
      <c r="BV22" s="348"/>
      <c r="BW22" s="348"/>
      <c r="BX22" s="348"/>
      <c r="BY22" s="348"/>
      <c r="BZ22" s="348"/>
      <c r="CA22" s="348"/>
      <c r="CB22" s="348"/>
      <c r="CC22" s="348"/>
      <c r="CD22" s="348"/>
      <c r="CE22" s="348"/>
      <c r="CF22" s="348"/>
      <c r="CG22" s="348"/>
      <c r="CH22" s="348"/>
      <c r="CI22" s="348"/>
      <c r="CJ22" s="348"/>
      <c r="CK22" s="348"/>
      <c r="CL22" s="348"/>
      <c r="CM22" s="348"/>
      <c r="CN22" s="348"/>
      <c r="CO22" s="348"/>
      <c r="CP22" s="348"/>
      <c r="CQ22" s="348"/>
      <c r="CR22" s="348"/>
      <c r="CS22" s="348"/>
      <c r="CT22" s="348"/>
      <c r="CU22" s="348"/>
      <c r="CV22" s="348"/>
      <c r="CW22" s="348"/>
      <c r="CX22" s="348"/>
      <c r="CY22" s="348"/>
      <c r="CZ22" s="348"/>
      <c r="DA22" s="348"/>
      <c r="DB22" s="348"/>
      <c r="DC22" s="348"/>
      <c r="DD22" s="348"/>
      <c r="DE22" s="348"/>
      <c r="DF22" s="348"/>
      <c r="DG22" s="348"/>
      <c r="DH22" s="348"/>
      <c r="DI22" s="350"/>
      <c r="DJ22" s="350"/>
      <c r="DK22" s="350"/>
      <c r="DL22" s="350"/>
      <c r="DM22" s="350"/>
      <c r="DN22" s="350"/>
      <c r="DO22" s="350"/>
      <c r="DP22" s="350"/>
      <c r="DQ22" s="350"/>
      <c r="DR22" s="350"/>
    </row>
    <row r="23" spans="1:122" ht="13.5" customHeight="1">
      <c r="A23" s="348"/>
      <c r="B23" s="349"/>
      <c r="C23" s="366"/>
      <c r="D23" s="367"/>
      <c r="E23" s="367"/>
      <c r="F23" s="367"/>
      <c r="G23" s="367"/>
      <c r="H23" s="367" t="s">
        <v>721</v>
      </c>
      <c r="I23" s="367"/>
      <c r="J23" s="1128">
        <f>_xlfn.IFERROR(IF(ISTEXT(CD103),"bhp error",J19/CD103),"")</f>
      </c>
      <c r="K23" s="1129"/>
      <c r="L23" s="1130"/>
      <c r="M23" s="373" t="s">
        <v>955</v>
      </c>
      <c r="N23" s="372"/>
      <c r="P23" s="764">
        <f>_xlfn.IFERROR(IF(ISTEXT(CD104),"bhp error",P19/CD104),"")</f>
      </c>
      <c r="Q23" s="373" t="s">
        <v>956</v>
      </c>
      <c r="V23" s="349"/>
      <c r="W23" s="349"/>
      <c r="X23" s="349"/>
      <c r="Y23" s="349"/>
      <c r="Z23" s="348"/>
      <c r="AA23" s="348"/>
      <c r="AB23" s="348"/>
      <c r="AC23" s="348"/>
      <c r="AD23" s="348"/>
      <c r="AE23" s="348"/>
      <c r="AF23" s="348"/>
      <c r="AG23" s="348"/>
      <c r="AH23" s="357"/>
      <c r="AI23" s="357"/>
      <c r="AJ23" s="357"/>
      <c r="AK23" s="357"/>
      <c r="AL23" s="348"/>
      <c r="AM23" s="348"/>
      <c r="AN23" s="348"/>
      <c r="AO23" s="348"/>
      <c r="AP23" s="348"/>
      <c r="AQ23" s="348"/>
      <c r="AR23" s="357"/>
      <c r="AS23" s="357"/>
      <c r="AT23" s="357"/>
      <c r="AU23" s="357"/>
      <c r="AV23" s="357"/>
      <c r="AW23" s="357"/>
      <c r="AX23" s="357"/>
      <c r="AY23" s="357"/>
      <c r="AZ23" s="357"/>
      <c r="BA23" s="357"/>
      <c r="BB23" s="357"/>
      <c r="BC23" s="357"/>
      <c r="BD23" s="357"/>
      <c r="BE23" s="357"/>
      <c r="BF23" s="357"/>
      <c r="BG23" s="357"/>
      <c r="BH23" s="357"/>
      <c r="BI23" s="357"/>
      <c r="BJ23" s="357"/>
      <c r="BK23" s="357"/>
      <c r="BL23" s="357"/>
      <c r="BM23" s="357"/>
      <c r="BN23" s="357"/>
      <c r="BO23" s="357"/>
      <c r="BP23" s="357"/>
      <c r="BQ23" s="348"/>
      <c r="BR23" s="348"/>
      <c r="BS23" s="348"/>
      <c r="BT23" s="348"/>
      <c r="BU23" s="348"/>
      <c r="BV23" s="348"/>
      <c r="BW23" s="348"/>
      <c r="BX23" s="348"/>
      <c r="BY23" s="348"/>
      <c r="BZ23" s="348"/>
      <c r="CA23" s="348"/>
      <c r="CB23" s="348"/>
      <c r="CC23" s="348"/>
      <c r="CD23" s="348"/>
      <c r="CE23" s="348"/>
      <c r="CF23" s="348"/>
      <c r="CG23" s="348"/>
      <c r="CH23" s="348"/>
      <c r="CI23" s="348"/>
      <c r="CJ23" s="348"/>
      <c r="CK23" s="348"/>
      <c r="CL23" s="348"/>
      <c r="CM23" s="348"/>
      <c r="CN23" s="348"/>
      <c r="CO23" s="348"/>
      <c r="CP23" s="348"/>
      <c r="CQ23" s="348"/>
      <c r="CR23" s="348"/>
      <c r="CS23" s="348"/>
      <c r="CT23" s="348"/>
      <c r="CU23" s="348"/>
      <c r="CV23" s="348"/>
      <c r="CW23" s="348"/>
      <c r="CX23" s="348"/>
      <c r="CY23" s="348"/>
      <c r="CZ23" s="348"/>
      <c r="DA23" s="348"/>
      <c r="DB23" s="348"/>
      <c r="DC23" s="348"/>
      <c r="DD23" s="348"/>
      <c r="DE23" s="348"/>
      <c r="DF23" s="348"/>
      <c r="DG23" s="348"/>
      <c r="DH23" s="348"/>
      <c r="DI23" s="350"/>
      <c r="DJ23" s="350"/>
      <c r="DK23" s="350"/>
      <c r="DL23" s="350"/>
      <c r="DM23" s="350"/>
      <c r="DN23" s="350"/>
      <c r="DO23" s="350"/>
      <c r="DP23" s="350"/>
      <c r="DQ23" s="350"/>
      <c r="DR23" s="350"/>
    </row>
    <row r="24" spans="1:122" ht="13.5" customHeight="1">
      <c r="A24" s="348"/>
      <c r="B24" s="349"/>
      <c r="C24" s="366"/>
      <c r="D24" s="367"/>
      <c r="E24" s="367"/>
      <c r="F24" s="367"/>
      <c r="G24" s="367"/>
      <c r="H24" s="367" t="s">
        <v>720</v>
      </c>
      <c r="I24" s="367"/>
      <c r="J24" s="1131"/>
      <c r="K24" s="1132"/>
      <c r="L24" s="1133"/>
      <c r="M24" s="366" t="s">
        <v>724</v>
      </c>
      <c r="N24" s="366"/>
      <c r="P24" s="722"/>
      <c r="Q24" s="375" t="s">
        <v>1064</v>
      </c>
      <c r="V24" s="349"/>
      <c r="W24" s="349"/>
      <c r="X24" s="349"/>
      <c r="Y24" s="377"/>
      <c r="Z24" s="348"/>
      <c r="AA24" s="348"/>
      <c r="AB24" s="348"/>
      <c r="AC24" s="348"/>
      <c r="AD24" s="348"/>
      <c r="AE24" s="348"/>
      <c r="AF24" s="348"/>
      <c r="AG24" s="348"/>
      <c r="AH24" s="357"/>
      <c r="AI24" s="357"/>
      <c r="AJ24" s="357"/>
      <c r="AK24" s="357"/>
      <c r="AL24" s="348"/>
      <c r="AM24" s="348"/>
      <c r="AN24" s="348"/>
      <c r="AO24" s="348"/>
      <c r="AP24" s="348"/>
      <c r="AQ24" s="348"/>
      <c r="AR24" s="357"/>
      <c r="AS24" s="357"/>
      <c r="AT24" s="357"/>
      <c r="AU24" s="357"/>
      <c r="AV24" s="357"/>
      <c r="AW24" s="357"/>
      <c r="AX24" s="357"/>
      <c r="AY24" s="357"/>
      <c r="AZ24" s="357"/>
      <c r="BA24" s="357"/>
      <c r="BB24" s="357"/>
      <c r="BC24" s="357"/>
      <c r="BD24" s="357"/>
      <c r="BE24" s="357"/>
      <c r="BF24" s="357"/>
      <c r="BG24" s="357"/>
      <c r="BH24" s="357"/>
      <c r="BI24" s="357"/>
      <c r="BJ24" s="357"/>
      <c r="BK24" s="357"/>
      <c r="BL24" s="357"/>
      <c r="BM24" s="357"/>
      <c r="BN24" s="357"/>
      <c r="BO24" s="357"/>
      <c r="BP24" s="357"/>
      <c r="BQ24" s="348"/>
      <c r="BR24" s="348"/>
      <c r="BS24" s="348"/>
      <c r="BT24" s="348"/>
      <c r="BU24" s="348"/>
      <c r="BV24" s="348"/>
      <c r="BW24" s="348"/>
      <c r="BX24" s="348"/>
      <c r="BY24" s="348"/>
      <c r="BZ24" s="348"/>
      <c r="CA24" s="348"/>
      <c r="CB24" s="348"/>
      <c r="CC24" s="348"/>
      <c r="CD24" s="348"/>
      <c r="CE24" s="348"/>
      <c r="CF24" s="348"/>
      <c r="CG24" s="348"/>
      <c r="CH24" s="348"/>
      <c r="CI24" s="348"/>
      <c r="CJ24" s="348"/>
      <c r="CK24" s="348"/>
      <c r="CL24" s="348"/>
      <c r="CM24" s="348"/>
      <c r="CN24" s="348"/>
      <c r="CO24" s="348"/>
      <c r="CP24" s="348"/>
      <c r="CQ24" s="348"/>
      <c r="CR24" s="348"/>
      <c r="CS24" s="348"/>
      <c r="CT24" s="348"/>
      <c r="CU24" s="348"/>
      <c r="CV24" s="348"/>
      <c r="CW24" s="348"/>
      <c r="CX24" s="348"/>
      <c r="CY24" s="348"/>
      <c r="CZ24" s="348"/>
      <c r="DA24" s="348"/>
      <c r="DB24" s="348"/>
      <c r="DC24" s="348"/>
      <c r="DD24" s="348"/>
      <c r="DE24" s="348"/>
      <c r="DF24" s="348"/>
      <c r="DG24" s="348"/>
      <c r="DH24" s="348"/>
      <c r="DI24" s="350"/>
      <c r="DJ24" s="350"/>
      <c r="DK24" s="350"/>
      <c r="DL24" s="350"/>
      <c r="DM24" s="350"/>
      <c r="DN24" s="350"/>
      <c r="DO24" s="350"/>
      <c r="DP24" s="350"/>
      <c r="DQ24" s="350"/>
      <c r="DR24" s="350"/>
    </row>
    <row r="25" spans="1:122" ht="13.5" customHeight="1" thickBot="1">
      <c r="A25" s="348"/>
      <c r="B25" s="349"/>
      <c r="C25" s="366"/>
      <c r="D25" s="367"/>
      <c r="E25" s="367"/>
      <c r="F25" s="367"/>
      <c r="G25" s="367"/>
      <c r="H25" s="367" t="s">
        <v>719</v>
      </c>
      <c r="I25" s="367"/>
      <c r="J25" s="1134"/>
      <c r="K25" s="1135"/>
      <c r="L25" s="1136"/>
      <c r="M25" s="366"/>
      <c r="N25" s="366"/>
      <c r="P25" s="1019"/>
      <c r="Q25" s="375" t="s">
        <v>1065</v>
      </c>
      <c r="V25" s="365"/>
      <c r="W25" s="365"/>
      <c r="X25" s="349"/>
      <c r="Y25" s="349"/>
      <c r="Z25" s="348"/>
      <c r="AA25" s="348"/>
      <c r="AB25" s="348"/>
      <c r="AC25" s="348"/>
      <c r="AD25" s="348"/>
      <c r="AE25" s="348"/>
      <c r="AF25" s="348"/>
      <c r="AG25" s="348"/>
      <c r="AH25" s="357"/>
      <c r="AI25" s="357"/>
      <c r="AJ25" s="357"/>
      <c r="AK25" s="357"/>
      <c r="AL25" s="348"/>
      <c r="AM25" s="348"/>
      <c r="AN25" s="751"/>
      <c r="AO25" s="751"/>
      <c r="AP25" s="348"/>
      <c r="AQ25" s="348"/>
      <c r="AR25" s="357"/>
      <c r="AS25" s="357"/>
      <c r="AT25" s="357"/>
      <c r="AU25" s="357"/>
      <c r="AV25" s="357"/>
      <c r="AW25" s="357"/>
      <c r="AX25" s="357"/>
      <c r="AY25" s="357"/>
      <c r="AZ25" s="357"/>
      <c r="BA25" s="357"/>
      <c r="BB25" s="357"/>
      <c r="BC25" s="357"/>
      <c r="BD25" s="357"/>
      <c r="BE25" s="357"/>
      <c r="BF25" s="357"/>
      <c r="BG25" s="357"/>
      <c r="BH25" s="357"/>
      <c r="BI25" s="357"/>
      <c r="BJ25" s="357"/>
      <c r="BK25" s="357"/>
      <c r="BL25" s="357"/>
      <c r="BM25" s="357"/>
      <c r="BN25" s="357"/>
      <c r="BO25" s="357"/>
      <c r="BP25" s="357"/>
      <c r="BQ25" s="348"/>
      <c r="BR25" s="348"/>
      <c r="BS25" s="348"/>
      <c r="BT25" s="348"/>
      <c r="BU25" s="348"/>
      <c r="BV25" s="348"/>
      <c r="BW25" s="348"/>
      <c r="BX25" s="348"/>
      <c r="BY25" s="348"/>
      <c r="BZ25" s="348"/>
      <c r="CA25" s="348"/>
      <c r="CB25" s="348"/>
      <c r="CC25" s="348"/>
      <c r="CD25" s="348"/>
      <c r="CE25" s="348"/>
      <c r="CF25" s="348"/>
      <c r="CG25" s="348"/>
      <c r="CH25" s="348"/>
      <c r="CI25" s="348"/>
      <c r="CJ25" s="348"/>
      <c r="CK25" s="348"/>
      <c r="CL25" s="348"/>
      <c r="CM25" s="348"/>
      <c r="CN25" s="348"/>
      <c r="CO25" s="348"/>
      <c r="CP25" s="348"/>
      <c r="CQ25" s="348"/>
      <c r="CR25" s="348"/>
      <c r="CS25" s="348"/>
      <c r="CT25" s="348"/>
      <c r="CU25" s="348"/>
      <c r="CV25" s="348"/>
      <c r="CW25" s="348"/>
      <c r="CX25" s="348"/>
      <c r="CY25" s="348"/>
      <c r="CZ25" s="348"/>
      <c r="DA25" s="348"/>
      <c r="DB25" s="348"/>
      <c r="DC25" s="348"/>
      <c r="DD25" s="348"/>
      <c r="DE25" s="348"/>
      <c r="DF25" s="348"/>
      <c r="DG25" s="348"/>
      <c r="DH25" s="348"/>
      <c r="DI25" s="350"/>
      <c r="DJ25" s="350"/>
      <c r="DK25" s="350"/>
      <c r="DL25" s="350"/>
      <c r="DM25" s="350"/>
      <c r="DN25" s="350"/>
      <c r="DO25" s="350"/>
      <c r="DP25" s="350"/>
      <c r="DQ25" s="350"/>
      <c r="DR25" s="350"/>
    </row>
    <row r="26" spans="1:122" ht="15" customHeight="1" thickBot="1">
      <c r="A26" s="348"/>
      <c r="B26" s="349"/>
      <c r="C26" s="366"/>
      <c r="D26" s="367"/>
      <c r="E26" s="367"/>
      <c r="F26" s="367"/>
      <c r="G26" s="367"/>
      <c r="H26" s="367" t="str">
        <f>"Equipment cost"&amp;IF(OR(ShowDryer,InstallFanVFD,FlowReductionEEM)," (including optional measure costs)","")&amp;":"</f>
        <v>Equipment cost:</v>
      </c>
      <c r="I26" s="367"/>
      <c r="J26" s="1073">
        <f>-SUMIF('Explanation of Inputs'!AC52:AE72,"&lt;0")</f>
        <v>0</v>
      </c>
      <c r="K26" s="1074"/>
      <c r="L26" s="1075"/>
      <c r="M26" s="372"/>
      <c r="N26" s="372"/>
      <c r="P26" s="1020">
        <f>SUMIF('Explanation of Inputs'!AC52:AE72,"&gt;0")</f>
        <v>0</v>
      </c>
      <c r="Q26" s="1017"/>
      <c r="R26" s="1017"/>
      <c r="S26" s="1018" t="s">
        <v>1328</v>
      </c>
      <c r="V26" s="365"/>
      <c r="W26" s="365"/>
      <c r="X26" s="349"/>
      <c r="Y26" s="349"/>
      <c r="Z26" s="348"/>
      <c r="AA26" s="348"/>
      <c r="AB26" s="348"/>
      <c r="AC26" s="348"/>
      <c r="AD26" s="348"/>
      <c r="AE26" s="348"/>
      <c r="AF26" s="348"/>
      <c r="AG26" s="348"/>
      <c r="AH26" s="357"/>
      <c r="AI26" s="357"/>
      <c r="AJ26" s="357"/>
      <c r="AK26" s="357"/>
      <c r="AL26" s="348"/>
      <c r="AM26" s="348"/>
      <c r="AN26" s="751"/>
      <c r="AO26" s="751"/>
      <c r="AP26" s="348"/>
      <c r="AQ26" s="348"/>
      <c r="AR26" s="357"/>
      <c r="AS26" s="357"/>
      <c r="AT26" s="357"/>
      <c r="AU26" s="357"/>
      <c r="AV26" s="357"/>
      <c r="AW26" s="357"/>
      <c r="AX26" s="357"/>
      <c r="AY26" s="357"/>
      <c r="AZ26" s="357"/>
      <c r="BA26" s="357"/>
      <c r="BB26" s="357"/>
      <c r="BC26" s="357"/>
      <c r="BD26" s="357"/>
      <c r="BE26" s="357"/>
      <c r="BF26" s="357"/>
      <c r="BG26" s="357"/>
      <c r="BH26" s="357"/>
      <c r="BI26" s="357"/>
      <c r="BJ26" s="357"/>
      <c r="BK26" s="357"/>
      <c r="BL26" s="357"/>
      <c r="BM26" s="357"/>
      <c r="BN26" s="357"/>
      <c r="BO26" s="357"/>
      <c r="BP26" s="357"/>
      <c r="BQ26" s="348"/>
      <c r="BR26" s="348"/>
      <c r="BS26" s="348"/>
      <c r="BT26" s="348"/>
      <c r="BU26" s="348"/>
      <c r="BV26" s="348"/>
      <c r="BW26" s="348"/>
      <c r="BX26" s="348"/>
      <c r="BY26" s="348"/>
      <c r="BZ26" s="348"/>
      <c r="CA26" s="348"/>
      <c r="CB26" s="348"/>
      <c r="CC26" s="348"/>
      <c r="CD26" s="348"/>
      <c r="CE26" s="348"/>
      <c r="CF26" s="348"/>
      <c r="CG26" s="348"/>
      <c r="CH26" s="348"/>
      <c r="CI26" s="348"/>
      <c r="CJ26" s="348"/>
      <c r="CK26" s="348"/>
      <c r="CL26" s="348"/>
      <c r="CM26" s="348"/>
      <c r="CN26" s="348"/>
      <c r="CO26" s="348"/>
      <c r="CP26" s="348"/>
      <c r="CQ26" s="348"/>
      <c r="CR26" s="348"/>
      <c r="CS26" s="348"/>
      <c r="CT26" s="348"/>
      <c r="CU26" s="348"/>
      <c r="CV26" s="348"/>
      <c r="CW26" s="348"/>
      <c r="CX26" s="348"/>
      <c r="CY26" s="348"/>
      <c r="CZ26" s="348"/>
      <c r="DA26" s="348"/>
      <c r="DB26" s="348"/>
      <c r="DC26" s="348"/>
      <c r="DD26" s="348"/>
      <c r="DE26" s="348"/>
      <c r="DF26" s="348"/>
      <c r="DG26" s="348"/>
      <c r="DH26" s="348"/>
      <c r="DI26" s="350"/>
      <c r="DJ26" s="350"/>
      <c r="DK26" s="350"/>
      <c r="DL26" s="350"/>
      <c r="DM26" s="350"/>
      <c r="DN26" s="350"/>
      <c r="DO26" s="350"/>
      <c r="DP26" s="350"/>
      <c r="DQ26" s="350"/>
      <c r="DR26" s="350"/>
    </row>
    <row r="27" spans="1:122" ht="13.5" customHeight="1" hidden="1">
      <c r="A27" s="348"/>
      <c r="B27" s="349"/>
      <c r="C27" s="365"/>
      <c r="D27" s="349"/>
      <c r="E27" s="349"/>
      <c r="F27" s="349"/>
      <c r="G27" s="349"/>
      <c r="H27" s="378" t="str">
        <f>"Installation cost, shipping, etc."</f>
        <v>Installation cost, shipping, etc.</v>
      </c>
      <c r="I27" s="349"/>
      <c r="J27" s="1076"/>
      <c r="K27" s="1077"/>
      <c r="L27" s="1078"/>
      <c r="M27" s="372"/>
      <c r="N27" s="372"/>
      <c r="P27" s="1011"/>
      <c r="Q27" s="372"/>
      <c r="V27" s="365"/>
      <c r="W27" s="365"/>
      <c r="X27" s="349"/>
      <c r="Y27" s="349"/>
      <c r="Z27" s="348"/>
      <c r="AA27" s="348"/>
      <c r="AB27" s="348"/>
      <c r="AC27" s="348"/>
      <c r="AD27" s="348"/>
      <c r="AE27" s="348"/>
      <c r="AF27" s="348"/>
      <c r="AG27" s="348"/>
      <c r="AH27" s="357"/>
      <c r="AI27" s="357"/>
      <c r="AJ27" s="357"/>
      <c r="AK27" s="357"/>
      <c r="AL27" s="348"/>
      <c r="AM27" s="348"/>
      <c r="AN27" s="751"/>
      <c r="AO27" s="751"/>
      <c r="AP27" s="348"/>
      <c r="AQ27" s="348"/>
      <c r="AR27" s="357"/>
      <c r="AS27" s="357"/>
      <c r="AT27" s="357"/>
      <c r="AU27" s="357"/>
      <c r="AV27" s="357"/>
      <c r="AW27" s="357"/>
      <c r="AX27" s="357"/>
      <c r="AY27" s="357"/>
      <c r="AZ27" s="357"/>
      <c r="BA27" s="357"/>
      <c r="BB27" s="357"/>
      <c r="BC27" s="357"/>
      <c r="BD27" s="357"/>
      <c r="BE27" s="357"/>
      <c r="BF27" s="357"/>
      <c r="BG27" s="357"/>
      <c r="BH27" s="357"/>
      <c r="BI27" s="357"/>
      <c r="BJ27" s="357"/>
      <c r="BK27" s="357"/>
      <c r="BL27" s="357"/>
      <c r="BM27" s="357"/>
      <c r="BN27" s="357"/>
      <c r="BO27" s="357"/>
      <c r="BP27" s="357"/>
      <c r="BQ27" s="348"/>
      <c r="BR27" s="348"/>
      <c r="BS27" s="348"/>
      <c r="BT27" s="348"/>
      <c r="BU27" s="348"/>
      <c r="BV27" s="348"/>
      <c r="BW27" s="348"/>
      <c r="BX27" s="348"/>
      <c r="BY27" s="348"/>
      <c r="BZ27" s="348"/>
      <c r="CA27" s="348"/>
      <c r="CB27" s="348"/>
      <c r="CC27" s="348"/>
      <c r="CD27" s="348"/>
      <c r="CE27" s="348"/>
      <c r="CF27" s="348"/>
      <c r="CG27" s="348"/>
      <c r="CH27" s="348"/>
      <c r="CI27" s="348"/>
      <c r="CJ27" s="348"/>
      <c r="CK27" s="348"/>
      <c r="CL27" s="348"/>
      <c r="CM27" s="348"/>
      <c r="CN27" s="348"/>
      <c r="CO27" s="348"/>
      <c r="CP27" s="348"/>
      <c r="CQ27" s="348"/>
      <c r="CR27" s="348"/>
      <c r="CS27" s="348"/>
      <c r="CT27" s="348"/>
      <c r="CU27" s="348"/>
      <c r="CV27" s="348"/>
      <c r="CW27" s="348"/>
      <c r="CX27" s="348"/>
      <c r="CY27" s="348"/>
      <c r="CZ27" s="348"/>
      <c r="DA27" s="348"/>
      <c r="DB27" s="348"/>
      <c r="DC27" s="348"/>
      <c r="DD27" s="348"/>
      <c r="DE27" s="348"/>
      <c r="DF27" s="348"/>
      <c r="DG27" s="348"/>
      <c r="DH27" s="348"/>
      <c r="DI27" s="350"/>
      <c r="DJ27" s="350"/>
      <c r="DK27" s="350"/>
      <c r="DL27" s="350"/>
      <c r="DM27" s="350"/>
      <c r="DN27" s="350"/>
      <c r="DO27" s="350"/>
      <c r="DP27" s="350"/>
      <c r="DQ27" s="350"/>
      <c r="DR27" s="350"/>
    </row>
    <row r="28" spans="1:122" ht="12.75">
      <c r="A28" s="348"/>
      <c r="B28" s="349"/>
      <c r="C28" s="365"/>
      <c r="D28" s="349"/>
      <c r="E28" s="349"/>
      <c r="F28" s="349"/>
      <c r="G28" s="349"/>
      <c r="H28" s="378"/>
      <c r="I28" s="349"/>
      <c r="J28" s="379"/>
      <c r="K28" s="379"/>
      <c r="L28" s="379"/>
      <c r="M28" s="372"/>
      <c r="N28" s="372"/>
      <c r="P28" s="380"/>
      <c r="Q28" s="372"/>
      <c r="V28" s="381"/>
      <c r="W28" s="381"/>
      <c r="X28" s="349"/>
      <c r="Y28" s="349"/>
      <c r="Z28" s="348"/>
      <c r="AA28" s="348"/>
      <c r="AB28" s="348"/>
      <c r="AC28" s="348"/>
      <c r="AD28" s="348"/>
      <c r="AE28" s="348"/>
      <c r="AF28" s="348"/>
      <c r="AG28" s="348"/>
      <c r="AH28" s="357"/>
      <c r="AI28" s="357"/>
      <c r="AJ28" s="357"/>
      <c r="AK28" s="357"/>
      <c r="AL28" s="348"/>
      <c r="AM28" s="348"/>
      <c r="AN28" s="751"/>
      <c r="AO28" s="751"/>
      <c r="AP28" s="348"/>
      <c r="AQ28" s="348"/>
      <c r="AR28" s="357"/>
      <c r="AS28" s="357"/>
      <c r="AT28" s="357"/>
      <c r="AU28" s="357"/>
      <c r="AV28" s="357"/>
      <c r="AW28" s="357"/>
      <c r="AX28" s="357"/>
      <c r="AY28" s="357"/>
      <c r="AZ28" s="357"/>
      <c r="BA28" s="357"/>
      <c r="BB28" s="357"/>
      <c r="BC28" s="357"/>
      <c r="BD28" s="357"/>
      <c r="BE28" s="357"/>
      <c r="BF28" s="357"/>
      <c r="BG28" s="357"/>
      <c r="BH28" s="357"/>
      <c r="BI28" s="357"/>
      <c r="BJ28" s="357"/>
      <c r="BK28" s="357"/>
      <c r="BL28" s="357"/>
      <c r="BM28" s="357"/>
      <c r="BN28" s="357"/>
      <c r="BO28" s="357"/>
      <c r="BP28" s="357"/>
      <c r="BQ28" s="348"/>
      <c r="BR28" s="348"/>
      <c r="BS28" s="348"/>
      <c r="BT28" s="348"/>
      <c r="BU28" s="348"/>
      <c r="BV28" s="348"/>
      <c r="BW28" s="348"/>
      <c r="BX28" s="348"/>
      <c r="BY28" s="348"/>
      <c r="BZ28" s="348"/>
      <c r="CA28" s="348"/>
      <c r="CB28" s="348"/>
      <c r="CC28" s="348"/>
      <c r="CD28" s="348"/>
      <c r="CE28" s="348"/>
      <c r="CF28" s="348"/>
      <c r="CG28" s="348"/>
      <c r="CH28" s="348"/>
      <c r="CI28" s="348"/>
      <c r="CJ28" s="348"/>
      <c r="CK28" s="348"/>
      <c r="CL28" s="348"/>
      <c r="CM28" s="348"/>
      <c r="CN28" s="348"/>
      <c r="CO28" s="348"/>
      <c r="CP28" s="348"/>
      <c r="CQ28" s="348"/>
      <c r="CR28" s="348"/>
      <c r="CS28" s="348"/>
      <c r="CT28" s="348"/>
      <c r="CU28" s="348"/>
      <c r="CV28" s="348"/>
      <c r="CW28" s="348"/>
      <c r="CX28" s="348"/>
      <c r="CY28" s="348"/>
      <c r="CZ28" s="348"/>
      <c r="DA28" s="348"/>
      <c r="DB28" s="348"/>
      <c r="DC28" s="348"/>
      <c r="DD28" s="348"/>
      <c r="DE28" s="348"/>
      <c r="DF28" s="348"/>
      <c r="DG28" s="348"/>
      <c r="DH28" s="348"/>
      <c r="DI28" s="350"/>
      <c r="DJ28" s="350"/>
      <c r="DK28" s="350"/>
      <c r="DL28" s="350"/>
      <c r="DM28" s="350"/>
      <c r="DN28" s="350"/>
      <c r="DO28" s="350"/>
      <c r="DP28" s="350"/>
      <c r="DQ28" s="350"/>
      <c r="DR28" s="350"/>
    </row>
    <row r="29" spans="1:122" ht="13.5" customHeight="1">
      <c r="A29" s="348"/>
      <c r="B29" s="349"/>
      <c r="C29" s="365"/>
      <c r="D29" s="349"/>
      <c r="E29" s="349"/>
      <c r="F29" s="349"/>
      <c r="G29" s="349"/>
      <c r="H29" s="378"/>
      <c r="I29" s="349"/>
      <c r="J29" s="379"/>
      <c r="K29" s="379"/>
      <c r="L29" s="379"/>
      <c r="M29" s="378" t="s">
        <v>538</v>
      </c>
      <c r="N29" s="372"/>
      <c r="P29" s="1010"/>
      <c r="Q29" s="375" t="s">
        <v>1066</v>
      </c>
      <c r="V29" s="381"/>
      <c r="W29" s="381"/>
      <c r="X29" s="349"/>
      <c r="Y29" s="349"/>
      <c r="Z29" s="348"/>
      <c r="AA29" s="348"/>
      <c r="AB29" s="348"/>
      <c r="AC29" s="348"/>
      <c r="AD29" s="348"/>
      <c r="AE29" s="348"/>
      <c r="AF29" s="348"/>
      <c r="AG29" s="348"/>
      <c r="AH29" s="357"/>
      <c r="AI29" s="357"/>
      <c r="AJ29" s="357"/>
      <c r="AK29" s="357"/>
      <c r="AL29" s="348"/>
      <c r="AM29" s="348"/>
      <c r="AN29" s="751"/>
      <c r="AO29" s="751"/>
      <c r="AP29" s="348"/>
      <c r="AQ29" s="348"/>
      <c r="AR29" s="357"/>
      <c r="AS29" s="357"/>
      <c r="AT29" s="357"/>
      <c r="AU29" s="357"/>
      <c r="AV29" s="357"/>
      <c r="AW29" s="357"/>
      <c r="AX29" s="357"/>
      <c r="AY29" s="357"/>
      <c r="AZ29" s="357"/>
      <c r="BA29" s="357"/>
      <c r="BB29" s="357"/>
      <c r="BC29" s="357"/>
      <c r="BD29" s="357"/>
      <c r="BE29" s="357"/>
      <c r="BF29" s="357"/>
      <c r="BG29" s="357"/>
      <c r="BH29" s="357"/>
      <c r="BI29" s="357"/>
      <c r="BJ29" s="357"/>
      <c r="BK29" s="357"/>
      <c r="BL29" s="357"/>
      <c r="BM29" s="357"/>
      <c r="BN29" s="357"/>
      <c r="BO29" s="357"/>
      <c r="BP29" s="357"/>
      <c r="BQ29" s="348"/>
      <c r="BR29" s="348"/>
      <c r="BS29" s="348"/>
      <c r="BT29" s="348"/>
      <c r="BU29" s="348"/>
      <c r="BV29" s="348"/>
      <c r="BW29" s="348"/>
      <c r="BX29" s="348"/>
      <c r="BY29" s="348"/>
      <c r="BZ29" s="348"/>
      <c r="CA29" s="348"/>
      <c r="CB29" s="348"/>
      <c r="CC29" s="348"/>
      <c r="CD29" s="348"/>
      <c r="CE29" s="348"/>
      <c r="CF29" s="348"/>
      <c r="CG29" s="348"/>
      <c r="CH29" s="348"/>
      <c r="CI29" s="348"/>
      <c r="CJ29" s="348"/>
      <c r="CK29" s="348"/>
      <c r="CL29" s="348"/>
      <c r="CM29" s="348"/>
      <c r="CN29" s="348"/>
      <c r="CO29" s="348"/>
      <c r="CP29" s="348"/>
      <c r="CQ29" s="348"/>
      <c r="CR29" s="348"/>
      <c r="CS29" s="348"/>
      <c r="CT29" s="348"/>
      <c r="CU29" s="348"/>
      <c r="CV29" s="348"/>
      <c r="CW29" s="348"/>
      <c r="CX29" s="348"/>
      <c r="CY29" s="348"/>
      <c r="CZ29" s="348"/>
      <c r="DA29" s="348"/>
      <c r="DB29" s="348"/>
      <c r="DC29" s="348"/>
      <c r="DD29" s="348"/>
      <c r="DE29" s="348"/>
      <c r="DF29" s="348"/>
      <c r="DG29" s="348"/>
      <c r="DH29" s="348"/>
      <c r="DI29" s="350"/>
      <c r="DJ29" s="350"/>
      <c r="DK29" s="350"/>
      <c r="DL29" s="350"/>
      <c r="DM29" s="350"/>
      <c r="DN29" s="350"/>
      <c r="DO29" s="350"/>
      <c r="DP29" s="350"/>
      <c r="DQ29" s="350"/>
      <c r="DR29" s="350"/>
    </row>
    <row r="30" spans="1:122" ht="13.5" customHeight="1">
      <c r="A30" s="348"/>
      <c r="B30" s="349"/>
      <c r="C30" s="365"/>
      <c r="D30" s="349"/>
      <c r="E30" s="349"/>
      <c r="F30" s="349"/>
      <c r="G30" s="349"/>
      <c r="H30" s="349"/>
      <c r="I30" s="349"/>
      <c r="J30" s="349"/>
      <c r="K30" s="349"/>
      <c r="L30" s="349"/>
      <c r="M30" s="378" t="s">
        <v>749</v>
      </c>
      <c r="N30" s="382"/>
      <c r="P30" s="1010"/>
      <c r="Q30" s="375" t="s">
        <v>1066</v>
      </c>
      <c r="V30" s="349"/>
      <c r="W30" s="349"/>
      <c r="X30" s="349"/>
      <c r="Y30" s="349"/>
      <c r="Z30" s="348"/>
      <c r="AA30" s="348"/>
      <c r="AB30" s="348"/>
      <c r="AC30" s="348"/>
      <c r="AD30" s="348"/>
      <c r="AE30" s="348"/>
      <c r="AF30" s="348"/>
      <c r="AG30" s="348"/>
      <c r="AH30" s="357"/>
      <c r="AI30" s="357"/>
      <c r="AJ30" s="357"/>
      <c r="AK30" s="357"/>
      <c r="AL30" s="348"/>
      <c r="AM30" s="348"/>
      <c r="AN30" s="751"/>
      <c r="AO30" s="751"/>
      <c r="AP30" s="348"/>
      <c r="AQ30" s="348"/>
      <c r="AR30" s="357"/>
      <c r="AS30" s="357"/>
      <c r="AT30" s="357"/>
      <c r="AU30" s="357"/>
      <c r="AV30" s="357"/>
      <c r="AW30" s="357"/>
      <c r="AX30" s="357"/>
      <c r="AY30" s="357"/>
      <c r="AZ30" s="357"/>
      <c r="BA30" s="357"/>
      <c r="BB30" s="357"/>
      <c r="BC30" s="357"/>
      <c r="BD30" s="357"/>
      <c r="BE30" s="357"/>
      <c r="BF30" s="357"/>
      <c r="BG30" s="357"/>
      <c r="BH30" s="357"/>
      <c r="BI30" s="357"/>
      <c r="BJ30" s="357"/>
      <c r="BK30" s="357"/>
      <c r="BL30" s="357"/>
      <c r="BM30" s="357"/>
      <c r="BN30" s="357"/>
      <c r="BO30" s="357"/>
      <c r="BP30" s="357"/>
      <c r="BQ30" s="348"/>
      <c r="BR30" s="348"/>
      <c r="BS30" s="348"/>
      <c r="BT30" s="348"/>
      <c r="BU30" s="348"/>
      <c r="BV30" s="348"/>
      <c r="BW30" s="348"/>
      <c r="BX30" s="348"/>
      <c r="BY30" s="348"/>
      <c r="BZ30" s="348"/>
      <c r="CA30" s="348"/>
      <c r="CB30" s="348"/>
      <c r="CC30" s="348"/>
      <c r="CD30" s="348"/>
      <c r="CE30" s="348"/>
      <c r="CF30" s="348"/>
      <c r="CG30" s="348"/>
      <c r="CH30" s="348"/>
      <c r="CI30" s="348"/>
      <c r="CJ30" s="348"/>
      <c r="CK30" s="348"/>
      <c r="CL30" s="348"/>
      <c r="CM30" s="348"/>
      <c r="CN30" s="348"/>
      <c r="CO30" s="348"/>
      <c r="CP30" s="348"/>
      <c r="CQ30" s="348"/>
      <c r="CR30" s="348"/>
      <c r="CS30" s="348"/>
      <c r="CT30" s="348"/>
      <c r="CU30" s="348"/>
      <c r="CV30" s="348"/>
      <c r="CW30" s="348"/>
      <c r="CX30" s="348"/>
      <c r="CY30" s="348"/>
      <c r="CZ30" s="348"/>
      <c r="DA30" s="348"/>
      <c r="DB30" s="348"/>
      <c r="DC30" s="348"/>
      <c r="DD30" s="348"/>
      <c r="DE30" s="348"/>
      <c r="DF30" s="348"/>
      <c r="DG30" s="348"/>
      <c r="DH30" s="348"/>
      <c r="DI30" s="350"/>
      <c r="DJ30" s="350"/>
      <c r="DK30" s="350"/>
      <c r="DL30" s="350"/>
      <c r="DM30" s="350"/>
      <c r="DN30" s="350"/>
      <c r="DO30" s="350"/>
      <c r="DP30" s="350"/>
      <c r="DQ30" s="350"/>
      <c r="DR30" s="350"/>
    </row>
    <row r="31" spans="1:122" ht="9.75" customHeight="1">
      <c r="A31" s="348"/>
      <c r="B31" s="349"/>
      <c r="C31" s="365"/>
      <c r="D31" s="349"/>
      <c r="E31" s="349"/>
      <c r="F31" s="349"/>
      <c r="G31" s="349"/>
      <c r="H31" s="349"/>
      <c r="I31" s="349"/>
      <c r="J31" s="349"/>
      <c r="K31" s="349"/>
      <c r="L31" s="349"/>
      <c r="M31" s="378"/>
      <c r="N31" s="378"/>
      <c r="O31" s="378"/>
      <c r="P31" s="378"/>
      <c r="Q31" s="378"/>
      <c r="R31" s="378"/>
      <c r="S31" s="366"/>
      <c r="T31" s="366"/>
      <c r="U31" s="349"/>
      <c r="V31" s="349"/>
      <c r="W31" s="349"/>
      <c r="X31" s="349"/>
      <c r="Y31" s="349"/>
      <c r="Z31" s="348"/>
      <c r="AA31" s="348"/>
      <c r="AB31" s="348"/>
      <c r="AC31" s="348"/>
      <c r="AD31" s="348"/>
      <c r="AE31" s="348"/>
      <c r="AF31" s="348"/>
      <c r="AG31" s="348"/>
      <c r="AH31" s="357"/>
      <c r="AI31" s="357"/>
      <c r="AJ31" s="357"/>
      <c r="AK31" s="357"/>
      <c r="AL31" s="348"/>
      <c r="AM31" s="348"/>
      <c r="AN31" s="751"/>
      <c r="AO31" s="751"/>
      <c r="AP31" s="348"/>
      <c r="AQ31" s="348"/>
      <c r="AR31" s="357"/>
      <c r="AS31" s="357"/>
      <c r="AT31" s="357"/>
      <c r="AU31" s="357"/>
      <c r="AV31" s="357"/>
      <c r="AW31" s="357"/>
      <c r="AX31" s="357"/>
      <c r="AY31" s="357"/>
      <c r="AZ31" s="357"/>
      <c r="BA31" s="357"/>
      <c r="BB31" s="357"/>
      <c r="BC31" s="357"/>
      <c r="BD31" s="357"/>
      <c r="BE31" s="357"/>
      <c r="BF31" s="357"/>
      <c r="BG31" s="357"/>
      <c r="BH31" s="357"/>
      <c r="BI31" s="357"/>
      <c r="BJ31" s="357"/>
      <c r="BK31" s="357"/>
      <c r="BL31" s="357"/>
      <c r="BM31" s="357"/>
      <c r="BN31" s="357"/>
      <c r="BO31" s="357"/>
      <c r="BP31" s="357"/>
      <c r="BQ31" s="348"/>
      <c r="BR31" s="348"/>
      <c r="BS31" s="348"/>
      <c r="BT31" s="348"/>
      <c r="BU31" s="348"/>
      <c r="BV31" s="348"/>
      <c r="BW31" s="348"/>
      <c r="BX31" s="348"/>
      <c r="BY31" s="348"/>
      <c r="BZ31" s="348"/>
      <c r="CA31" s="348"/>
      <c r="CB31" s="348"/>
      <c r="CC31" s="348"/>
      <c r="CD31" s="348"/>
      <c r="CE31" s="348"/>
      <c r="CF31" s="348"/>
      <c r="CG31" s="348"/>
      <c r="CH31" s="348"/>
      <c r="CI31" s="348"/>
      <c r="CJ31" s="348"/>
      <c r="CK31" s="348"/>
      <c r="CL31" s="348"/>
      <c r="CM31" s="348"/>
      <c r="CN31" s="348"/>
      <c r="CO31" s="348"/>
      <c r="CP31" s="348"/>
      <c r="CQ31" s="348"/>
      <c r="CR31" s="348"/>
      <c r="CS31" s="348"/>
      <c r="CT31" s="348"/>
      <c r="CU31" s="348"/>
      <c r="CV31" s="348"/>
      <c r="CW31" s="348"/>
      <c r="CX31" s="348"/>
      <c r="CY31" s="348"/>
      <c r="CZ31" s="348"/>
      <c r="DA31" s="348"/>
      <c r="DB31" s="348"/>
      <c r="DC31" s="348"/>
      <c r="DD31" s="348"/>
      <c r="DE31" s="348"/>
      <c r="DF31" s="348"/>
      <c r="DG31" s="348"/>
      <c r="DH31" s="348"/>
      <c r="DI31" s="350"/>
      <c r="DJ31" s="350"/>
      <c r="DK31" s="350"/>
      <c r="DL31" s="350"/>
      <c r="DM31" s="350"/>
      <c r="DN31" s="350"/>
      <c r="DO31" s="350"/>
      <c r="DP31" s="350"/>
      <c r="DQ31" s="350"/>
      <c r="DR31" s="350"/>
    </row>
    <row r="32" spans="1:122" s="349" customFormat="1" ht="13.5" customHeight="1" hidden="1">
      <c r="A32" s="348"/>
      <c r="C32" s="365"/>
      <c r="H32" s="383" t="s">
        <v>1067</v>
      </c>
      <c r="I32" s="367"/>
      <c r="J32" s="1079">
        <v>2</v>
      </c>
      <c r="K32" s="1080"/>
      <c r="L32" s="1081"/>
      <c r="M32" s="372" t="s">
        <v>723</v>
      </c>
      <c r="N32" s="372"/>
      <c r="O32" s="759"/>
      <c r="P32" s="384">
        <v>2</v>
      </c>
      <c r="Q32" s="373" t="s">
        <v>1061</v>
      </c>
      <c r="T32" s="366"/>
      <c r="Z32" s="348"/>
      <c r="AA32" s="348"/>
      <c r="AB32" s="348"/>
      <c r="AC32" s="348"/>
      <c r="AD32" s="348"/>
      <c r="AE32" s="348"/>
      <c r="AF32" s="348"/>
      <c r="AG32" s="348"/>
      <c r="AH32" s="357"/>
      <c r="AI32" s="357"/>
      <c r="AJ32" s="357"/>
      <c r="AK32" s="357"/>
      <c r="AL32" s="348"/>
      <c r="AM32" s="348"/>
      <c r="AN32" s="751"/>
      <c r="AO32" s="751"/>
      <c r="AP32" s="348"/>
      <c r="AQ32" s="348"/>
      <c r="AR32" s="357"/>
      <c r="AS32" s="357"/>
      <c r="AT32" s="357"/>
      <c r="AU32" s="357"/>
      <c r="AV32" s="357"/>
      <c r="AW32" s="357"/>
      <c r="AX32" s="357"/>
      <c r="AY32" s="357"/>
      <c r="AZ32" s="357"/>
      <c r="BA32" s="357"/>
      <c r="BB32" s="357"/>
      <c r="BC32" s="357"/>
      <c r="BD32" s="357"/>
      <c r="BE32" s="357"/>
      <c r="BF32" s="357"/>
      <c r="BG32" s="357"/>
      <c r="BH32" s="357"/>
      <c r="BI32" s="357"/>
      <c r="BJ32" s="357"/>
      <c r="BK32" s="357"/>
      <c r="BL32" s="357"/>
      <c r="BM32" s="357"/>
      <c r="BN32" s="357"/>
      <c r="BO32" s="357"/>
      <c r="BP32" s="357"/>
      <c r="BQ32" s="348"/>
      <c r="BR32" s="348"/>
      <c r="BS32" s="348"/>
      <c r="BT32" s="348"/>
      <c r="BU32" s="348"/>
      <c r="BV32" s="348"/>
      <c r="BW32" s="348"/>
      <c r="BX32" s="348"/>
      <c r="BY32" s="348"/>
      <c r="BZ32" s="348"/>
      <c r="CA32" s="348"/>
      <c r="CB32" s="348"/>
      <c r="CC32" s="348"/>
      <c r="CD32" s="348"/>
      <c r="CE32" s="348"/>
      <c r="CF32" s="348"/>
      <c r="CG32" s="348"/>
      <c r="CH32" s="348"/>
      <c r="CI32" s="348"/>
      <c r="CJ32" s="348"/>
      <c r="CK32" s="348"/>
      <c r="CL32" s="348"/>
      <c r="CM32" s="348"/>
      <c r="CN32" s="348"/>
      <c r="CO32" s="348"/>
      <c r="CP32" s="348"/>
      <c r="CQ32" s="348"/>
      <c r="CR32" s="348"/>
      <c r="CS32" s="348"/>
      <c r="CT32" s="348"/>
      <c r="CU32" s="348"/>
      <c r="CV32" s="348"/>
      <c r="CW32" s="348"/>
      <c r="CX32" s="348"/>
      <c r="CY32" s="348"/>
      <c r="CZ32" s="348"/>
      <c r="DA32" s="348"/>
      <c r="DB32" s="348"/>
      <c r="DC32" s="348"/>
      <c r="DD32" s="348"/>
      <c r="DE32" s="348"/>
      <c r="DF32" s="348"/>
      <c r="DG32" s="348"/>
      <c r="DH32" s="348"/>
      <c r="DI32" s="348"/>
      <c r="DJ32" s="348"/>
      <c r="DK32" s="348"/>
      <c r="DL32" s="348"/>
      <c r="DM32" s="348"/>
      <c r="DN32" s="348"/>
      <c r="DO32" s="348"/>
      <c r="DP32" s="348"/>
      <c r="DQ32" s="348"/>
      <c r="DR32" s="348"/>
    </row>
    <row r="33" spans="1:122" s="349" customFormat="1" ht="12.75" customHeight="1" hidden="1">
      <c r="A33" s="348"/>
      <c r="Z33" s="348"/>
      <c r="AA33" s="348"/>
      <c r="AB33" s="348"/>
      <c r="AC33" s="348"/>
      <c r="AD33" s="348"/>
      <c r="AE33" s="348"/>
      <c r="AF33" s="348"/>
      <c r="AG33" s="348"/>
      <c r="AH33" s="357"/>
      <c r="AI33" s="357"/>
      <c r="AJ33" s="357"/>
      <c r="AK33" s="357"/>
      <c r="AL33" s="348"/>
      <c r="AM33" s="348"/>
      <c r="AN33" s="760"/>
      <c r="AO33" s="760"/>
      <c r="AP33" s="348"/>
      <c r="AQ33" s="348"/>
      <c r="AR33" s="357"/>
      <c r="AS33" s="357"/>
      <c r="AT33" s="357"/>
      <c r="AU33" s="357"/>
      <c r="AV33" s="357"/>
      <c r="AW33" s="357"/>
      <c r="AX33" s="357"/>
      <c r="AY33" s="357"/>
      <c r="AZ33" s="357"/>
      <c r="BA33" s="357"/>
      <c r="BB33" s="357"/>
      <c r="BC33" s="357"/>
      <c r="BD33" s="357"/>
      <c r="BE33" s="357"/>
      <c r="BF33" s="357"/>
      <c r="BG33" s="357"/>
      <c r="BH33" s="357"/>
      <c r="BI33" s="357"/>
      <c r="BJ33" s="357"/>
      <c r="BK33" s="357"/>
      <c r="BL33" s="357"/>
      <c r="BM33" s="357"/>
      <c r="BN33" s="357"/>
      <c r="BO33" s="357"/>
      <c r="BP33" s="357"/>
      <c r="BQ33" s="348"/>
      <c r="BR33" s="348"/>
      <c r="BS33" s="348"/>
      <c r="BT33" s="348"/>
      <c r="BU33" s="348"/>
      <c r="BV33" s="348"/>
      <c r="BW33" s="348"/>
      <c r="BX33" s="348"/>
      <c r="BY33" s="348"/>
      <c r="BZ33" s="348"/>
      <c r="CA33" s="348"/>
      <c r="CB33" s="348"/>
      <c r="CC33" s="348"/>
      <c r="CD33" s="348"/>
      <c r="CE33" s="348"/>
      <c r="CF33" s="348"/>
      <c r="CG33" s="348"/>
      <c r="CH33" s="348"/>
      <c r="CI33" s="348"/>
      <c r="CJ33" s="348"/>
      <c r="CK33" s="348"/>
      <c r="CL33" s="348"/>
      <c r="CM33" s="348"/>
      <c r="CN33" s="348"/>
      <c r="CO33" s="348"/>
      <c r="CP33" s="348"/>
      <c r="CQ33" s="348"/>
      <c r="CR33" s="348"/>
      <c r="CS33" s="348"/>
      <c r="CT33" s="348"/>
      <c r="CU33" s="348"/>
      <c r="CV33" s="348"/>
      <c r="CW33" s="348"/>
      <c r="CX33" s="348"/>
      <c r="CY33" s="348"/>
      <c r="CZ33" s="348"/>
      <c r="DA33" s="348"/>
      <c r="DB33" s="348"/>
      <c r="DC33" s="348"/>
      <c r="DD33" s="348"/>
      <c r="DE33" s="348"/>
      <c r="DF33" s="348"/>
      <c r="DG33" s="348"/>
      <c r="DH33" s="348"/>
      <c r="DI33" s="348"/>
      <c r="DJ33" s="348"/>
      <c r="DK33" s="348"/>
      <c r="DL33" s="348"/>
      <c r="DM33" s="348"/>
      <c r="DN33" s="348"/>
      <c r="DO33" s="348"/>
      <c r="DP33" s="348"/>
      <c r="DQ33" s="348"/>
      <c r="DR33" s="348"/>
    </row>
    <row r="34" spans="1:122" ht="12.75" customHeight="1">
      <c r="A34" s="348"/>
      <c r="B34" s="349"/>
      <c r="C34" s="360" t="s">
        <v>726</v>
      </c>
      <c r="D34" s="361"/>
      <c r="E34" s="361"/>
      <c r="F34" s="361"/>
      <c r="G34" s="361"/>
      <c r="H34" s="361"/>
      <c r="I34" s="361"/>
      <c r="J34" s="361"/>
      <c r="K34" s="361"/>
      <c r="L34" s="361"/>
      <c r="M34" s="361"/>
      <c r="N34" s="361"/>
      <c r="O34" s="361"/>
      <c r="P34" s="361"/>
      <c r="Q34" s="361"/>
      <c r="R34" s="361"/>
      <c r="S34" s="361"/>
      <c r="T34" s="361"/>
      <c r="U34" s="361"/>
      <c r="V34" s="361"/>
      <c r="W34" s="361"/>
      <c r="X34" s="361"/>
      <c r="Y34" s="349"/>
      <c r="Z34" s="348"/>
      <c r="AA34" s="348"/>
      <c r="AB34" s="348"/>
      <c r="AC34" s="348"/>
      <c r="AD34" s="348"/>
      <c r="AE34" s="348"/>
      <c r="AF34" s="348"/>
      <c r="AG34" s="348"/>
      <c r="AH34" s="357"/>
      <c r="AI34" s="357"/>
      <c r="AJ34" s="357"/>
      <c r="AK34" s="357"/>
      <c r="AL34" s="348"/>
      <c r="AM34" s="348"/>
      <c r="AN34" s="348"/>
      <c r="AO34" s="348"/>
      <c r="AP34" s="348"/>
      <c r="AQ34" s="348"/>
      <c r="AR34" s="357"/>
      <c r="AS34" s="357"/>
      <c r="AT34" s="357"/>
      <c r="AU34" s="357"/>
      <c r="AV34" s="357"/>
      <c r="AW34" s="357"/>
      <c r="AX34" s="357"/>
      <c r="AY34" s="357"/>
      <c r="AZ34" s="357"/>
      <c r="BA34" s="357"/>
      <c r="BB34" s="357"/>
      <c r="BC34" s="357"/>
      <c r="BD34" s="357"/>
      <c r="BE34" s="357"/>
      <c r="BF34" s="357"/>
      <c r="BG34" s="357"/>
      <c r="BH34" s="357"/>
      <c r="BI34" s="357"/>
      <c r="BJ34" s="357"/>
      <c r="BK34" s="357"/>
      <c r="BL34" s="357"/>
      <c r="BM34" s="357"/>
      <c r="BN34" s="357"/>
      <c r="BO34" s="357"/>
      <c r="BP34" s="357"/>
      <c r="BQ34" s="348"/>
      <c r="BR34" s="348"/>
      <c r="BS34" s="348"/>
      <c r="BT34" s="348"/>
      <c r="BU34" s="348"/>
      <c r="BV34" s="348"/>
      <c r="BW34" s="348"/>
      <c r="BX34" s="348"/>
      <c r="BY34" s="348"/>
      <c r="BZ34" s="348"/>
      <c r="CA34" s="348"/>
      <c r="CB34" s="348"/>
      <c r="CC34" s="348"/>
      <c r="CD34" s="348"/>
      <c r="CE34" s="348"/>
      <c r="CF34" s="348"/>
      <c r="CG34" s="348"/>
      <c r="CH34" s="348"/>
      <c r="CI34" s="348"/>
      <c r="CJ34" s="348"/>
      <c r="CK34" s="348"/>
      <c r="CL34" s="348"/>
      <c r="CM34" s="348"/>
      <c r="CN34" s="348"/>
      <c r="CO34" s="348"/>
      <c r="CP34" s="348"/>
      <c r="CQ34" s="348"/>
      <c r="CR34" s="348"/>
      <c r="CS34" s="348"/>
      <c r="CT34" s="348"/>
      <c r="CU34" s="348"/>
      <c r="CV34" s="348"/>
      <c r="CW34" s="348"/>
      <c r="CX34" s="348"/>
      <c r="CY34" s="348"/>
      <c r="CZ34" s="348"/>
      <c r="DA34" s="348"/>
      <c r="DB34" s="348"/>
      <c r="DC34" s="348"/>
      <c r="DD34" s="348"/>
      <c r="DE34" s="348"/>
      <c r="DF34" s="348"/>
      <c r="DG34" s="348"/>
      <c r="DH34" s="348"/>
      <c r="DI34" s="350"/>
      <c r="DJ34" s="350"/>
      <c r="DK34" s="350"/>
      <c r="DL34" s="350"/>
      <c r="DM34" s="350"/>
      <c r="DN34" s="350"/>
      <c r="DO34" s="350"/>
      <c r="DP34" s="350"/>
      <c r="DQ34" s="350"/>
      <c r="DR34" s="350"/>
    </row>
    <row r="35" spans="1:122" ht="6" customHeight="1">
      <c r="A35" s="348"/>
      <c r="B35" s="349"/>
      <c r="C35" s="385"/>
      <c r="D35" s="385"/>
      <c r="E35" s="385"/>
      <c r="F35" s="385"/>
      <c r="G35" s="385"/>
      <c r="H35" s="385"/>
      <c r="I35" s="385"/>
      <c r="J35" s="385"/>
      <c r="K35" s="385"/>
      <c r="L35" s="385"/>
      <c r="M35" s="385"/>
      <c r="N35" s="385"/>
      <c r="O35" s="385"/>
      <c r="P35" s="385"/>
      <c r="Q35" s="385"/>
      <c r="R35" s="385"/>
      <c r="S35" s="385"/>
      <c r="T35" s="385"/>
      <c r="U35" s="385"/>
      <c r="V35" s="385"/>
      <c r="W35" s="385"/>
      <c r="X35" s="385"/>
      <c r="Y35" s="349"/>
      <c r="Z35" s="348"/>
      <c r="AA35" s="348"/>
      <c r="AB35" s="348"/>
      <c r="AC35" s="348"/>
      <c r="AD35" s="348"/>
      <c r="AE35" s="348"/>
      <c r="AF35" s="348"/>
      <c r="AG35" s="348"/>
      <c r="AH35" s="348"/>
      <c r="AI35" s="348"/>
      <c r="AJ35" s="357"/>
      <c r="AK35" s="357"/>
      <c r="AL35" s="348"/>
      <c r="AM35" s="348"/>
      <c r="AN35" s="348"/>
      <c r="AO35" s="348"/>
      <c r="AP35" s="348"/>
      <c r="AQ35" s="348"/>
      <c r="AR35" s="357"/>
      <c r="AS35" s="357"/>
      <c r="AT35" s="357"/>
      <c r="AU35" s="357"/>
      <c r="AV35" s="357"/>
      <c r="AW35" s="357"/>
      <c r="AX35" s="357"/>
      <c r="AY35" s="357"/>
      <c r="AZ35" s="357"/>
      <c r="BA35" s="357"/>
      <c r="BB35" s="357"/>
      <c r="BC35" s="357"/>
      <c r="BD35" s="357"/>
      <c r="BE35" s="357"/>
      <c r="BF35" s="357"/>
      <c r="BG35" s="357"/>
      <c r="BH35" s="357"/>
      <c r="BI35" s="357"/>
      <c r="BJ35" s="357"/>
      <c r="BK35" s="357"/>
      <c r="BL35" s="357"/>
      <c r="BM35" s="357"/>
      <c r="BN35" s="357"/>
      <c r="BO35" s="357"/>
      <c r="BP35" s="357"/>
      <c r="BQ35" s="348"/>
      <c r="BR35" s="348"/>
      <c r="BS35" s="348"/>
      <c r="BT35" s="348"/>
      <c r="BU35" s="348"/>
      <c r="BV35" s="348"/>
      <c r="BW35" s="348"/>
      <c r="BX35" s="348"/>
      <c r="BY35" s="348"/>
      <c r="BZ35" s="348"/>
      <c r="CA35" s="348"/>
      <c r="CB35" s="348"/>
      <c r="CC35" s="348"/>
      <c r="CD35" s="348"/>
      <c r="CE35" s="348"/>
      <c r="CF35" s="348"/>
      <c r="CG35" s="348"/>
      <c r="CH35" s="348"/>
      <c r="CI35" s="348"/>
      <c r="CJ35" s="348"/>
      <c r="CK35" s="348"/>
      <c r="CL35" s="348"/>
      <c r="CM35" s="348"/>
      <c r="CN35" s="348"/>
      <c r="CO35" s="348"/>
      <c r="CP35" s="348"/>
      <c r="CQ35" s="348"/>
      <c r="CR35" s="348"/>
      <c r="CS35" s="348"/>
      <c r="CT35" s="348"/>
      <c r="CU35" s="348"/>
      <c r="CV35" s="348"/>
      <c r="CW35" s="348"/>
      <c r="CX35" s="348"/>
      <c r="CY35" s="348"/>
      <c r="CZ35" s="348"/>
      <c r="DA35" s="348"/>
      <c r="DB35" s="348"/>
      <c r="DC35" s="348"/>
      <c r="DD35" s="348"/>
      <c r="DE35" s="348"/>
      <c r="DF35" s="348"/>
      <c r="DG35" s="348"/>
      <c r="DH35" s="348"/>
      <c r="DI35" s="350"/>
      <c r="DJ35" s="350"/>
      <c r="DK35" s="350"/>
      <c r="DL35" s="350"/>
      <c r="DM35" s="350"/>
      <c r="DN35" s="350"/>
      <c r="DO35" s="350"/>
      <c r="DP35" s="350"/>
      <c r="DQ35" s="350"/>
      <c r="DR35" s="350"/>
    </row>
    <row r="36" spans="1:122" ht="13.5" customHeight="1">
      <c r="A36" s="348"/>
      <c r="B36" s="349"/>
      <c r="C36" s="365"/>
      <c r="D36" s="349"/>
      <c r="E36" s="349"/>
      <c r="F36" s="349"/>
      <c r="G36" s="386" t="s">
        <v>855</v>
      </c>
      <c r="H36" s="725"/>
      <c r="I36" s="387"/>
      <c r="J36" s="365" t="s">
        <v>724</v>
      </c>
      <c r="K36" s="365"/>
      <c r="L36" s="349"/>
      <c r="M36" s="365"/>
      <c r="N36" s="365"/>
      <c r="O36" s="365"/>
      <c r="P36" s="388"/>
      <c r="Q36" s="349"/>
      <c r="S36" s="389"/>
      <c r="T36" s="386"/>
      <c r="U36" s="349"/>
      <c r="V36" s="349"/>
      <c r="W36" s="349"/>
      <c r="X36" s="349"/>
      <c r="Y36" s="349"/>
      <c r="Z36" s="348"/>
      <c r="AA36" s="348"/>
      <c r="AB36" s="348"/>
      <c r="AC36" s="348"/>
      <c r="AD36" s="348"/>
      <c r="AE36" s="348"/>
      <c r="AF36" s="348"/>
      <c r="AG36" s="348"/>
      <c r="AH36" s="348"/>
      <c r="AI36" s="348"/>
      <c r="AJ36" s="357"/>
      <c r="AK36" s="357"/>
      <c r="AL36" s="348"/>
      <c r="AM36" s="348"/>
      <c r="AN36" s="348"/>
      <c r="AO36" s="348"/>
      <c r="AP36" s="348"/>
      <c r="AQ36" s="348"/>
      <c r="AR36" s="357"/>
      <c r="AS36" s="357"/>
      <c r="AT36" s="357"/>
      <c r="AU36" s="357"/>
      <c r="AV36" s="357"/>
      <c r="AW36" s="357"/>
      <c r="AX36" s="357"/>
      <c r="AY36" s="357"/>
      <c r="AZ36" s="357"/>
      <c r="BA36" s="357"/>
      <c r="BB36" s="357"/>
      <c r="BC36" s="357"/>
      <c r="BD36" s="357"/>
      <c r="BE36" s="357"/>
      <c r="BF36" s="357"/>
      <c r="BG36" s="357"/>
      <c r="BH36" s="357"/>
      <c r="BI36" s="357"/>
      <c r="BJ36" s="357"/>
      <c r="BK36" s="357"/>
      <c r="BL36" s="357"/>
      <c r="BM36" s="357"/>
      <c r="BN36" s="357"/>
      <c r="BO36" s="357"/>
      <c r="BP36" s="357"/>
      <c r="BQ36" s="348"/>
      <c r="BR36" s="348"/>
      <c r="BS36" s="348"/>
      <c r="BT36" s="348"/>
      <c r="BU36" s="348"/>
      <c r="BV36" s="348"/>
      <c r="BW36" s="348"/>
      <c r="BX36" s="348"/>
      <c r="BY36" s="348"/>
      <c r="BZ36" s="348"/>
      <c r="CA36" s="348"/>
      <c r="CB36" s="348"/>
      <c r="CC36" s="348"/>
      <c r="CD36" s="348"/>
      <c r="CE36" s="348"/>
      <c r="CF36" s="348"/>
      <c r="CG36" s="348"/>
      <c r="CH36" s="348"/>
      <c r="CI36" s="348"/>
      <c r="CJ36" s="348"/>
      <c r="CK36" s="348"/>
      <c r="CL36" s="348"/>
      <c r="CM36" s="348"/>
      <c r="CN36" s="348"/>
      <c r="CO36" s="348"/>
      <c r="CP36" s="348"/>
      <c r="CQ36" s="348"/>
      <c r="CR36" s="348"/>
      <c r="CS36" s="348"/>
      <c r="CT36" s="348"/>
      <c r="CU36" s="348"/>
      <c r="CV36" s="348"/>
      <c r="CW36" s="348"/>
      <c r="CX36" s="348"/>
      <c r="CY36" s="348"/>
      <c r="CZ36" s="348"/>
      <c r="DA36" s="348"/>
      <c r="DB36" s="348"/>
      <c r="DC36" s="348"/>
      <c r="DD36" s="348"/>
      <c r="DE36" s="348"/>
      <c r="DF36" s="348"/>
      <c r="DG36" s="348"/>
      <c r="DH36" s="348"/>
      <c r="DI36" s="350"/>
      <c r="DJ36" s="350"/>
      <c r="DK36" s="350"/>
      <c r="DL36" s="350"/>
      <c r="DM36" s="350"/>
      <c r="DN36" s="350"/>
      <c r="DO36" s="350"/>
      <c r="DP36" s="350"/>
      <c r="DQ36" s="350"/>
      <c r="DR36" s="350"/>
    </row>
    <row r="37" spans="1:122" ht="12.75">
      <c r="A37" s="348"/>
      <c r="B37" s="349"/>
      <c r="C37" s="365"/>
      <c r="D37" s="349"/>
      <c r="E37" s="349"/>
      <c r="F37" s="386"/>
      <c r="G37" s="386" t="s">
        <v>856</v>
      </c>
      <c r="H37" s="725"/>
      <c r="I37" s="387"/>
      <c r="J37" s="365" t="s">
        <v>724</v>
      </c>
      <c r="K37" s="365"/>
      <c r="L37" s="349"/>
      <c r="M37" s="365"/>
      <c r="N37" s="365"/>
      <c r="O37" s="365"/>
      <c r="P37" s="388"/>
      <c r="Q37" s="349"/>
      <c r="S37" s="386"/>
      <c r="T37" s="386"/>
      <c r="U37" s="390"/>
      <c r="V37" s="390"/>
      <c r="W37" s="390"/>
      <c r="X37" s="390"/>
      <c r="Y37" s="349"/>
      <c r="Z37" s="348"/>
      <c r="AA37" s="348"/>
      <c r="AB37" s="348"/>
      <c r="AC37" s="348"/>
      <c r="AD37" s="348"/>
      <c r="AE37" s="348"/>
      <c r="AF37" s="348"/>
      <c r="AG37" s="348"/>
      <c r="AH37" s="348"/>
      <c r="AI37" s="348"/>
      <c r="AJ37" s="357"/>
      <c r="AK37" s="357"/>
      <c r="AL37" s="348"/>
      <c r="AM37" s="348"/>
      <c r="AN37" s="348"/>
      <c r="AO37" s="348"/>
      <c r="AP37" s="348"/>
      <c r="AQ37" s="348"/>
      <c r="AR37" s="357"/>
      <c r="AS37" s="357"/>
      <c r="AT37" s="357"/>
      <c r="AU37" s="357"/>
      <c r="AV37" s="357"/>
      <c r="AW37" s="357"/>
      <c r="AX37" s="357"/>
      <c r="AY37" s="357"/>
      <c r="AZ37" s="357"/>
      <c r="BA37" s="357"/>
      <c r="BB37" s="357"/>
      <c r="BC37" s="357"/>
      <c r="BD37" s="357"/>
      <c r="BE37" s="357"/>
      <c r="BF37" s="357"/>
      <c r="BG37" s="357"/>
      <c r="BH37" s="357"/>
      <c r="BI37" s="357"/>
      <c r="BJ37" s="357"/>
      <c r="BK37" s="357"/>
      <c r="BL37" s="357"/>
      <c r="BM37" s="357"/>
      <c r="BN37" s="357"/>
      <c r="BO37" s="357"/>
      <c r="BP37" s="357"/>
      <c r="BQ37" s="348"/>
      <c r="BR37" s="348"/>
      <c r="BS37" s="348"/>
      <c r="BT37" s="348"/>
      <c r="BU37" s="348"/>
      <c r="BV37" s="348"/>
      <c r="BW37" s="348"/>
      <c r="BX37" s="348"/>
      <c r="BY37" s="348"/>
      <c r="BZ37" s="348"/>
      <c r="CA37" s="348"/>
      <c r="CB37" s="348"/>
      <c r="CC37" s="348"/>
      <c r="CD37" s="348"/>
      <c r="CE37" s="348"/>
      <c r="CF37" s="348"/>
      <c r="CG37" s="348"/>
      <c r="CH37" s="348"/>
      <c r="CI37" s="348"/>
      <c r="CJ37" s="348"/>
      <c r="CK37" s="348"/>
      <c r="CL37" s="348"/>
      <c r="CM37" s="348"/>
      <c r="CN37" s="348"/>
      <c r="CO37" s="348"/>
      <c r="CP37" s="348"/>
      <c r="CQ37" s="348"/>
      <c r="CR37" s="348"/>
      <c r="CS37" s="348"/>
      <c r="CT37" s="348"/>
      <c r="CU37" s="348"/>
      <c r="CV37" s="348"/>
      <c r="CW37" s="348"/>
      <c r="CX37" s="348"/>
      <c r="CY37" s="348"/>
      <c r="CZ37" s="348"/>
      <c r="DA37" s="348"/>
      <c r="DB37" s="348"/>
      <c r="DC37" s="348"/>
      <c r="DD37" s="348"/>
      <c r="DE37" s="348"/>
      <c r="DF37" s="348"/>
      <c r="DG37" s="348"/>
      <c r="DH37" s="348"/>
      <c r="DI37" s="350"/>
      <c r="DJ37" s="350"/>
      <c r="DK37" s="350"/>
      <c r="DL37" s="350"/>
      <c r="DM37" s="350"/>
      <c r="DN37" s="350"/>
      <c r="DO37" s="350"/>
      <c r="DP37" s="350"/>
      <c r="DQ37" s="350"/>
      <c r="DR37" s="350"/>
    </row>
    <row r="38" spans="1:122" ht="12.75">
      <c r="A38" s="348"/>
      <c r="B38" s="349"/>
      <c r="C38" s="365"/>
      <c r="D38" s="349"/>
      <c r="E38" s="349"/>
      <c r="F38" s="349"/>
      <c r="G38" s="391" t="s">
        <v>854</v>
      </c>
      <c r="H38" s="726"/>
      <c r="I38" s="392"/>
      <c r="J38" s="389" t="s">
        <v>790</v>
      </c>
      <c r="K38" s="389"/>
      <c r="L38" s="349"/>
      <c r="M38" s="365"/>
      <c r="N38" s="365"/>
      <c r="O38" s="365"/>
      <c r="P38" s="388"/>
      <c r="Q38" s="365"/>
      <c r="R38" s="755" t="s">
        <v>266</v>
      </c>
      <c r="S38" s="652"/>
      <c r="T38" s="651"/>
      <c r="U38" s="651"/>
      <c r="V38" s="651"/>
      <c r="W38" s="651"/>
      <c r="X38" s="651"/>
      <c r="Y38" s="349"/>
      <c r="Z38" s="348"/>
      <c r="AA38" s="348"/>
      <c r="AB38" s="348"/>
      <c r="AC38" s="348"/>
      <c r="AD38" s="348"/>
      <c r="AE38" s="348"/>
      <c r="AF38" s="348"/>
      <c r="AG38" s="348"/>
      <c r="AH38" s="348"/>
      <c r="AI38" s="348"/>
      <c r="AJ38" s="357"/>
      <c r="AK38" s="357"/>
      <c r="AL38" s="348"/>
      <c r="AM38" s="348"/>
      <c r="AN38" s="348"/>
      <c r="AO38" s="348"/>
      <c r="AP38" s="348"/>
      <c r="AQ38" s="348"/>
      <c r="AR38" s="357"/>
      <c r="AS38" s="357"/>
      <c r="AT38" s="357"/>
      <c r="AU38" s="357"/>
      <c r="AV38" s="357"/>
      <c r="AW38" s="357"/>
      <c r="AX38" s="357"/>
      <c r="AY38" s="357"/>
      <c r="AZ38" s="357"/>
      <c r="BA38" s="357"/>
      <c r="BB38" s="357"/>
      <c r="BC38" s="357"/>
      <c r="BD38" s="357"/>
      <c r="BE38" s="357"/>
      <c r="BF38" s="357"/>
      <c r="BG38" s="357"/>
      <c r="BH38" s="357"/>
      <c r="BI38" s="357"/>
      <c r="BJ38" s="357"/>
      <c r="BK38" s="357"/>
      <c r="BL38" s="357"/>
      <c r="BM38" s="357"/>
      <c r="BN38" s="357"/>
      <c r="BO38" s="357"/>
      <c r="BP38" s="357"/>
      <c r="BQ38" s="348"/>
      <c r="BR38" s="348"/>
      <c r="BS38" s="348"/>
      <c r="BT38" s="348"/>
      <c r="BU38" s="348"/>
      <c r="BV38" s="348"/>
      <c r="BW38" s="348"/>
      <c r="BX38" s="348"/>
      <c r="BY38" s="348"/>
      <c r="BZ38" s="348"/>
      <c r="CA38" s="348"/>
      <c r="CB38" s="348"/>
      <c r="CC38" s="348"/>
      <c r="CD38" s="348"/>
      <c r="CE38" s="348"/>
      <c r="CF38" s="348"/>
      <c r="CG38" s="348"/>
      <c r="CH38" s="348"/>
      <c r="CI38" s="348"/>
      <c r="CJ38" s="348"/>
      <c r="CK38" s="348"/>
      <c r="CL38" s="348"/>
      <c r="CM38" s="348"/>
      <c r="CN38" s="348"/>
      <c r="CO38" s="348"/>
      <c r="CP38" s="348"/>
      <c r="CQ38" s="348"/>
      <c r="CR38" s="348"/>
      <c r="CS38" s="348"/>
      <c r="CT38" s="348"/>
      <c r="CU38" s="348"/>
      <c r="CV38" s="348"/>
      <c r="CW38" s="348"/>
      <c r="CX38" s="348"/>
      <c r="CY38" s="348"/>
      <c r="CZ38" s="348"/>
      <c r="DA38" s="348"/>
      <c r="DB38" s="348"/>
      <c r="DC38" s="348"/>
      <c r="DD38" s="348"/>
      <c r="DE38" s="348"/>
      <c r="DF38" s="348"/>
      <c r="DG38" s="348"/>
      <c r="DH38" s="348"/>
      <c r="DI38" s="350"/>
      <c r="DJ38" s="350"/>
      <c r="DK38" s="350"/>
      <c r="DL38" s="350"/>
      <c r="DM38" s="350"/>
      <c r="DN38" s="350"/>
      <c r="DO38" s="350"/>
      <c r="DP38" s="350"/>
      <c r="DQ38" s="350"/>
      <c r="DR38" s="350"/>
    </row>
    <row r="39" spans="1:122" ht="9.75" customHeight="1">
      <c r="A39" s="348"/>
      <c r="B39" s="349"/>
      <c r="C39" s="365"/>
      <c r="D39" s="349"/>
      <c r="E39" s="349"/>
      <c r="F39" s="386"/>
      <c r="G39" s="386"/>
      <c r="H39" s="393"/>
      <c r="I39" s="393"/>
      <c r="J39" s="365"/>
      <c r="K39" s="365"/>
      <c r="L39" s="349"/>
      <c r="M39" s="365"/>
      <c r="N39" s="365"/>
      <c r="O39" s="365"/>
      <c r="P39" s="388"/>
      <c r="Q39" s="365"/>
      <c r="R39" s="756"/>
      <c r="S39" s="651"/>
      <c r="T39" s="651"/>
      <c r="U39" s="651"/>
      <c r="V39" s="651"/>
      <c r="W39" s="651"/>
      <c r="X39" s="651"/>
      <c r="Y39" s="349"/>
      <c r="Z39" s="348"/>
      <c r="AA39" s="348"/>
      <c r="AB39" s="348"/>
      <c r="AC39" s="348"/>
      <c r="AD39" s="348"/>
      <c r="AE39" s="348"/>
      <c r="AF39" s="348"/>
      <c r="AG39" s="348"/>
      <c r="AH39" s="357"/>
      <c r="AI39" s="357"/>
      <c r="AJ39" s="357"/>
      <c r="AK39" s="357"/>
      <c r="AL39" s="348"/>
      <c r="AM39" s="348"/>
      <c r="AN39" s="348"/>
      <c r="AO39" s="348"/>
      <c r="AP39" s="348"/>
      <c r="AQ39" s="348"/>
      <c r="AR39" s="357"/>
      <c r="AS39" s="357"/>
      <c r="AT39" s="357"/>
      <c r="AU39" s="357"/>
      <c r="AV39" s="357"/>
      <c r="AW39" s="357"/>
      <c r="AX39" s="357"/>
      <c r="AY39" s="357"/>
      <c r="AZ39" s="357"/>
      <c r="BA39" s="357"/>
      <c r="BB39" s="357"/>
      <c r="BC39" s="357"/>
      <c r="BD39" s="357"/>
      <c r="BE39" s="357"/>
      <c r="BF39" s="357"/>
      <c r="BG39" s="357"/>
      <c r="BH39" s="357"/>
      <c r="BI39" s="357"/>
      <c r="BJ39" s="357"/>
      <c r="BK39" s="357"/>
      <c r="BL39" s="357"/>
      <c r="BM39" s="357"/>
      <c r="BN39" s="357"/>
      <c r="BO39" s="357"/>
      <c r="BP39" s="357"/>
      <c r="BQ39" s="348"/>
      <c r="BR39" s="348"/>
      <c r="BS39" s="348"/>
      <c r="BT39" s="348"/>
      <c r="BU39" s="348"/>
      <c r="BV39" s="348"/>
      <c r="BW39" s="348"/>
      <c r="BX39" s="348"/>
      <c r="BY39" s="348"/>
      <c r="BZ39" s="348"/>
      <c r="CA39" s="348"/>
      <c r="CB39" s="348"/>
      <c r="CC39" s="348"/>
      <c r="CD39" s="348"/>
      <c r="CE39" s="348"/>
      <c r="CF39" s="348"/>
      <c r="CG39" s="348"/>
      <c r="CH39" s="348"/>
      <c r="CI39" s="348"/>
      <c r="CJ39" s="348"/>
      <c r="CK39" s="348"/>
      <c r="CL39" s="348"/>
      <c r="CM39" s="348"/>
      <c r="CN39" s="348"/>
      <c r="CO39" s="348"/>
      <c r="CP39" s="348"/>
      <c r="CQ39" s="348"/>
      <c r="CR39" s="348"/>
      <c r="CS39" s="348"/>
      <c r="CT39" s="348"/>
      <c r="CU39" s="348"/>
      <c r="CV39" s="348"/>
      <c r="CW39" s="348"/>
      <c r="CX39" s="348"/>
      <c r="CY39" s="348"/>
      <c r="CZ39" s="348"/>
      <c r="DA39" s="348"/>
      <c r="DB39" s="348"/>
      <c r="DC39" s="348"/>
      <c r="DD39" s="348"/>
      <c r="DE39" s="348"/>
      <c r="DF39" s="348"/>
      <c r="DG39" s="348"/>
      <c r="DH39" s="348"/>
      <c r="DI39" s="350"/>
      <c r="DJ39" s="350"/>
      <c r="DK39" s="350"/>
      <c r="DL39" s="350"/>
      <c r="DM39" s="350"/>
      <c r="DN39" s="350"/>
      <c r="DO39" s="350"/>
      <c r="DP39" s="350"/>
      <c r="DQ39" s="350"/>
      <c r="DR39" s="350"/>
    </row>
    <row r="40" spans="1:122" ht="13.5" thickBot="1">
      <c r="A40" s="348"/>
      <c r="B40" s="349"/>
      <c r="C40" s="609" t="s">
        <v>259</v>
      </c>
      <c r="D40" s="608"/>
      <c r="E40" s="608"/>
      <c r="F40" s="608"/>
      <c r="G40" s="608"/>
      <c r="H40" s="394"/>
      <c r="I40" s="396"/>
      <c r="J40" s="609" t="s">
        <v>776</v>
      </c>
      <c r="K40" s="395"/>
      <c r="L40" s="395"/>
      <c r="M40" s="395"/>
      <c r="N40" s="395"/>
      <c r="O40" s="395"/>
      <c r="P40" s="395"/>
      <c r="Q40" s="396"/>
      <c r="R40" s="396"/>
      <c r="S40" s="608" t="s">
        <v>777</v>
      </c>
      <c r="T40" s="397"/>
      <c r="U40" s="397"/>
      <c r="V40" s="397"/>
      <c r="W40" s="397"/>
      <c r="X40" s="397"/>
      <c r="Y40" s="349"/>
      <c r="Z40" s="348"/>
      <c r="AA40" s="348"/>
      <c r="AB40" s="348"/>
      <c r="AC40" s="348"/>
      <c r="AD40" s="348"/>
      <c r="AE40" s="348"/>
      <c r="AF40" s="348"/>
      <c r="AG40" s="348"/>
      <c r="AH40" s="357"/>
      <c r="AI40" s="357"/>
      <c r="AJ40" s="357"/>
      <c r="AK40" s="357"/>
      <c r="AL40" s="348"/>
      <c r="AM40" s="348"/>
      <c r="AN40" s="348"/>
      <c r="AO40" s="348"/>
      <c r="AP40" s="348"/>
      <c r="AQ40" s="348"/>
      <c r="AR40" s="357"/>
      <c r="AS40" s="357"/>
      <c r="AT40" s="357"/>
      <c r="AU40" s="357"/>
      <c r="AV40" s="357"/>
      <c r="AW40" s="357"/>
      <c r="AX40" s="357"/>
      <c r="AY40" s="357"/>
      <c r="AZ40" s="357"/>
      <c r="BA40" s="357"/>
      <c r="BB40" s="357"/>
      <c r="BC40" s="357"/>
      <c r="BD40" s="357"/>
      <c r="BE40" s="357"/>
      <c r="BF40" s="357"/>
      <c r="BG40" s="357"/>
      <c r="BH40" s="357"/>
      <c r="BI40" s="357"/>
      <c r="BJ40" s="357"/>
      <c r="BK40" s="357"/>
      <c r="BL40" s="357"/>
      <c r="BM40" s="357"/>
      <c r="BN40" s="357"/>
      <c r="BO40" s="357"/>
      <c r="BP40" s="357"/>
      <c r="BQ40" s="398"/>
      <c r="BR40" s="398"/>
      <c r="BS40" s="398"/>
      <c r="BT40" s="398"/>
      <c r="BU40" s="398"/>
      <c r="BV40" s="398"/>
      <c r="BW40" s="398"/>
      <c r="BX40" s="398"/>
      <c r="BY40" s="398"/>
      <c r="BZ40" s="398"/>
      <c r="CA40" s="398"/>
      <c r="CB40" s="398"/>
      <c r="CC40" s="398"/>
      <c r="CD40" s="398"/>
      <c r="CE40" s="398"/>
      <c r="CF40" s="398"/>
      <c r="CG40" s="398"/>
      <c r="CH40" s="398"/>
      <c r="CI40" s="398"/>
      <c r="CJ40" s="398"/>
      <c r="CK40" s="398"/>
      <c r="CL40" s="398"/>
      <c r="CM40" s="398"/>
      <c r="CN40" s="398"/>
      <c r="CO40" s="398"/>
      <c r="CP40" s="398"/>
      <c r="CQ40" s="398"/>
      <c r="CR40" s="398"/>
      <c r="CS40" s="398"/>
      <c r="CT40" s="398"/>
      <c r="CU40" s="398"/>
      <c r="CV40" s="398"/>
      <c r="CW40" s="398"/>
      <c r="CX40" s="398"/>
      <c r="CY40" s="398"/>
      <c r="CZ40" s="398"/>
      <c r="DA40" s="398"/>
      <c r="DB40" s="398"/>
      <c r="DC40" s="398"/>
      <c r="DD40" s="398"/>
      <c r="DE40" s="398"/>
      <c r="DF40" s="398"/>
      <c r="DG40" s="398"/>
      <c r="DH40" s="398"/>
      <c r="DI40" s="399"/>
      <c r="DJ40" s="399"/>
      <c r="DK40" s="399"/>
      <c r="DL40" s="399"/>
      <c r="DM40" s="399"/>
      <c r="DN40" s="350"/>
      <c r="DO40" s="350"/>
      <c r="DP40" s="350"/>
      <c r="DQ40" s="350"/>
      <c r="DR40" s="350"/>
    </row>
    <row r="41" spans="1:122" ht="13.5" thickBot="1">
      <c r="A41" s="348"/>
      <c r="B41" s="349"/>
      <c r="C41" s="629" t="s">
        <v>666</v>
      </c>
      <c r="D41" s="630" t="s">
        <v>665</v>
      </c>
      <c r="E41" s="1071" t="s">
        <v>667</v>
      </c>
      <c r="F41" s="1089"/>
      <c r="G41" s="707" t="s">
        <v>718</v>
      </c>
      <c r="H41" s="632"/>
      <c r="I41" s="632"/>
      <c r="J41" s="1093" t="s">
        <v>631</v>
      </c>
      <c r="K41" s="1088"/>
      <c r="L41" s="1089"/>
      <c r="M41" s="1071" t="s">
        <v>669</v>
      </c>
      <c r="N41" s="1088"/>
      <c r="O41" s="1089"/>
      <c r="P41" s="631" t="s">
        <v>617</v>
      </c>
      <c r="Q41" s="632"/>
      <c r="R41" s="757" t="s">
        <v>278</v>
      </c>
      <c r="S41" s="633" t="s">
        <v>631</v>
      </c>
      <c r="T41" s="1071" t="s">
        <v>669</v>
      </c>
      <c r="U41" s="1088"/>
      <c r="V41" s="1089"/>
      <c r="W41" s="1071" t="s">
        <v>617</v>
      </c>
      <c r="X41" s="1072"/>
      <c r="Y41" s="349"/>
      <c r="Z41" s="348"/>
      <c r="AA41" s="348"/>
      <c r="AB41" s="348"/>
      <c r="AC41" s="348"/>
      <c r="AD41" s="348"/>
      <c r="AE41" s="348"/>
      <c r="AF41" s="348"/>
      <c r="AG41" s="348"/>
      <c r="AH41" s="357"/>
      <c r="AI41" s="357"/>
      <c r="AJ41" s="357"/>
      <c r="AK41" s="357"/>
      <c r="AL41" s="348"/>
      <c r="AM41" s="348"/>
      <c r="AN41" s="348"/>
      <c r="AO41" s="348"/>
      <c r="AP41" s="348"/>
      <c r="AQ41" s="348"/>
      <c r="AR41" s="357"/>
      <c r="AS41" s="357"/>
      <c r="AT41" s="357"/>
      <c r="AU41" s="357"/>
      <c r="AV41" s="357"/>
      <c r="AW41" s="357"/>
      <c r="AX41" s="357"/>
      <c r="AY41" s="357"/>
      <c r="AZ41" s="357"/>
      <c r="BA41" s="357"/>
      <c r="BB41" s="357"/>
      <c r="BC41" s="357"/>
      <c r="BD41" s="357"/>
      <c r="BE41" s="357"/>
      <c r="BF41" s="357"/>
      <c r="BG41" s="357"/>
      <c r="BH41" s="357"/>
      <c r="BI41" s="357"/>
      <c r="BJ41" s="357"/>
      <c r="BK41" s="357"/>
      <c r="BL41" s="357"/>
      <c r="BM41" s="357"/>
      <c r="BN41" s="357"/>
      <c r="BO41" s="357"/>
      <c r="BP41" s="357"/>
      <c r="BQ41" s="398"/>
      <c r="BR41" s="398"/>
      <c r="BS41" s="398"/>
      <c r="BT41" s="398"/>
      <c r="BU41" s="398"/>
      <c r="BV41" s="398"/>
      <c r="BW41" s="398"/>
      <c r="BX41" s="398"/>
      <c r="BY41" s="398"/>
      <c r="BZ41" s="398"/>
      <c r="CA41" s="398"/>
      <c r="CB41" s="398"/>
      <c r="CC41" s="398"/>
      <c r="CD41" s="398"/>
      <c r="CE41" s="398"/>
      <c r="CF41" s="398"/>
      <c r="CG41" s="398"/>
      <c r="CH41" s="398"/>
      <c r="CI41" s="398"/>
      <c r="CJ41" s="398"/>
      <c r="CK41" s="398"/>
      <c r="CL41" s="398"/>
      <c r="CM41" s="398"/>
      <c r="CN41" s="398"/>
      <c r="CO41" s="398"/>
      <c r="CP41" s="398"/>
      <c r="CQ41" s="398"/>
      <c r="CR41" s="398"/>
      <c r="CS41" s="398"/>
      <c r="CT41" s="398"/>
      <c r="CU41" s="398"/>
      <c r="CV41" s="398"/>
      <c r="CW41" s="398"/>
      <c r="CX41" s="398"/>
      <c r="CY41" s="398"/>
      <c r="CZ41" s="398"/>
      <c r="DA41" s="398"/>
      <c r="DB41" s="398"/>
      <c r="DC41" s="398"/>
      <c r="DD41" s="398"/>
      <c r="DE41" s="398"/>
      <c r="DF41" s="398"/>
      <c r="DG41" s="398"/>
      <c r="DH41" s="398"/>
      <c r="DI41" s="399"/>
      <c r="DJ41" s="399"/>
      <c r="DK41" s="399"/>
      <c r="DL41" s="399"/>
      <c r="DM41" s="399"/>
      <c r="DN41" s="350"/>
      <c r="DO41" s="350"/>
      <c r="DP41" s="350"/>
      <c r="DQ41" s="350"/>
      <c r="DR41" s="350"/>
    </row>
    <row r="42" spans="1:122" ht="12.75">
      <c r="A42" s="348"/>
      <c r="B42" s="349"/>
      <c r="C42" s="400"/>
      <c r="D42" s="401"/>
      <c r="E42" s="1098">
        <f>C42*$H$38</f>
        <v>0</v>
      </c>
      <c r="F42" s="1099"/>
      <c r="G42" s="402">
        <f>D42*$CQ$79</f>
        <v>0</v>
      </c>
      <c r="H42" s="403"/>
      <c r="I42" s="403"/>
      <c r="J42" s="1085" t="e">
        <f>G42/$CQ$79</f>
        <v>#DIV/0!</v>
      </c>
      <c r="K42" s="1086"/>
      <c r="L42" s="1087"/>
      <c r="M42" s="1082" t="e">
        <f>$CD$103*(IF(J42&lt;0.5,$CB$109+$CB$110*J42,$CC$109+$CC$110*J42)+IF(OR($L$15=3,$L$15=5),VLOOKUP($J$25/$J$19,$CF$111:$CO$121,HLOOKUP(J42,$CF$108:$CO$109,2,TRUE),TRUE),0))*((-$J$24+$H$36)/250+1)</f>
        <v>#N/A</v>
      </c>
      <c r="N42" s="1083"/>
      <c r="O42" s="1084"/>
      <c r="P42" s="404" t="e">
        <f>E42*M42</f>
        <v>#N/A</v>
      </c>
      <c r="Q42" s="405"/>
      <c r="R42" s="724"/>
      <c r="S42" s="406" t="e">
        <f>(G42-R42)/$CQ$80</f>
        <v>#DIV/0!</v>
      </c>
      <c r="T42" s="1082" t="e">
        <f>$CD$104*(IF(S42&lt;0.5,$CB$120+$CB$121*S42,$CC$120+$CC$121*S42)+IF(OR($Q$15=3,$Q$15=5),VLOOKUP($P$25/$P$19,$CF$111:$CO$121,HLOOKUP(S42,$CF$108:$CO$109,2,TRUE),TRUE),0))*((-$P$24+$H$37)/250+1)</f>
        <v>#N/A</v>
      </c>
      <c r="U42" s="1083"/>
      <c r="V42" s="1084"/>
      <c r="W42" s="1125" t="e">
        <f>E42*T42</f>
        <v>#N/A</v>
      </c>
      <c r="X42" s="1126"/>
      <c r="Y42" s="349"/>
      <c r="Z42" s="348"/>
      <c r="AA42" s="348"/>
      <c r="AB42" s="348"/>
      <c r="AC42" s="348"/>
      <c r="AD42" s="348"/>
      <c r="AE42" s="348"/>
      <c r="AF42" s="348"/>
      <c r="AG42" s="348"/>
      <c r="AH42" s="357"/>
      <c r="AI42" s="357"/>
      <c r="AJ42" s="348"/>
      <c r="AK42" s="348"/>
      <c r="AL42" s="348"/>
      <c r="AM42" s="348"/>
      <c r="AN42" s="348"/>
      <c r="AO42" s="348"/>
      <c r="AP42" s="348"/>
      <c r="AQ42" s="348"/>
      <c r="AR42" s="348"/>
      <c r="AS42" s="348"/>
      <c r="AT42" s="348"/>
      <c r="AU42" s="348"/>
      <c r="AV42" s="348"/>
      <c r="AW42" s="348"/>
      <c r="AX42" s="348"/>
      <c r="AY42" s="348"/>
      <c r="AZ42" s="348"/>
      <c r="BA42" s="348"/>
      <c r="BB42" s="348"/>
      <c r="BC42" s="348"/>
      <c r="BD42" s="348"/>
      <c r="BE42" s="348"/>
      <c r="BF42" s="348"/>
      <c r="BG42" s="348"/>
      <c r="BH42" s="348"/>
      <c r="BI42" s="348"/>
      <c r="BJ42" s="348"/>
      <c r="BK42" s="348"/>
      <c r="BL42" s="348"/>
      <c r="BM42" s="348"/>
      <c r="BN42" s="348"/>
      <c r="BO42" s="348"/>
      <c r="BP42" s="348"/>
      <c r="BQ42" s="398"/>
      <c r="BR42" s="398"/>
      <c r="BS42" s="398"/>
      <c r="BT42" s="398"/>
      <c r="BU42" s="398"/>
      <c r="BV42" s="398"/>
      <c r="BW42" s="398"/>
      <c r="BX42" s="398"/>
      <c r="BY42" s="398"/>
      <c r="BZ42" s="398"/>
      <c r="CA42" s="398"/>
      <c r="CB42" s="398"/>
      <c r="CC42" s="398"/>
      <c r="CD42" s="398"/>
      <c r="CE42" s="398"/>
      <c r="CF42" s="398"/>
      <c r="CG42" s="398"/>
      <c r="CH42" s="398"/>
      <c r="CI42" s="398"/>
      <c r="CJ42" s="398"/>
      <c r="CK42" s="398"/>
      <c r="CL42" s="398"/>
      <c r="CM42" s="398"/>
      <c r="CN42" s="398"/>
      <c r="CO42" s="398"/>
      <c r="CP42" s="398"/>
      <c r="CQ42" s="398"/>
      <c r="CR42" s="398"/>
      <c r="CS42" s="398"/>
      <c r="CT42" s="398"/>
      <c r="CU42" s="398"/>
      <c r="CV42" s="398"/>
      <c r="CW42" s="398"/>
      <c r="CX42" s="398"/>
      <c r="CY42" s="398"/>
      <c r="CZ42" s="398"/>
      <c r="DA42" s="398"/>
      <c r="DB42" s="398"/>
      <c r="DC42" s="398"/>
      <c r="DD42" s="398"/>
      <c r="DE42" s="398"/>
      <c r="DF42" s="398"/>
      <c r="DG42" s="398"/>
      <c r="DH42" s="398"/>
      <c r="DI42" s="399"/>
      <c r="DJ42" s="399"/>
      <c r="DK42" s="399"/>
      <c r="DL42" s="399"/>
      <c r="DM42" s="399"/>
      <c r="DN42" s="350"/>
      <c r="DO42" s="350"/>
      <c r="DP42" s="350"/>
      <c r="DQ42" s="350"/>
      <c r="DR42" s="350"/>
    </row>
    <row r="43" spans="1:122" ht="12.75">
      <c r="A43" s="348"/>
      <c r="B43" s="349"/>
      <c r="C43" s="407"/>
      <c r="D43" s="401"/>
      <c r="E43" s="1094">
        <f>C43*$H$38</f>
        <v>0</v>
      </c>
      <c r="F43" s="1095"/>
      <c r="G43" s="402">
        <f>D43*$CQ$79</f>
        <v>0</v>
      </c>
      <c r="H43" s="403"/>
      <c r="I43" s="403"/>
      <c r="J43" s="1085" t="e">
        <f>G43/$CQ$79</f>
        <v>#DIV/0!</v>
      </c>
      <c r="K43" s="1086"/>
      <c r="L43" s="1087"/>
      <c r="M43" s="1063" t="e">
        <f>$CD$103*(IF(J43&lt;0.5,$CB$109+$CB$110*J43,$CC$109+$CC$110*J43)+IF(OR($L$15=3,$L$15=5),VLOOKUP($J$25/$J$19,$CF$111:$CO$121,HLOOKUP(J43,$CF$108:$CO$109,2,TRUE),TRUE),0))*((-$J$24+$H$36)/250+1)</f>
        <v>#N/A</v>
      </c>
      <c r="N43" s="1064"/>
      <c r="O43" s="1065"/>
      <c r="P43" s="408" t="e">
        <f>E43*M43</f>
        <v>#N/A</v>
      </c>
      <c r="Q43" s="405"/>
      <c r="R43" s="724"/>
      <c r="S43" s="409" t="e">
        <f>(G43-R43)/$CQ$80</f>
        <v>#DIV/0!</v>
      </c>
      <c r="T43" s="1063" t="e">
        <f>$CD$104*(IF(S43&lt;0.5,$CB$120+$CB$121*S43,$CC$120+$CC$121*S43)+IF(OR($Q$15=3,$Q$15=5),VLOOKUP($P$25/$P$19,$CF$111:$CO$121,HLOOKUP(S43,$CF$108:$CO$109,2,TRUE),TRUE),0))*((-$P$24+$H$37)/250+1)</f>
        <v>#N/A</v>
      </c>
      <c r="U43" s="1064"/>
      <c r="V43" s="1065"/>
      <c r="W43" s="1066" t="e">
        <f>E43*T43</f>
        <v>#N/A</v>
      </c>
      <c r="X43" s="1067"/>
      <c r="Y43" s="349"/>
      <c r="Z43" s="348"/>
      <c r="AA43" s="348"/>
      <c r="AB43" s="348"/>
      <c r="AC43" s="348"/>
      <c r="AD43" s="348"/>
      <c r="AE43" s="348"/>
      <c r="AF43" s="348"/>
      <c r="AG43" s="348"/>
      <c r="AH43" s="357"/>
      <c r="AI43" s="357"/>
      <c r="AJ43" s="348"/>
      <c r="AK43" s="348"/>
      <c r="AL43" s="348"/>
      <c r="AM43" s="348"/>
      <c r="AN43" s="348"/>
      <c r="AO43" s="348"/>
      <c r="AP43" s="348"/>
      <c r="AQ43" s="348"/>
      <c r="AR43" s="348"/>
      <c r="AS43" s="348"/>
      <c r="AT43" s="348"/>
      <c r="AU43" s="348"/>
      <c r="AV43" s="348"/>
      <c r="AW43" s="348"/>
      <c r="AX43" s="348"/>
      <c r="AY43" s="348"/>
      <c r="AZ43" s="348"/>
      <c r="BA43" s="348"/>
      <c r="BB43" s="348"/>
      <c r="BC43" s="348"/>
      <c r="BD43" s="348"/>
      <c r="BE43" s="348"/>
      <c r="BF43" s="348"/>
      <c r="BG43" s="348"/>
      <c r="BH43" s="348"/>
      <c r="BI43" s="348"/>
      <c r="BJ43" s="348"/>
      <c r="BK43" s="348"/>
      <c r="BL43" s="348"/>
      <c r="BM43" s="348"/>
      <c r="BN43" s="348"/>
      <c r="BO43" s="348"/>
      <c r="BP43" s="348"/>
      <c r="BQ43" s="398"/>
      <c r="BR43" s="398"/>
      <c r="BS43" s="398"/>
      <c r="BT43" s="398"/>
      <c r="BU43" s="398"/>
      <c r="BV43" s="398"/>
      <c r="BW43" s="398"/>
      <c r="BX43" s="398"/>
      <c r="BY43" s="398"/>
      <c r="BZ43" s="398"/>
      <c r="CA43" s="398"/>
      <c r="CB43" s="398"/>
      <c r="CC43" s="398"/>
      <c r="CD43" s="398"/>
      <c r="CE43" s="398"/>
      <c r="CF43" s="398"/>
      <c r="CG43" s="398"/>
      <c r="CH43" s="398"/>
      <c r="CI43" s="398"/>
      <c r="CJ43" s="398"/>
      <c r="CK43" s="398"/>
      <c r="CL43" s="398"/>
      <c r="CM43" s="398"/>
      <c r="CN43" s="398"/>
      <c r="CO43" s="398"/>
      <c r="CP43" s="398"/>
      <c r="CQ43" s="398"/>
      <c r="CR43" s="398"/>
      <c r="CS43" s="398"/>
      <c r="CT43" s="398"/>
      <c r="CU43" s="398"/>
      <c r="CV43" s="398"/>
      <c r="CW43" s="398"/>
      <c r="CX43" s="398"/>
      <c r="CY43" s="398"/>
      <c r="CZ43" s="398"/>
      <c r="DA43" s="398"/>
      <c r="DB43" s="398"/>
      <c r="DC43" s="398"/>
      <c r="DD43" s="398"/>
      <c r="DE43" s="398"/>
      <c r="DF43" s="398"/>
      <c r="DG43" s="398"/>
      <c r="DH43" s="398"/>
      <c r="DI43" s="399"/>
      <c r="DJ43" s="399"/>
      <c r="DK43" s="399"/>
      <c r="DL43" s="399"/>
      <c r="DM43" s="399"/>
      <c r="DN43" s="350"/>
      <c r="DO43" s="350"/>
      <c r="DP43" s="350"/>
      <c r="DQ43" s="350"/>
      <c r="DR43" s="350"/>
    </row>
    <row r="44" spans="1:122" ht="12.75">
      <c r="A44" s="348"/>
      <c r="B44" s="349"/>
      <c r="C44" s="407"/>
      <c r="D44" s="401"/>
      <c r="E44" s="1094">
        <f>C44*$H$38</f>
        <v>0</v>
      </c>
      <c r="F44" s="1095"/>
      <c r="G44" s="402">
        <f>D44*$CQ$79</f>
        <v>0</v>
      </c>
      <c r="H44" s="403"/>
      <c r="I44" s="403"/>
      <c r="J44" s="1085" t="e">
        <f>G44/$CQ$79</f>
        <v>#DIV/0!</v>
      </c>
      <c r="K44" s="1086"/>
      <c r="L44" s="1087"/>
      <c r="M44" s="1063" t="e">
        <f>$CD$103*(IF(J44&lt;0.5,$CB$109+$CB$110*J44,$CC$109+$CC$110*J44)+IF(OR($L$15=3,$L$15=5),VLOOKUP($J$25/$J$19,$CF$111:$CO$121,HLOOKUP(J44,$CF$108:$CO$109,2,TRUE),TRUE),0))*((-$J$24+$H$36)/250+1)</f>
        <v>#N/A</v>
      </c>
      <c r="N44" s="1064"/>
      <c r="O44" s="1065"/>
      <c r="P44" s="408" t="e">
        <f>E44*M44</f>
        <v>#N/A</v>
      </c>
      <c r="Q44" s="405"/>
      <c r="R44" s="724"/>
      <c r="S44" s="409" t="e">
        <f>(G44-R44)/$CQ$80</f>
        <v>#DIV/0!</v>
      </c>
      <c r="T44" s="1063" t="e">
        <f>$CD$104*(IF(S44&lt;0.5,$CB$120+$CB$121*S44,$CC$120+$CC$121*S44)+IF(OR($Q$15=3,$Q$15=5),VLOOKUP($P$25/$P$19,$CF$111:$CO$121,HLOOKUP(S44,$CF$108:$CO$109,2,TRUE),TRUE),0))*((-$P$24+$H$37)/250+1)</f>
        <v>#N/A</v>
      </c>
      <c r="U44" s="1064"/>
      <c r="V44" s="1065"/>
      <c r="W44" s="1066" t="e">
        <f>E44*T44</f>
        <v>#N/A</v>
      </c>
      <c r="X44" s="1067"/>
      <c r="Y44" s="349"/>
      <c r="Z44" s="348"/>
      <c r="AA44" s="348"/>
      <c r="AB44" s="348"/>
      <c r="AC44" s="348"/>
      <c r="AD44" s="348"/>
      <c r="AE44" s="348"/>
      <c r="AF44" s="348"/>
      <c r="AG44" s="348"/>
      <c r="AH44" s="357"/>
      <c r="AI44" s="357"/>
      <c r="AJ44" s="348"/>
      <c r="AK44" s="348"/>
      <c r="AL44" s="348"/>
      <c r="AM44" s="348"/>
      <c r="AN44" s="348"/>
      <c r="AO44" s="348"/>
      <c r="AP44" s="348"/>
      <c r="AQ44" s="348"/>
      <c r="AR44" s="348"/>
      <c r="AS44" s="348"/>
      <c r="AT44" s="348"/>
      <c r="AU44" s="348"/>
      <c r="AV44" s="348"/>
      <c r="AW44" s="348"/>
      <c r="AX44" s="348"/>
      <c r="AY44" s="348"/>
      <c r="AZ44" s="348"/>
      <c r="BA44" s="348"/>
      <c r="BB44" s="348"/>
      <c r="BC44" s="348"/>
      <c r="BD44" s="348"/>
      <c r="BE44" s="348"/>
      <c r="BF44" s="348"/>
      <c r="BG44" s="348"/>
      <c r="BH44" s="348"/>
      <c r="BI44" s="348"/>
      <c r="BJ44" s="348"/>
      <c r="BK44" s="348"/>
      <c r="BL44" s="348"/>
      <c r="BM44" s="348"/>
      <c r="BN44" s="348"/>
      <c r="BO44" s="348"/>
      <c r="BP44" s="348"/>
      <c r="BQ44" s="398"/>
      <c r="BR44" s="398"/>
      <c r="BS44" s="398"/>
      <c r="BT44" s="398"/>
      <c r="BU44" s="398"/>
      <c r="BV44" s="398"/>
      <c r="BW44" s="398"/>
      <c r="BX44" s="398"/>
      <c r="BY44" s="398"/>
      <c r="BZ44" s="398"/>
      <c r="CA44" s="398"/>
      <c r="CB44" s="398"/>
      <c r="CC44" s="398"/>
      <c r="CD44" s="398"/>
      <c r="CE44" s="398"/>
      <c r="CF44" s="398"/>
      <c r="CG44" s="398"/>
      <c r="CH44" s="398"/>
      <c r="CI44" s="398"/>
      <c r="CJ44" s="398"/>
      <c r="CK44" s="398"/>
      <c r="CL44" s="398"/>
      <c r="CM44" s="398"/>
      <c r="CN44" s="398"/>
      <c r="CO44" s="398"/>
      <c r="CP44" s="398"/>
      <c r="CQ44" s="398"/>
      <c r="CR44" s="398"/>
      <c r="CS44" s="398"/>
      <c r="CT44" s="398"/>
      <c r="CU44" s="398"/>
      <c r="CV44" s="398"/>
      <c r="CW44" s="398"/>
      <c r="CX44" s="398"/>
      <c r="CY44" s="398"/>
      <c r="CZ44" s="398"/>
      <c r="DA44" s="398"/>
      <c r="DB44" s="398"/>
      <c r="DC44" s="398"/>
      <c r="DD44" s="398"/>
      <c r="DE44" s="398"/>
      <c r="DF44" s="398"/>
      <c r="DG44" s="398"/>
      <c r="DH44" s="398"/>
      <c r="DI44" s="399"/>
      <c r="DJ44" s="399"/>
      <c r="DK44" s="399"/>
      <c r="DL44" s="399"/>
      <c r="DM44" s="399"/>
      <c r="DN44" s="350"/>
      <c r="DO44" s="350"/>
      <c r="DP44" s="350"/>
      <c r="DQ44" s="350"/>
      <c r="DR44" s="350"/>
    </row>
    <row r="45" spans="1:122" ht="12.75">
      <c r="A45" s="348"/>
      <c r="B45" s="349"/>
      <c r="C45" s="407"/>
      <c r="D45" s="401"/>
      <c r="E45" s="1094">
        <f>C45*$H$38</f>
        <v>0</v>
      </c>
      <c r="F45" s="1095"/>
      <c r="G45" s="402">
        <f>D45*$CQ$79</f>
        <v>0</v>
      </c>
      <c r="H45" s="403"/>
      <c r="I45" s="403"/>
      <c r="J45" s="1085" t="e">
        <f>G45/$CQ$79</f>
        <v>#DIV/0!</v>
      </c>
      <c r="K45" s="1086"/>
      <c r="L45" s="1087"/>
      <c r="M45" s="1063" t="e">
        <f>$CD$103*(IF(J45&lt;0.5,$CB$109+$CB$110*J45,$CC$109+$CC$110*J45)+IF(OR($L$15=3,$L$15=5),VLOOKUP($J$25/$J$19,$CF$111:$CO$121,HLOOKUP(J45,$CF$108:$CO$109,2,TRUE),TRUE),0))*((-$J$24+$H$36)/250+1)</f>
        <v>#N/A</v>
      </c>
      <c r="N45" s="1064"/>
      <c r="O45" s="1065"/>
      <c r="P45" s="408" t="e">
        <f>E45*M45</f>
        <v>#N/A</v>
      </c>
      <c r="Q45" s="405"/>
      <c r="R45" s="724"/>
      <c r="S45" s="409" t="e">
        <f>(G45-R45)/$CQ$80</f>
        <v>#DIV/0!</v>
      </c>
      <c r="T45" s="1063" t="e">
        <f>$CD$104*(IF(S45&lt;0.5,$CB$120+$CB$121*S45,$CC$120+$CC$121*S45)+IF(OR($Q$15=3,$Q$15=5),VLOOKUP($P$25/$P$19,$CF$111:$CO$121,HLOOKUP(S45,$CF$108:$CO$109,2,TRUE),TRUE),0))*((-$P$24+$H$37)/250+1)</f>
        <v>#N/A</v>
      </c>
      <c r="U45" s="1064"/>
      <c r="V45" s="1065"/>
      <c r="W45" s="1066" t="e">
        <f>IF($CD$74,T45*M51,E45*T45)</f>
        <v>#N/A</v>
      </c>
      <c r="X45" s="1067"/>
      <c r="Y45" s="349"/>
      <c r="Z45" s="348"/>
      <c r="AA45" s="348"/>
      <c r="AB45" s="348"/>
      <c r="AC45" s="348"/>
      <c r="AD45" s="348"/>
      <c r="AE45" s="348"/>
      <c r="AF45" s="348"/>
      <c r="AG45" s="348"/>
      <c r="AH45" s="357"/>
      <c r="AI45" s="357"/>
      <c r="AJ45" s="348"/>
      <c r="AK45" s="348"/>
      <c r="AL45" s="348"/>
      <c r="AM45" s="348"/>
      <c r="AN45" s="348"/>
      <c r="AO45" s="348"/>
      <c r="AP45" s="348"/>
      <c r="AQ45" s="348"/>
      <c r="AR45" s="348"/>
      <c r="AS45" s="348"/>
      <c r="AT45" s="348"/>
      <c r="AU45" s="348"/>
      <c r="AV45" s="348"/>
      <c r="AW45" s="348"/>
      <c r="AX45" s="348"/>
      <c r="AY45" s="348"/>
      <c r="AZ45" s="348"/>
      <c r="BA45" s="348"/>
      <c r="BB45" s="348"/>
      <c r="BC45" s="348"/>
      <c r="BD45" s="348"/>
      <c r="BE45" s="348"/>
      <c r="BF45" s="348"/>
      <c r="BG45" s="348"/>
      <c r="BH45" s="348"/>
      <c r="BI45" s="348"/>
      <c r="BJ45" s="348"/>
      <c r="BK45" s="348"/>
      <c r="BL45" s="348"/>
      <c r="BM45" s="348"/>
      <c r="BN45" s="348"/>
      <c r="BO45" s="348"/>
      <c r="BP45" s="348"/>
      <c r="BQ45" s="398"/>
      <c r="BR45" s="398"/>
      <c r="BS45" s="398"/>
      <c r="BT45" s="398"/>
      <c r="BU45" s="398"/>
      <c r="BV45" s="398"/>
      <c r="BW45" s="398"/>
      <c r="BX45" s="398"/>
      <c r="BY45" s="398"/>
      <c r="BZ45" s="398"/>
      <c r="CA45" s="398"/>
      <c r="CB45" s="398"/>
      <c r="CC45" s="398"/>
      <c r="CD45" s="398"/>
      <c r="CE45" s="398"/>
      <c r="CF45" s="398"/>
      <c r="CG45" s="398"/>
      <c r="CH45" s="398"/>
      <c r="CI45" s="398"/>
      <c r="CJ45" s="398"/>
      <c r="CK45" s="398"/>
      <c r="CL45" s="398"/>
      <c r="CM45" s="398"/>
      <c r="CN45" s="398"/>
      <c r="CO45" s="398"/>
      <c r="CP45" s="398"/>
      <c r="CQ45" s="398"/>
      <c r="CR45" s="398"/>
      <c r="CS45" s="398"/>
      <c r="CT45" s="398"/>
      <c r="CU45" s="398"/>
      <c r="CV45" s="398"/>
      <c r="CW45" s="398"/>
      <c r="CX45" s="398"/>
      <c r="CY45" s="398"/>
      <c r="CZ45" s="398"/>
      <c r="DA45" s="398"/>
      <c r="DB45" s="398"/>
      <c r="DC45" s="398"/>
      <c r="DD45" s="398"/>
      <c r="DE45" s="398"/>
      <c r="DF45" s="398"/>
      <c r="DG45" s="398"/>
      <c r="DH45" s="398"/>
      <c r="DI45" s="399"/>
      <c r="DJ45" s="399"/>
      <c r="DK45" s="399"/>
      <c r="DL45" s="399"/>
      <c r="DM45" s="399"/>
      <c r="DN45" s="350"/>
      <c r="DO45" s="350"/>
      <c r="DP45" s="350"/>
      <c r="DQ45" s="350"/>
      <c r="DR45" s="350"/>
    </row>
    <row r="46" spans="1:122" ht="13.5" thickBot="1">
      <c r="A46" s="348"/>
      <c r="B46" s="349"/>
      <c r="C46" s="410"/>
      <c r="D46" s="411" t="s">
        <v>858</v>
      </c>
      <c r="E46" s="1091">
        <f>C46*$H$38</f>
        <v>0</v>
      </c>
      <c r="F46" s="1092"/>
      <c r="G46" s="412">
        <v>0</v>
      </c>
      <c r="H46" s="403"/>
      <c r="I46" s="610"/>
      <c r="J46" s="1105">
        <v>0</v>
      </c>
      <c r="K46" s="1106"/>
      <c r="L46" s="1107"/>
      <c r="M46" s="1068">
        <v>0</v>
      </c>
      <c r="N46" s="1069"/>
      <c r="O46" s="1070"/>
      <c r="P46" s="413">
        <f>E46*M46</f>
        <v>0</v>
      </c>
      <c r="Q46" s="414"/>
      <c r="R46" s="758"/>
      <c r="S46" s="415">
        <v>0</v>
      </c>
      <c r="T46" s="1068">
        <v>0</v>
      </c>
      <c r="U46" s="1069"/>
      <c r="V46" s="1070"/>
      <c r="W46" s="1137">
        <f>IF($CD$74,T46*M52,E46*T46)</f>
        <v>0</v>
      </c>
      <c r="X46" s="1138"/>
      <c r="Y46" s="349"/>
      <c r="Z46" s="348"/>
      <c r="AA46" s="374"/>
      <c r="AB46" s="348"/>
      <c r="AC46" s="348"/>
      <c r="AD46" s="348"/>
      <c r="AE46" s="348"/>
      <c r="AF46" s="348"/>
      <c r="AG46" s="348"/>
      <c r="AH46" s="348"/>
      <c r="AI46" s="348"/>
      <c r="AJ46" s="348"/>
      <c r="AK46" s="348"/>
      <c r="AL46" s="348"/>
      <c r="AM46" s="348"/>
      <c r="AN46" s="348"/>
      <c r="AO46" s="348"/>
      <c r="AP46" s="348"/>
      <c r="AQ46" s="348"/>
      <c r="AR46" s="348"/>
      <c r="AS46" s="348"/>
      <c r="AT46" s="348"/>
      <c r="AU46" s="348"/>
      <c r="AV46" s="348"/>
      <c r="AW46" s="348"/>
      <c r="AX46" s="348"/>
      <c r="AY46" s="348"/>
      <c r="AZ46" s="348"/>
      <c r="BA46" s="348"/>
      <c r="BB46" s="348"/>
      <c r="BC46" s="348"/>
      <c r="BD46" s="348"/>
      <c r="BE46" s="348"/>
      <c r="BF46" s="348"/>
      <c r="BG46" s="348"/>
      <c r="BH46" s="348"/>
      <c r="BI46" s="348"/>
      <c r="BJ46" s="348"/>
      <c r="BK46" s="348"/>
      <c r="BL46" s="348"/>
      <c r="BM46" s="348"/>
      <c r="BN46" s="348"/>
      <c r="BO46" s="348"/>
      <c r="BP46" s="348"/>
      <c r="BQ46" s="398"/>
      <c r="BR46" s="398"/>
      <c r="BS46" s="398"/>
      <c r="BT46" s="398"/>
      <c r="BU46" s="398"/>
      <c r="BV46" s="398"/>
      <c r="BW46" s="398"/>
      <c r="BX46" s="398"/>
      <c r="BY46" s="398"/>
      <c r="BZ46" s="398"/>
      <c r="CA46" s="398"/>
      <c r="CB46" s="398"/>
      <c r="CC46" s="398"/>
      <c r="CD46" s="398"/>
      <c r="CE46" s="398"/>
      <c r="CF46" s="398"/>
      <c r="CG46" s="398"/>
      <c r="CH46" s="398"/>
      <c r="CI46" s="398"/>
      <c r="CJ46" s="398"/>
      <c r="CK46" s="398"/>
      <c r="CL46" s="398"/>
      <c r="CM46" s="398"/>
      <c r="CN46" s="398"/>
      <c r="CO46" s="398"/>
      <c r="CP46" s="398"/>
      <c r="CQ46" s="398"/>
      <c r="CR46" s="398"/>
      <c r="CS46" s="398"/>
      <c r="CT46" s="398"/>
      <c r="CU46" s="398"/>
      <c r="CV46" s="398"/>
      <c r="CW46" s="398"/>
      <c r="CX46" s="398"/>
      <c r="CY46" s="398"/>
      <c r="CZ46" s="398"/>
      <c r="DA46" s="398"/>
      <c r="DB46" s="398"/>
      <c r="DC46" s="398"/>
      <c r="DD46" s="398"/>
      <c r="DE46" s="398"/>
      <c r="DF46" s="398"/>
      <c r="DG46" s="398"/>
      <c r="DH46" s="398"/>
      <c r="DI46" s="399"/>
      <c r="DJ46" s="399"/>
      <c r="DK46" s="399"/>
      <c r="DL46" s="399"/>
      <c r="DM46" s="399"/>
      <c r="DN46" s="350"/>
      <c r="DO46" s="350"/>
      <c r="DP46" s="350"/>
      <c r="DQ46" s="350"/>
      <c r="DR46" s="350"/>
    </row>
    <row r="47" spans="1:122" ht="12.75">
      <c r="A47" s="348"/>
      <c r="B47" s="349"/>
      <c r="C47" s="416">
        <f>SUM(C42:C46)</f>
        <v>0</v>
      </c>
      <c r="D47" s="365"/>
      <c r="E47" s="1102">
        <f>SUM(E42:E46)</f>
        <v>0</v>
      </c>
      <c r="F47" s="1102"/>
      <c r="G47" s="365"/>
      <c r="H47" s="365"/>
      <c r="I47" s="365"/>
      <c r="J47" s="365"/>
      <c r="K47" s="365"/>
      <c r="L47" s="417"/>
      <c r="M47" s="418" t="s">
        <v>671</v>
      </c>
      <c r="N47" s="418"/>
      <c r="O47" s="418"/>
      <c r="P47" s="419" t="e">
        <f>ROUND(SUM(P42:P46),0)</f>
        <v>#N/A</v>
      </c>
      <c r="Q47" s="420"/>
      <c r="R47" s="420"/>
      <c r="S47" s="417"/>
      <c r="T47" s="417"/>
      <c r="U47" s="418" t="s">
        <v>671</v>
      </c>
      <c r="V47" s="418"/>
      <c r="W47" s="1062" t="e">
        <f>ROUND(SUM(W42:W46),0)</f>
        <v>#N/A</v>
      </c>
      <c r="X47" s="1062"/>
      <c r="Y47" s="349"/>
      <c r="Z47" s="348"/>
      <c r="AA47" s="421"/>
      <c r="AB47" s="348"/>
      <c r="AC47" s="348"/>
      <c r="AD47" s="348"/>
      <c r="AE47" s="348"/>
      <c r="AF47" s="348"/>
      <c r="AG47" s="348"/>
      <c r="AH47" s="348"/>
      <c r="AI47" s="348"/>
      <c r="AJ47" s="348"/>
      <c r="AK47" s="348"/>
      <c r="AL47" s="348"/>
      <c r="AM47" s="348"/>
      <c r="AN47" s="348"/>
      <c r="AO47" s="348"/>
      <c r="AP47" s="348"/>
      <c r="AQ47" s="348"/>
      <c r="AR47" s="348"/>
      <c r="AS47" s="348"/>
      <c r="AT47" s="348"/>
      <c r="AU47" s="348"/>
      <c r="AV47" s="348"/>
      <c r="AW47" s="348"/>
      <c r="AX47" s="348"/>
      <c r="AY47" s="348"/>
      <c r="AZ47" s="348"/>
      <c r="BA47" s="348"/>
      <c r="BB47" s="348"/>
      <c r="BC47" s="348"/>
      <c r="BD47" s="348"/>
      <c r="BE47" s="348"/>
      <c r="BF47" s="348"/>
      <c r="BG47" s="348"/>
      <c r="BH47" s="348"/>
      <c r="BI47" s="348"/>
      <c r="BJ47" s="348"/>
      <c r="BK47" s="348"/>
      <c r="BL47" s="348"/>
      <c r="BM47" s="348"/>
      <c r="BN47" s="348"/>
      <c r="BO47" s="348"/>
      <c r="BP47" s="348"/>
      <c r="BQ47" s="398"/>
      <c r="BR47" s="398"/>
      <c r="BS47" s="398"/>
      <c r="BT47" s="398"/>
      <c r="BU47" s="398"/>
      <c r="BV47" s="398"/>
      <c r="BW47" s="398"/>
      <c r="BX47" s="398"/>
      <c r="BY47" s="398"/>
      <c r="BZ47" s="398"/>
      <c r="CA47" s="398"/>
      <c r="CB47" s="398"/>
      <c r="CC47" s="398"/>
      <c r="CD47" s="398"/>
      <c r="CE47" s="398"/>
      <c r="CF47" s="398"/>
      <c r="CG47" s="398"/>
      <c r="CH47" s="398"/>
      <c r="CI47" s="398"/>
      <c r="CJ47" s="398"/>
      <c r="CK47" s="398"/>
      <c r="CL47" s="398"/>
      <c r="CM47" s="398"/>
      <c r="CN47" s="398"/>
      <c r="CO47" s="398"/>
      <c r="CP47" s="398"/>
      <c r="CQ47" s="398"/>
      <c r="CR47" s="398"/>
      <c r="CS47" s="398"/>
      <c r="CT47" s="398"/>
      <c r="CU47" s="398"/>
      <c r="CV47" s="398"/>
      <c r="CW47" s="398"/>
      <c r="CX47" s="398"/>
      <c r="CY47" s="398"/>
      <c r="CZ47" s="398"/>
      <c r="DA47" s="398"/>
      <c r="DB47" s="398"/>
      <c r="DC47" s="398"/>
      <c r="DD47" s="398"/>
      <c r="DE47" s="398"/>
      <c r="DF47" s="398"/>
      <c r="DG47" s="398"/>
      <c r="DH47" s="398"/>
      <c r="DI47" s="399"/>
      <c r="DJ47" s="399"/>
      <c r="DK47" s="399"/>
      <c r="DL47" s="399"/>
      <c r="DM47" s="399"/>
      <c r="DN47" s="350"/>
      <c r="DO47" s="350"/>
      <c r="DP47" s="350"/>
      <c r="DQ47" s="350"/>
      <c r="DR47" s="350"/>
    </row>
    <row r="48" spans="1:122" ht="6" customHeight="1" hidden="1">
      <c r="A48" s="348"/>
      <c r="B48" s="349"/>
      <c r="D48" s="365"/>
      <c r="E48" s="422"/>
      <c r="F48" s="422"/>
      <c r="G48" s="365"/>
      <c r="H48" s="365"/>
      <c r="I48" s="365"/>
      <c r="J48" s="365"/>
      <c r="K48" s="365"/>
      <c r="L48" s="365"/>
      <c r="M48" s="382"/>
      <c r="N48" s="382"/>
      <c r="O48" s="382"/>
      <c r="P48" s="420"/>
      <c r="Q48" s="420"/>
      <c r="R48" s="420"/>
      <c r="S48" s="365"/>
      <c r="T48" s="365"/>
      <c r="U48" s="382"/>
      <c r="V48" s="382"/>
      <c r="W48" s="420"/>
      <c r="X48" s="420"/>
      <c r="Y48" s="349"/>
      <c r="Z48" s="348"/>
      <c r="AA48" s="421"/>
      <c r="AB48" s="348"/>
      <c r="AC48" s="348"/>
      <c r="AD48" s="348"/>
      <c r="AE48" s="348"/>
      <c r="AF48" s="348"/>
      <c r="AG48" s="348"/>
      <c r="AH48" s="348"/>
      <c r="AI48" s="348"/>
      <c r="AJ48" s="348"/>
      <c r="AK48" s="348"/>
      <c r="AL48" s="348"/>
      <c r="AM48" s="348"/>
      <c r="AN48" s="348"/>
      <c r="AO48" s="348"/>
      <c r="AP48" s="348"/>
      <c r="AQ48" s="348"/>
      <c r="AR48" s="348"/>
      <c r="AS48" s="348"/>
      <c r="AT48" s="348"/>
      <c r="AU48" s="348"/>
      <c r="AV48" s="348"/>
      <c r="AW48" s="348"/>
      <c r="AX48" s="348"/>
      <c r="AY48" s="348"/>
      <c r="AZ48" s="348"/>
      <c r="BA48" s="348"/>
      <c r="BB48" s="348"/>
      <c r="BC48" s="348"/>
      <c r="BD48" s="348"/>
      <c r="BE48" s="348"/>
      <c r="BF48" s="348"/>
      <c r="BG48" s="348"/>
      <c r="BH48" s="348"/>
      <c r="BI48" s="348"/>
      <c r="BJ48" s="348"/>
      <c r="BK48" s="348"/>
      <c r="BL48" s="348"/>
      <c r="BM48" s="348"/>
      <c r="BN48" s="348"/>
      <c r="BO48" s="348"/>
      <c r="BP48" s="348"/>
      <c r="BQ48" s="398"/>
      <c r="BR48" s="398"/>
      <c r="BS48" s="398"/>
      <c r="BT48" s="398"/>
      <c r="BU48" s="398"/>
      <c r="BV48" s="398"/>
      <c r="BW48" s="398"/>
      <c r="BX48" s="398"/>
      <c r="BY48" s="398"/>
      <c r="BZ48" s="398"/>
      <c r="CA48" s="398"/>
      <c r="CB48" s="398"/>
      <c r="CC48" s="398"/>
      <c r="CD48" s="398"/>
      <c r="CE48" s="398"/>
      <c r="CF48" s="398"/>
      <c r="CG48" s="398"/>
      <c r="CH48" s="398"/>
      <c r="CI48" s="398"/>
      <c r="CJ48" s="398"/>
      <c r="CK48" s="398"/>
      <c r="CL48" s="398"/>
      <c r="CM48" s="398"/>
      <c r="CN48" s="398"/>
      <c r="CO48" s="398"/>
      <c r="CP48" s="398"/>
      <c r="CQ48" s="398"/>
      <c r="CR48" s="398"/>
      <c r="CS48" s="398"/>
      <c r="CT48" s="398"/>
      <c r="CU48" s="398"/>
      <c r="CV48" s="398"/>
      <c r="CW48" s="398"/>
      <c r="CX48" s="398"/>
      <c r="CY48" s="398"/>
      <c r="CZ48" s="398"/>
      <c r="DA48" s="398"/>
      <c r="DB48" s="398"/>
      <c r="DC48" s="398"/>
      <c r="DD48" s="398"/>
      <c r="DE48" s="398"/>
      <c r="DF48" s="398"/>
      <c r="DG48" s="398"/>
      <c r="DH48" s="398"/>
      <c r="DI48" s="399"/>
      <c r="DJ48" s="399"/>
      <c r="DK48" s="399"/>
      <c r="DL48" s="399"/>
      <c r="DM48" s="399"/>
      <c r="DN48" s="350"/>
      <c r="DO48" s="350"/>
      <c r="DP48" s="350"/>
      <c r="DQ48" s="350"/>
      <c r="DR48" s="350"/>
    </row>
    <row r="49" spans="1:122" ht="12.75" hidden="1">
      <c r="A49" s="348"/>
      <c r="B49" s="349"/>
      <c r="C49" s="810" t="str">
        <f>"The baseline operating profile shows the compressor running unloaded "&amp;TEXT($C$45,"0%")&amp;" of the time."</f>
        <v>The baseline operating profile shows the compressor running unloaded 0% of the time.</v>
      </c>
      <c r="D49" s="365"/>
      <c r="E49" s="422"/>
      <c r="F49" s="422"/>
      <c r="G49" s="365"/>
      <c r="H49" s="365"/>
      <c r="I49" s="365"/>
      <c r="J49" s="365"/>
      <c r="K49" s="365"/>
      <c r="L49" s="365"/>
      <c r="M49" s="382"/>
      <c r="N49" s="382"/>
      <c r="O49" s="382"/>
      <c r="P49" s="420"/>
      <c r="Q49" s="420"/>
      <c r="R49" s="420"/>
      <c r="S49" s="365"/>
      <c r="T49" s="365"/>
      <c r="U49" s="382"/>
      <c r="V49" s="382"/>
      <c r="W49" s="420"/>
      <c r="X49" s="420"/>
      <c r="Y49" s="349"/>
      <c r="Z49" s="348"/>
      <c r="AA49" s="421"/>
      <c r="AB49" s="348"/>
      <c r="AC49" s="348"/>
      <c r="AD49" s="348"/>
      <c r="AE49" s="348"/>
      <c r="AF49" s="348"/>
      <c r="AG49" s="348"/>
      <c r="AH49" s="348"/>
      <c r="AI49" s="348"/>
      <c r="AJ49" s="348"/>
      <c r="AK49" s="348"/>
      <c r="AL49" s="348"/>
      <c r="AM49" s="348"/>
      <c r="AN49" s="348"/>
      <c r="AO49" s="348"/>
      <c r="AP49" s="348"/>
      <c r="AQ49" s="348"/>
      <c r="AR49" s="348"/>
      <c r="AS49" s="348"/>
      <c r="AT49" s="348"/>
      <c r="AU49" s="348"/>
      <c r="AV49" s="348"/>
      <c r="AW49" s="348"/>
      <c r="AX49" s="348"/>
      <c r="AY49" s="348"/>
      <c r="AZ49" s="348"/>
      <c r="BA49" s="348"/>
      <c r="BB49" s="348"/>
      <c r="BC49" s="348"/>
      <c r="BD49" s="348"/>
      <c r="BE49" s="348"/>
      <c r="BF49" s="348"/>
      <c r="BG49" s="348"/>
      <c r="BH49" s="348"/>
      <c r="BI49" s="348"/>
      <c r="BJ49" s="348"/>
      <c r="BK49" s="348"/>
      <c r="BL49" s="348"/>
      <c r="BM49" s="348"/>
      <c r="BN49" s="348"/>
      <c r="BO49" s="348"/>
      <c r="BP49" s="348"/>
      <c r="BQ49" s="398"/>
      <c r="BR49" s="398"/>
      <c r="BS49" s="398"/>
      <c r="BT49" s="398"/>
      <c r="BU49" s="398"/>
      <c r="BV49" s="398"/>
      <c r="BW49" s="398"/>
      <c r="BX49" s="398"/>
      <c r="BY49" s="398"/>
      <c r="BZ49" s="398"/>
      <c r="CA49" s="398"/>
      <c r="CB49" s="398"/>
      <c r="CC49" s="398"/>
      <c r="CD49" s="398"/>
      <c r="CE49" s="398"/>
      <c r="CF49" s="398"/>
      <c r="CG49" s="398"/>
      <c r="CH49" s="398"/>
      <c r="CI49" s="398"/>
      <c r="CJ49" s="398"/>
      <c r="CK49" s="398"/>
      <c r="CL49" s="398"/>
      <c r="CM49" s="398"/>
      <c r="CN49" s="398"/>
      <c r="CO49" s="398"/>
      <c r="CP49" s="398"/>
      <c r="CQ49" s="398"/>
      <c r="CR49" s="398"/>
      <c r="CS49" s="398"/>
      <c r="CT49" s="398"/>
      <c r="CU49" s="398"/>
      <c r="CV49" s="398"/>
      <c r="CW49" s="398"/>
      <c r="CX49" s="398"/>
      <c r="CY49" s="398"/>
      <c r="CZ49" s="398"/>
      <c r="DA49" s="398"/>
      <c r="DB49" s="398"/>
      <c r="DC49" s="398"/>
      <c r="DD49" s="398"/>
      <c r="DE49" s="398"/>
      <c r="DF49" s="398"/>
      <c r="DG49" s="398"/>
      <c r="DH49" s="398"/>
      <c r="DI49" s="399"/>
      <c r="DJ49" s="399"/>
      <c r="DK49" s="399"/>
      <c r="DL49" s="399"/>
      <c r="DM49" s="399"/>
      <c r="DN49" s="350"/>
      <c r="DO49" s="350"/>
      <c r="DP49" s="350"/>
      <c r="DQ49" s="350"/>
      <c r="DR49" s="350"/>
    </row>
    <row r="50" spans="1:122" ht="14.25" customHeight="1" hidden="1">
      <c r="A50" s="348"/>
      <c r="B50" s="349"/>
      <c r="C50" s="818" t="s">
        <v>337</v>
      </c>
      <c r="D50" s="365"/>
      <c r="E50" s="422"/>
      <c r="F50" s="422"/>
      <c r="G50" s="365"/>
      <c r="H50" s="365"/>
      <c r="I50" s="365"/>
      <c r="J50" s="365"/>
      <c r="K50" s="365"/>
      <c r="L50" s="365"/>
      <c r="M50" s="382"/>
      <c r="N50" s="382"/>
      <c r="O50" s="382"/>
      <c r="P50" s="420"/>
      <c r="Q50" s="420"/>
      <c r="R50" s="420"/>
      <c r="S50" s="365"/>
      <c r="T50" s="365"/>
      <c r="U50" s="382"/>
      <c r="V50" s="382"/>
      <c r="W50" s="420"/>
      <c r="X50" s="420"/>
      <c r="Y50" s="349"/>
      <c r="Z50" s="348"/>
      <c r="AA50" s="421"/>
      <c r="AB50" s="348"/>
      <c r="AC50" s="348"/>
      <c r="AD50" s="348"/>
      <c r="AE50" s="348"/>
      <c r="AF50" s="348"/>
      <c r="AG50" s="348"/>
      <c r="AH50" s="348"/>
      <c r="AI50" s="348"/>
      <c r="AJ50" s="348"/>
      <c r="AK50" s="348"/>
      <c r="AL50" s="348"/>
      <c r="AM50" s="348"/>
      <c r="AN50" s="348"/>
      <c r="AO50" s="348"/>
      <c r="AP50" s="348"/>
      <c r="AQ50" s="348"/>
      <c r="AR50" s="348"/>
      <c r="AS50" s="348"/>
      <c r="AT50" s="348"/>
      <c r="AU50" s="348"/>
      <c r="AV50" s="348"/>
      <c r="AW50" s="348"/>
      <c r="AX50" s="348"/>
      <c r="AY50" s="348"/>
      <c r="AZ50" s="348"/>
      <c r="BA50" s="348"/>
      <c r="BB50" s="348"/>
      <c r="BC50" s="348"/>
      <c r="BD50" s="348"/>
      <c r="BE50" s="348"/>
      <c r="BF50" s="348"/>
      <c r="BG50" s="348"/>
      <c r="BH50" s="348"/>
      <c r="BI50" s="348"/>
      <c r="BJ50" s="348"/>
      <c r="BK50" s="348"/>
      <c r="BL50" s="348"/>
      <c r="BM50" s="348"/>
      <c r="BN50" s="348"/>
      <c r="BO50" s="348"/>
      <c r="BP50" s="348"/>
      <c r="BQ50" s="398"/>
      <c r="BR50" s="398"/>
      <c r="BS50" s="398"/>
      <c r="BT50" s="398"/>
      <c r="BU50" s="398"/>
      <c r="BV50" s="398"/>
      <c r="BW50" s="398"/>
      <c r="BX50" s="398"/>
      <c r="BY50" s="398"/>
      <c r="BZ50" s="398"/>
      <c r="CA50" s="398"/>
      <c r="CB50" s="398"/>
      <c r="CC50" s="398"/>
      <c r="CD50" s="398"/>
      <c r="CE50" s="398"/>
      <c r="CF50" s="398"/>
      <c r="CG50" s="398"/>
      <c r="CH50" s="398"/>
      <c r="CI50" s="398"/>
      <c r="CJ50" s="398"/>
      <c r="CK50" s="398"/>
      <c r="CL50" s="398"/>
      <c r="CM50" s="398"/>
      <c r="CN50" s="398"/>
      <c r="CO50" s="398"/>
      <c r="CP50" s="398"/>
      <c r="CQ50" s="398"/>
      <c r="CR50" s="398"/>
      <c r="CS50" s="398"/>
      <c r="CT50" s="398"/>
      <c r="CU50" s="398"/>
      <c r="CV50" s="398"/>
      <c r="CW50" s="398"/>
      <c r="CX50" s="398"/>
      <c r="CY50" s="398"/>
      <c r="CZ50" s="398"/>
      <c r="DA50" s="398"/>
      <c r="DB50" s="398"/>
      <c r="DC50" s="398"/>
      <c r="DD50" s="398"/>
      <c r="DE50" s="398"/>
      <c r="DF50" s="398"/>
      <c r="DG50" s="398"/>
      <c r="DH50" s="398"/>
      <c r="DI50" s="399"/>
      <c r="DJ50" s="399"/>
      <c r="DK50" s="399"/>
      <c r="DL50" s="399"/>
      <c r="DM50" s="399"/>
      <c r="DN50" s="350"/>
      <c r="DO50" s="350"/>
      <c r="DP50" s="350"/>
      <c r="DQ50" s="350"/>
      <c r="DR50" s="350"/>
    </row>
    <row r="51" spans="1:122" ht="12.75" hidden="1">
      <c r="A51" s="348"/>
      <c r="B51" s="349"/>
      <c r="D51" s="809">
        <v>0.05</v>
      </c>
      <c r="E51" s="388" t="s">
        <v>320</v>
      </c>
      <c r="F51" s="422"/>
      <c r="G51" s="365"/>
      <c r="H51" s="365"/>
      <c r="I51" s="365"/>
      <c r="J51" s="365"/>
      <c r="K51" s="365"/>
      <c r="M51" s="813">
        <f>D51*$H$38</f>
        <v>0</v>
      </c>
      <c r="N51" s="388" t="s">
        <v>326</v>
      </c>
      <c r="P51" s="420"/>
      <c r="Q51" s="420"/>
      <c r="R51" s="420"/>
      <c r="S51" s="365"/>
      <c r="T51" s="365"/>
      <c r="U51" s="382"/>
      <c r="V51" s="382"/>
      <c r="W51" s="420"/>
      <c r="X51" s="420"/>
      <c r="Y51" s="349"/>
      <c r="Z51" s="348"/>
      <c r="AA51" s="421"/>
      <c r="AB51" s="348"/>
      <c r="AC51" s="348"/>
      <c r="AD51" s="348"/>
      <c r="AE51" s="348"/>
      <c r="AF51" s="348"/>
      <c r="AG51" s="348"/>
      <c r="AH51" s="348"/>
      <c r="AI51" s="348"/>
      <c r="AJ51" s="348"/>
      <c r="AK51" s="348"/>
      <c r="AL51" s="348"/>
      <c r="AM51" s="348"/>
      <c r="AN51" s="348"/>
      <c r="AO51" s="348"/>
      <c r="AP51" s="348"/>
      <c r="AQ51" s="348"/>
      <c r="AR51" s="348"/>
      <c r="AS51" s="348"/>
      <c r="AT51" s="348"/>
      <c r="AU51" s="348"/>
      <c r="AV51" s="348"/>
      <c r="AW51" s="348"/>
      <c r="AX51" s="348"/>
      <c r="AY51" s="348"/>
      <c r="AZ51" s="348"/>
      <c r="BA51" s="348"/>
      <c r="BB51" s="348"/>
      <c r="BC51" s="348"/>
      <c r="BD51" s="348"/>
      <c r="BE51" s="348"/>
      <c r="BF51" s="348"/>
      <c r="BG51" s="348"/>
      <c r="BH51" s="348"/>
      <c r="BI51" s="348"/>
      <c r="BJ51" s="348"/>
      <c r="BK51" s="348"/>
      <c r="BL51" s="348"/>
      <c r="BM51" s="348"/>
      <c r="BN51" s="348"/>
      <c r="BO51" s="348"/>
      <c r="BP51" s="348"/>
      <c r="BQ51" s="398"/>
      <c r="BR51" s="398"/>
      <c r="BS51" s="398"/>
      <c r="BT51" s="398"/>
      <c r="BU51" s="398"/>
      <c r="BV51" s="398"/>
      <c r="BW51" s="398"/>
      <c r="BX51" s="398"/>
      <c r="BY51" s="398"/>
      <c r="BZ51" s="398"/>
      <c r="CA51" s="398"/>
      <c r="CB51" s="398"/>
      <c r="CC51" s="398"/>
      <c r="CD51" s="398"/>
      <c r="CE51" s="398"/>
      <c r="CF51" s="398"/>
      <c r="CG51" s="398"/>
      <c r="CH51" s="398"/>
      <c r="CI51" s="398"/>
      <c r="CJ51" s="398"/>
      <c r="CK51" s="398"/>
      <c r="CL51" s="398"/>
      <c r="CM51" s="398"/>
      <c r="CN51" s="398"/>
      <c r="CO51" s="398"/>
      <c r="CP51" s="398"/>
      <c r="CQ51" s="398"/>
      <c r="CR51" s="398"/>
      <c r="CS51" s="398"/>
      <c r="CT51" s="398"/>
      <c r="CU51" s="398"/>
      <c r="CV51" s="398"/>
      <c r="CW51" s="398"/>
      <c r="CX51" s="398"/>
      <c r="CY51" s="398"/>
      <c r="CZ51" s="398"/>
      <c r="DA51" s="398"/>
      <c r="DB51" s="398"/>
      <c r="DC51" s="398"/>
      <c r="DD51" s="398"/>
      <c r="DE51" s="398"/>
      <c r="DF51" s="398"/>
      <c r="DG51" s="398"/>
      <c r="DH51" s="398"/>
      <c r="DI51" s="399"/>
      <c r="DJ51" s="399"/>
      <c r="DK51" s="399"/>
      <c r="DL51" s="399"/>
      <c r="DM51" s="399"/>
      <c r="DN51" s="350"/>
      <c r="DO51" s="350"/>
      <c r="DP51" s="350"/>
      <c r="DQ51" s="350"/>
      <c r="DR51" s="350"/>
    </row>
    <row r="52" spans="1:122" ht="12.75" hidden="1">
      <c r="A52" s="348"/>
      <c r="B52" s="349"/>
      <c r="D52" s="401">
        <v>0.05</v>
      </c>
      <c r="E52" s="388" t="s">
        <v>321</v>
      </c>
      <c r="F52" s="422"/>
      <c r="G52" s="365"/>
      <c r="H52" s="365"/>
      <c r="I52" s="365"/>
      <c r="J52" s="365"/>
      <c r="K52" s="365"/>
      <c r="M52" s="813">
        <f>D52*$H$38</f>
        <v>0</v>
      </c>
      <c r="N52" s="388" t="s">
        <v>327</v>
      </c>
      <c r="P52" s="420"/>
      <c r="Q52" s="420"/>
      <c r="R52" s="420"/>
      <c r="S52" s="365"/>
      <c r="T52" s="365"/>
      <c r="U52" s="382"/>
      <c r="V52" s="382"/>
      <c r="W52" s="420"/>
      <c r="X52" s="420"/>
      <c r="Y52" s="349"/>
      <c r="Z52" s="348"/>
      <c r="AA52" s="421"/>
      <c r="AB52" s="348"/>
      <c r="AC52" s="348"/>
      <c r="AD52" s="348"/>
      <c r="AE52" s="348"/>
      <c r="AF52" s="348"/>
      <c r="AG52" s="348"/>
      <c r="AH52" s="348"/>
      <c r="AI52" s="348"/>
      <c r="AJ52" s="348"/>
      <c r="AK52" s="348"/>
      <c r="AL52" s="348"/>
      <c r="AM52" s="348"/>
      <c r="AN52" s="348"/>
      <c r="AO52" s="348"/>
      <c r="AP52" s="348"/>
      <c r="AQ52" s="348"/>
      <c r="AR52" s="348"/>
      <c r="AS52" s="348"/>
      <c r="AT52" s="348"/>
      <c r="AU52" s="348"/>
      <c r="AV52" s="348"/>
      <c r="AW52" s="348"/>
      <c r="AX52" s="348"/>
      <c r="AY52" s="348"/>
      <c r="AZ52" s="348"/>
      <c r="BA52" s="348"/>
      <c r="BB52" s="348"/>
      <c r="BC52" s="348"/>
      <c r="BD52" s="348"/>
      <c r="BE52" s="348"/>
      <c r="BF52" s="348"/>
      <c r="BG52" s="348"/>
      <c r="BH52" s="348"/>
      <c r="BI52" s="348"/>
      <c r="BJ52" s="348"/>
      <c r="BK52" s="348"/>
      <c r="BL52" s="348"/>
      <c r="BM52" s="348"/>
      <c r="BN52" s="348"/>
      <c r="BO52" s="348"/>
      <c r="BP52" s="348"/>
      <c r="BQ52" s="398"/>
      <c r="BR52" s="398"/>
      <c r="BS52" s="398"/>
      <c r="BT52" s="398"/>
      <c r="BU52" s="398"/>
      <c r="BV52" s="398"/>
      <c r="BW52" s="398"/>
      <c r="BX52" s="398"/>
      <c r="BY52" s="398"/>
      <c r="BZ52" s="398"/>
      <c r="CA52" s="398"/>
      <c r="CB52" s="398"/>
      <c r="CC52" s="398"/>
      <c r="CD52" s="398"/>
      <c r="CE52" s="398"/>
      <c r="CF52" s="398"/>
      <c r="CG52" s="398"/>
      <c r="CH52" s="398"/>
      <c r="CI52" s="398"/>
      <c r="CJ52" s="398"/>
      <c r="CK52" s="398"/>
      <c r="CL52" s="398"/>
      <c r="CM52" s="398"/>
      <c r="CN52" s="398"/>
      <c r="CO52" s="398"/>
      <c r="CP52" s="398"/>
      <c r="CQ52" s="398"/>
      <c r="CR52" s="398"/>
      <c r="CS52" s="398"/>
      <c r="CT52" s="398"/>
      <c r="CU52" s="398"/>
      <c r="CV52" s="398"/>
      <c r="CW52" s="398"/>
      <c r="CX52" s="398"/>
      <c r="CY52" s="398"/>
      <c r="CZ52" s="398"/>
      <c r="DA52" s="398"/>
      <c r="DB52" s="398"/>
      <c r="DC52" s="398"/>
      <c r="DD52" s="398"/>
      <c r="DE52" s="398"/>
      <c r="DF52" s="398"/>
      <c r="DG52" s="398"/>
      <c r="DH52" s="398"/>
      <c r="DI52" s="399"/>
      <c r="DJ52" s="399"/>
      <c r="DK52" s="399"/>
      <c r="DL52" s="399"/>
      <c r="DM52" s="399"/>
      <c r="DN52" s="350"/>
      <c r="DO52" s="350"/>
      <c r="DP52" s="350"/>
      <c r="DQ52" s="350"/>
      <c r="DR52" s="350"/>
    </row>
    <row r="53" spans="1:122" ht="12.75" hidden="1">
      <c r="A53" s="348"/>
      <c r="B53" s="349"/>
      <c r="C53" s="808"/>
      <c r="D53" s="689">
        <f>SUM(D51:D52)</f>
        <v>0.1</v>
      </c>
      <c r="E53" s="812" t="str">
        <f>IF(D53=C45,"Total","The total must be equal to the total baseline compressor unloaded time of "&amp;TEXT(C45,"0%")&amp;".")</f>
        <v>The total must be equal to the total baseline compressor unloaded time of 0%.</v>
      </c>
      <c r="G53" s="365"/>
      <c r="H53" s="365"/>
      <c r="I53" s="365"/>
      <c r="J53" s="365"/>
      <c r="K53" s="365"/>
      <c r="L53" s="365"/>
      <c r="M53" s="382"/>
      <c r="N53" s="382"/>
      <c r="O53" s="382"/>
      <c r="P53" s="420"/>
      <c r="Q53" s="420"/>
      <c r="R53" s="420"/>
      <c r="S53" s="365"/>
      <c r="T53" s="365"/>
      <c r="U53" s="382"/>
      <c r="V53" s="382"/>
      <c r="W53" s="420"/>
      <c r="X53" s="420"/>
      <c r="Y53" s="349"/>
      <c r="Z53" s="348"/>
      <c r="AA53" s="421"/>
      <c r="AB53" s="348"/>
      <c r="AC53" s="348"/>
      <c r="AD53" s="348"/>
      <c r="AE53" s="348"/>
      <c r="AF53" s="348"/>
      <c r="AG53" s="348"/>
      <c r="AH53" s="348"/>
      <c r="AI53" s="348"/>
      <c r="AJ53" s="348"/>
      <c r="AK53" s="348"/>
      <c r="AL53" s="348"/>
      <c r="AM53" s="348"/>
      <c r="AN53" s="348"/>
      <c r="AO53" s="348"/>
      <c r="AP53" s="348"/>
      <c r="AQ53" s="348"/>
      <c r="AR53" s="348"/>
      <c r="AS53" s="348"/>
      <c r="AT53" s="348"/>
      <c r="AU53" s="348"/>
      <c r="AV53" s="348"/>
      <c r="AW53" s="348"/>
      <c r="AX53" s="348"/>
      <c r="AY53" s="348"/>
      <c r="AZ53" s="348"/>
      <c r="BA53" s="348"/>
      <c r="BB53" s="348"/>
      <c r="BC53" s="348"/>
      <c r="BD53" s="348"/>
      <c r="BE53" s="348"/>
      <c r="BF53" s="348"/>
      <c r="BG53" s="348"/>
      <c r="BH53" s="348"/>
      <c r="BI53" s="348"/>
      <c r="BJ53" s="348"/>
      <c r="BK53" s="348"/>
      <c r="BL53" s="348"/>
      <c r="BM53" s="348"/>
      <c r="BN53" s="348"/>
      <c r="BO53" s="348"/>
      <c r="BP53" s="348"/>
      <c r="BQ53" s="398"/>
      <c r="BR53" s="398"/>
      <c r="BS53" s="398"/>
      <c r="BT53" s="398"/>
      <c r="BU53" s="398"/>
      <c r="BV53" s="398"/>
      <c r="BW53" s="398"/>
      <c r="BX53" s="398"/>
      <c r="BY53" s="398"/>
      <c r="BZ53" s="398"/>
      <c r="CA53" s="398"/>
      <c r="CB53" s="398"/>
      <c r="CC53" s="398"/>
      <c r="CD53" s="398"/>
      <c r="CE53" s="398"/>
      <c r="CF53" s="398"/>
      <c r="CG53" s="398"/>
      <c r="CH53" s="398"/>
      <c r="CI53" s="398"/>
      <c r="CJ53" s="398"/>
      <c r="CK53" s="398"/>
      <c r="CL53" s="398"/>
      <c r="CM53" s="398"/>
      <c r="CN53" s="398"/>
      <c r="CO53" s="398"/>
      <c r="CP53" s="398"/>
      <c r="CQ53" s="398"/>
      <c r="CR53" s="398"/>
      <c r="CS53" s="398"/>
      <c r="CT53" s="398"/>
      <c r="CU53" s="398"/>
      <c r="CV53" s="398"/>
      <c r="CW53" s="398"/>
      <c r="CX53" s="398"/>
      <c r="CY53" s="398"/>
      <c r="CZ53" s="398"/>
      <c r="DA53" s="398"/>
      <c r="DB53" s="398"/>
      <c r="DC53" s="398"/>
      <c r="DD53" s="398"/>
      <c r="DE53" s="398"/>
      <c r="DF53" s="398"/>
      <c r="DG53" s="398"/>
      <c r="DH53" s="398"/>
      <c r="DI53" s="399"/>
      <c r="DJ53" s="399"/>
      <c r="DK53" s="399"/>
      <c r="DL53" s="399"/>
      <c r="DM53" s="399"/>
      <c r="DN53" s="350"/>
      <c r="DO53" s="350"/>
      <c r="DP53" s="350"/>
      <c r="DQ53" s="350"/>
      <c r="DR53" s="350"/>
    </row>
    <row r="54" spans="1:122" ht="12.75">
      <c r="A54" s="348"/>
      <c r="B54" s="349"/>
      <c r="C54" s="349"/>
      <c r="D54" s="349"/>
      <c r="E54" s="349"/>
      <c r="F54" s="349"/>
      <c r="G54" s="349"/>
      <c r="H54" s="349"/>
      <c r="I54" s="349"/>
      <c r="J54" s="349"/>
      <c r="K54" s="349"/>
      <c r="L54" s="349"/>
      <c r="M54" s="382"/>
      <c r="N54" s="382"/>
      <c r="O54" s="382"/>
      <c r="P54" s="422"/>
      <c r="Q54" s="422"/>
      <c r="R54" s="422"/>
      <c r="S54" s="422"/>
      <c r="T54" s="422"/>
      <c r="U54" s="382"/>
      <c r="V54" s="382"/>
      <c r="W54" s="382"/>
      <c r="X54" s="422"/>
      <c r="Y54" s="349"/>
      <c r="Z54" s="348"/>
      <c r="AA54" s="423"/>
      <c r="AB54" s="348"/>
      <c r="AC54" s="348"/>
      <c r="AD54" s="348"/>
      <c r="AE54" s="348"/>
      <c r="AF54" s="348"/>
      <c r="AG54" s="348"/>
      <c r="AH54" s="348"/>
      <c r="AI54" s="348"/>
      <c r="AJ54" s="348"/>
      <c r="AK54" s="348"/>
      <c r="AL54" s="348"/>
      <c r="AM54" s="348"/>
      <c r="AN54" s="348"/>
      <c r="AO54" s="348"/>
      <c r="AP54" s="348"/>
      <c r="AQ54" s="348"/>
      <c r="AR54" s="348"/>
      <c r="AS54" s="348"/>
      <c r="AT54" s="348"/>
      <c r="AU54" s="348"/>
      <c r="AV54" s="348"/>
      <c r="AW54" s="348"/>
      <c r="AX54" s="348"/>
      <c r="AY54" s="348"/>
      <c r="AZ54" s="348"/>
      <c r="BA54" s="348"/>
      <c r="BB54" s="348"/>
      <c r="BC54" s="348"/>
      <c r="BD54" s="348"/>
      <c r="BE54" s="348"/>
      <c r="BF54" s="348"/>
      <c r="BG54" s="348"/>
      <c r="BH54" s="348"/>
      <c r="BI54" s="348"/>
      <c r="BJ54" s="348"/>
      <c r="BK54" s="348"/>
      <c r="BL54" s="348"/>
      <c r="BM54" s="348"/>
      <c r="BN54" s="348"/>
      <c r="BO54" s="348"/>
      <c r="BP54" s="348"/>
      <c r="BQ54" s="398"/>
      <c r="BR54" s="398"/>
      <c r="BS54" s="398"/>
      <c r="BT54" s="398"/>
      <c r="BU54" s="398"/>
      <c r="BV54" s="398"/>
      <c r="BW54" s="398"/>
      <c r="BX54" s="398"/>
      <c r="BY54" s="398"/>
      <c r="BZ54" s="398"/>
      <c r="CA54" s="398"/>
      <c r="CB54" s="398"/>
      <c r="CC54" s="398"/>
      <c r="CD54" s="398"/>
      <c r="CE54" s="398"/>
      <c r="CF54" s="398"/>
      <c r="CG54" s="398"/>
      <c r="CH54" s="398"/>
      <c r="CI54" s="398"/>
      <c r="CJ54" s="398"/>
      <c r="CK54" s="398"/>
      <c r="CL54" s="398"/>
      <c r="CM54" s="398"/>
      <c r="CN54" s="398"/>
      <c r="CO54" s="398"/>
      <c r="CP54" s="398"/>
      <c r="CQ54" s="398"/>
      <c r="CR54" s="398"/>
      <c r="CS54" s="398"/>
      <c r="CT54" s="398"/>
      <c r="CU54" s="398"/>
      <c r="CV54" s="398"/>
      <c r="CW54" s="398"/>
      <c r="CX54" s="398"/>
      <c r="CY54" s="398"/>
      <c r="CZ54" s="398"/>
      <c r="DA54" s="398"/>
      <c r="DB54" s="398"/>
      <c r="DC54" s="398"/>
      <c r="DD54" s="398"/>
      <c r="DE54" s="398"/>
      <c r="DF54" s="398"/>
      <c r="DG54" s="398"/>
      <c r="DH54" s="398"/>
      <c r="DI54" s="399"/>
      <c r="DJ54" s="399"/>
      <c r="DK54" s="399"/>
      <c r="DL54" s="399"/>
      <c r="DM54" s="399"/>
      <c r="DN54" s="350"/>
      <c r="DO54" s="350"/>
      <c r="DP54" s="350"/>
      <c r="DQ54" s="350"/>
      <c r="DR54" s="350"/>
    </row>
    <row r="55" spans="1:122" ht="12.75">
      <c r="A55" s="348"/>
      <c r="B55" s="349"/>
      <c r="C55" s="365"/>
      <c r="D55" s="365"/>
      <c r="E55" s="365"/>
      <c r="F55" s="365"/>
      <c r="G55" s="365"/>
      <c r="H55" s="365"/>
      <c r="I55" s="365"/>
      <c r="J55" s="365"/>
      <c r="K55" s="365"/>
      <c r="L55" s="365"/>
      <c r="M55" s="365"/>
      <c r="N55" s="365"/>
      <c r="O55" s="365"/>
      <c r="P55" s="365"/>
      <c r="Q55" s="365"/>
      <c r="R55" s="365"/>
      <c r="S55" s="365"/>
      <c r="T55" s="365"/>
      <c r="U55" s="365"/>
      <c r="V55" s="365"/>
      <c r="W55" s="365"/>
      <c r="X55" s="365"/>
      <c r="Y55" s="349"/>
      <c r="Z55" s="348"/>
      <c r="AA55" s="348"/>
      <c r="AB55" s="348"/>
      <c r="AC55" s="348"/>
      <c r="AD55" s="348"/>
      <c r="AE55" s="348"/>
      <c r="AF55" s="348"/>
      <c r="AG55" s="348"/>
      <c r="AH55" s="348"/>
      <c r="AI55" s="348"/>
      <c r="AJ55" s="348"/>
      <c r="AK55" s="348"/>
      <c r="AL55" s="348"/>
      <c r="AM55" s="348"/>
      <c r="AN55" s="348"/>
      <c r="AO55" s="348"/>
      <c r="AP55" s="348"/>
      <c r="AQ55" s="348"/>
      <c r="AR55" s="348"/>
      <c r="AS55" s="348"/>
      <c r="AT55" s="348"/>
      <c r="AU55" s="348"/>
      <c r="AV55" s="348"/>
      <c r="AW55" s="348"/>
      <c r="AX55" s="348"/>
      <c r="AY55" s="348"/>
      <c r="AZ55" s="348"/>
      <c r="BA55" s="348"/>
      <c r="BB55" s="348"/>
      <c r="BC55" s="348"/>
      <c r="BD55" s="348"/>
      <c r="BE55" s="348"/>
      <c r="BF55" s="348"/>
      <c r="BG55" s="348"/>
      <c r="BH55" s="348"/>
      <c r="BI55" s="348"/>
      <c r="BJ55" s="348"/>
      <c r="BK55" s="348"/>
      <c r="BL55" s="348"/>
      <c r="BM55" s="348"/>
      <c r="BN55" s="348"/>
      <c r="BO55" s="348"/>
      <c r="BP55" s="348"/>
      <c r="BQ55" s="398"/>
      <c r="BR55" s="398"/>
      <c r="BS55" s="398"/>
      <c r="BT55" s="398"/>
      <c r="BU55" s="398"/>
      <c r="BV55" s="398"/>
      <c r="BW55" s="398"/>
      <c r="BX55" s="398"/>
      <c r="BY55" s="398"/>
      <c r="BZ55" s="398"/>
      <c r="CA55" s="398"/>
      <c r="CB55" s="398"/>
      <c r="CC55" s="398"/>
      <c r="CD55" s="398"/>
      <c r="CE55" s="398"/>
      <c r="CF55" s="398"/>
      <c r="CG55" s="398"/>
      <c r="CH55" s="398"/>
      <c r="CI55" s="398"/>
      <c r="CJ55" s="398"/>
      <c r="CK55" s="398"/>
      <c r="CL55" s="398"/>
      <c r="CM55" s="398"/>
      <c r="CN55" s="398"/>
      <c r="CO55" s="398"/>
      <c r="CP55" s="398"/>
      <c r="CQ55" s="398"/>
      <c r="CR55" s="398"/>
      <c r="CS55" s="398"/>
      <c r="CT55" s="398"/>
      <c r="CU55" s="398"/>
      <c r="CV55" s="398"/>
      <c r="CW55" s="398"/>
      <c r="CX55" s="398"/>
      <c r="CY55" s="398"/>
      <c r="CZ55" s="398"/>
      <c r="DA55" s="398"/>
      <c r="DB55" s="398"/>
      <c r="DC55" s="398"/>
      <c r="DD55" s="398"/>
      <c r="DE55" s="398"/>
      <c r="DF55" s="398"/>
      <c r="DG55" s="398"/>
      <c r="DH55" s="398"/>
      <c r="DI55" s="399"/>
      <c r="DJ55" s="399"/>
      <c r="DK55" s="399"/>
      <c r="DL55" s="399"/>
      <c r="DM55" s="399"/>
      <c r="DN55" s="350"/>
      <c r="DO55" s="350"/>
      <c r="DP55" s="350"/>
      <c r="DQ55" s="350"/>
      <c r="DR55" s="350"/>
    </row>
    <row r="56" spans="1:122" ht="12.75">
      <c r="A56" s="348"/>
      <c r="B56" s="349"/>
      <c r="C56" s="365"/>
      <c r="D56" s="365"/>
      <c r="E56" s="365"/>
      <c r="F56" s="365"/>
      <c r="G56" s="365"/>
      <c r="H56" s="365"/>
      <c r="I56" s="365"/>
      <c r="J56" s="365"/>
      <c r="K56" s="365"/>
      <c r="L56" s="365"/>
      <c r="M56" s="365"/>
      <c r="N56" s="365"/>
      <c r="O56" s="365"/>
      <c r="P56" s="365"/>
      <c r="Q56" s="365"/>
      <c r="R56" s="365"/>
      <c r="S56" s="365"/>
      <c r="T56" s="365"/>
      <c r="U56" s="365"/>
      <c r="V56" s="365"/>
      <c r="W56" s="365"/>
      <c r="X56" s="365"/>
      <c r="Y56" s="349"/>
      <c r="Z56" s="348"/>
      <c r="AA56" s="348"/>
      <c r="AB56" s="348"/>
      <c r="AC56" s="348"/>
      <c r="AD56" s="348"/>
      <c r="AE56" s="348"/>
      <c r="AF56" s="348"/>
      <c r="AG56" s="348"/>
      <c r="AH56" s="348"/>
      <c r="AI56" s="348"/>
      <c r="AJ56" s="348"/>
      <c r="AK56" s="348"/>
      <c r="AL56" s="348"/>
      <c r="AM56" s="348"/>
      <c r="AN56" s="348"/>
      <c r="AO56" s="348"/>
      <c r="AP56" s="348"/>
      <c r="AQ56" s="348"/>
      <c r="AR56" s="348"/>
      <c r="AS56" s="348"/>
      <c r="AT56" s="348"/>
      <c r="AU56" s="348"/>
      <c r="AV56" s="348"/>
      <c r="AW56" s="348"/>
      <c r="AX56" s="348"/>
      <c r="AY56" s="348"/>
      <c r="AZ56" s="348"/>
      <c r="BA56" s="348"/>
      <c r="BB56" s="348"/>
      <c r="BC56" s="348"/>
      <c r="BD56" s="348"/>
      <c r="BE56" s="348"/>
      <c r="BF56" s="348"/>
      <c r="BG56" s="348"/>
      <c r="BH56" s="348"/>
      <c r="BI56" s="348"/>
      <c r="BJ56" s="348"/>
      <c r="BK56" s="348"/>
      <c r="BL56" s="348"/>
      <c r="BM56" s="348"/>
      <c r="BN56" s="348"/>
      <c r="BO56" s="348"/>
      <c r="BP56" s="348"/>
      <c r="BQ56" s="398"/>
      <c r="BR56" s="398"/>
      <c r="BS56" s="398"/>
      <c r="BT56" s="398"/>
      <c r="BU56" s="398"/>
      <c r="BV56" s="398"/>
      <c r="BW56" s="398"/>
      <c r="BX56" s="398"/>
      <c r="BY56" s="398"/>
      <c r="BZ56" s="398"/>
      <c r="CA56" s="398"/>
      <c r="CB56" s="398"/>
      <c r="CC56" s="398"/>
      <c r="CD56" s="398"/>
      <c r="CE56" s="398"/>
      <c r="CF56" s="398"/>
      <c r="CG56" s="398"/>
      <c r="CH56" s="398"/>
      <c r="CI56" s="398"/>
      <c r="CJ56" s="398"/>
      <c r="CK56" s="398"/>
      <c r="CL56" s="398"/>
      <c r="CM56" s="398"/>
      <c r="CN56" s="398"/>
      <c r="CO56" s="398"/>
      <c r="CP56" s="398"/>
      <c r="CQ56" s="398"/>
      <c r="CR56" s="398"/>
      <c r="CS56" s="398"/>
      <c r="CT56" s="398"/>
      <c r="CU56" s="398"/>
      <c r="CV56" s="398"/>
      <c r="CW56" s="398"/>
      <c r="CX56" s="398"/>
      <c r="CY56" s="398"/>
      <c r="CZ56" s="398"/>
      <c r="DA56" s="398"/>
      <c r="DB56" s="398"/>
      <c r="DC56" s="398"/>
      <c r="DD56" s="398"/>
      <c r="DE56" s="398"/>
      <c r="DF56" s="398"/>
      <c r="DG56" s="398"/>
      <c r="DH56" s="398"/>
      <c r="DI56" s="399"/>
      <c r="DJ56" s="399"/>
      <c r="DK56" s="399"/>
      <c r="DL56" s="399"/>
      <c r="DM56" s="399"/>
      <c r="DN56" s="350"/>
      <c r="DO56" s="350"/>
      <c r="DP56" s="350"/>
      <c r="DQ56" s="350"/>
      <c r="DR56" s="350"/>
    </row>
    <row r="57" spans="1:122" ht="12.75">
      <c r="A57" s="348"/>
      <c r="B57" s="349"/>
      <c r="C57" s="365"/>
      <c r="D57" s="365"/>
      <c r="E57" s="365"/>
      <c r="F57" s="365"/>
      <c r="G57" s="365"/>
      <c r="H57" s="365"/>
      <c r="I57" s="365"/>
      <c r="J57" s="365"/>
      <c r="K57" s="365"/>
      <c r="L57" s="365"/>
      <c r="M57" s="365"/>
      <c r="N57" s="365"/>
      <c r="O57" s="365"/>
      <c r="P57" s="365"/>
      <c r="Q57" s="365"/>
      <c r="R57" s="365"/>
      <c r="S57" s="365"/>
      <c r="T57" s="365"/>
      <c r="U57" s="365"/>
      <c r="V57" s="365"/>
      <c r="W57" s="365"/>
      <c r="X57" s="365"/>
      <c r="Y57" s="349"/>
      <c r="Z57" s="348"/>
      <c r="AA57" s="348"/>
      <c r="AB57" s="348"/>
      <c r="AC57" s="348"/>
      <c r="AD57" s="348"/>
      <c r="AE57" s="348"/>
      <c r="AF57" s="348"/>
      <c r="AG57" s="348"/>
      <c r="AH57" s="348"/>
      <c r="AI57" s="348"/>
      <c r="AJ57" s="348"/>
      <c r="AK57" s="348"/>
      <c r="AL57" s="348"/>
      <c r="AM57" s="348"/>
      <c r="AN57" s="348"/>
      <c r="AO57" s="348"/>
      <c r="AP57" s="348"/>
      <c r="AQ57" s="348"/>
      <c r="AR57" s="348"/>
      <c r="AS57" s="348"/>
      <c r="AT57" s="348"/>
      <c r="AU57" s="348"/>
      <c r="AV57" s="348"/>
      <c r="AW57" s="348"/>
      <c r="AX57" s="348"/>
      <c r="AY57" s="348"/>
      <c r="AZ57" s="348"/>
      <c r="BA57" s="348"/>
      <c r="BB57" s="348"/>
      <c r="BC57" s="348"/>
      <c r="BD57" s="348"/>
      <c r="BE57" s="348"/>
      <c r="BF57" s="348"/>
      <c r="BG57" s="348"/>
      <c r="BH57" s="348"/>
      <c r="BI57" s="348"/>
      <c r="BJ57" s="348"/>
      <c r="BK57" s="348"/>
      <c r="BL57" s="348"/>
      <c r="BM57" s="348"/>
      <c r="BN57" s="348"/>
      <c r="BO57" s="348"/>
      <c r="BP57" s="348"/>
      <c r="BQ57" s="398"/>
      <c r="BR57" s="398"/>
      <c r="BS57" s="398"/>
      <c r="BT57" s="398"/>
      <c r="BU57" s="398"/>
      <c r="BV57" s="398"/>
      <c r="BW57" s="398"/>
      <c r="BX57" s="398"/>
      <c r="BY57" s="398"/>
      <c r="BZ57" s="398"/>
      <c r="CA57" s="398"/>
      <c r="CB57" s="398"/>
      <c r="CC57" s="398"/>
      <c r="CD57" s="398"/>
      <c r="CE57" s="398"/>
      <c r="CF57" s="398"/>
      <c r="CG57" s="398"/>
      <c r="CH57" s="398"/>
      <c r="CI57" s="398"/>
      <c r="CJ57" s="398"/>
      <c r="CK57" s="398"/>
      <c r="CL57" s="398"/>
      <c r="CM57" s="398"/>
      <c r="CN57" s="398"/>
      <c r="CO57" s="398"/>
      <c r="CP57" s="398"/>
      <c r="CQ57" s="398"/>
      <c r="CR57" s="398"/>
      <c r="CS57" s="398"/>
      <c r="CT57" s="398"/>
      <c r="CU57" s="398"/>
      <c r="CV57" s="398"/>
      <c r="CW57" s="398"/>
      <c r="CX57" s="398"/>
      <c r="CY57" s="398"/>
      <c r="CZ57" s="398"/>
      <c r="DA57" s="398"/>
      <c r="DB57" s="398"/>
      <c r="DC57" s="398"/>
      <c r="DD57" s="398"/>
      <c r="DE57" s="398"/>
      <c r="DF57" s="398"/>
      <c r="DG57" s="398"/>
      <c r="DH57" s="398"/>
      <c r="DI57" s="399"/>
      <c r="DJ57" s="399"/>
      <c r="DK57" s="399"/>
      <c r="DL57" s="399"/>
      <c r="DM57" s="399"/>
      <c r="DN57" s="350"/>
      <c r="DO57" s="350"/>
      <c r="DP57" s="350"/>
      <c r="DQ57" s="350"/>
      <c r="DR57" s="350"/>
    </row>
    <row r="58" spans="1:122" ht="12.75">
      <c r="A58" s="348"/>
      <c r="B58" s="349"/>
      <c r="C58" s="365"/>
      <c r="D58" s="365"/>
      <c r="E58" s="365"/>
      <c r="F58" s="365"/>
      <c r="G58" s="365"/>
      <c r="H58" s="365"/>
      <c r="I58" s="365"/>
      <c r="J58" s="365"/>
      <c r="K58" s="365"/>
      <c r="L58" s="365"/>
      <c r="M58" s="365"/>
      <c r="N58" s="365"/>
      <c r="O58" s="365"/>
      <c r="P58" s="365"/>
      <c r="Q58" s="365"/>
      <c r="R58" s="365"/>
      <c r="S58" s="365"/>
      <c r="T58" s="365"/>
      <c r="U58" s="365"/>
      <c r="V58" s="365"/>
      <c r="W58" s="365"/>
      <c r="X58" s="365"/>
      <c r="Y58" s="349"/>
      <c r="Z58" s="429"/>
      <c r="AA58" s="429"/>
      <c r="AB58" s="429"/>
      <c r="AC58" s="429"/>
      <c r="AD58" s="429"/>
      <c r="AE58" s="429"/>
      <c r="AF58" s="429"/>
      <c r="AG58" s="429"/>
      <c r="AH58" s="348"/>
      <c r="AI58" s="357"/>
      <c r="AJ58" s="357"/>
      <c r="AK58" s="357"/>
      <c r="AL58" s="357"/>
      <c r="AM58" s="357"/>
      <c r="AN58" s="357"/>
      <c r="AO58" s="357"/>
      <c r="AP58" s="357"/>
      <c r="AQ58" s="357"/>
      <c r="AR58" s="357"/>
      <c r="AS58" s="357"/>
      <c r="AT58" s="357"/>
      <c r="AU58" s="357"/>
      <c r="AV58" s="357"/>
      <c r="AW58" s="357"/>
      <c r="AX58" s="357"/>
      <c r="AY58" s="357"/>
      <c r="AZ58" s="357"/>
      <c r="BA58" s="357"/>
      <c r="BB58" s="357"/>
      <c r="BC58" s="357"/>
      <c r="BD58" s="357"/>
      <c r="BE58" s="357"/>
      <c r="BF58" s="357"/>
      <c r="BG58" s="357"/>
      <c r="BH58" s="357"/>
      <c r="BI58" s="357"/>
      <c r="BJ58" s="357"/>
      <c r="BK58" s="357"/>
      <c r="BL58" s="357"/>
      <c r="BM58" s="357"/>
      <c r="BN58" s="357"/>
      <c r="BO58" s="357"/>
      <c r="BP58" s="357"/>
      <c r="BQ58" s="398"/>
      <c r="BR58" s="398"/>
      <c r="BS58" s="398"/>
      <c r="BT58" s="398"/>
      <c r="BU58" s="398"/>
      <c r="BV58" s="398"/>
      <c r="BW58" s="398"/>
      <c r="BX58" s="398"/>
      <c r="BY58" s="398"/>
      <c r="BZ58" s="398"/>
      <c r="CA58" s="398"/>
      <c r="CB58" s="398"/>
      <c r="CC58" s="398"/>
      <c r="CD58" s="398"/>
      <c r="CE58" s="398"/>
      <c r="CF58" s="398"/>
      <c r="CG58" s="398"/>
      <c r="CH58" s="398"/>
      <c r="CI58" s="398"/>
      <c r="CJ58" s="398"/>
      <c r="CK58" s="398"/>
      <c r="CL58" s="398"/>
      <c r="CM58" s="398"/>
      <c r="CN58" s="398"/>
      <c r="CO58" s="398"/>
      <c r="CP58" s="398"/>
      <c r="CQ58" s="398"/>
      <c r="CR58" s="398"/>
      <c r="CS58" s="398"/>
      <c r="CT58" s="398"/>
      <c r="CU58" s="398"/>
      <c r="CV58" s="398"/>
      <c r="CW58" s="398"/>
      <c r="CX58" s="398"/>
      <c r="CY58" s="398"/>
      <c r="CZ58" s="398"/>
      <c r="DA58" s="398"/>
      <c r="DB58" s="398"/>
      <c r="DC58" s="398"/>
      <c r="DD58" s="398"/>
      <c r="DE58" s="398"/>
      <c r="DF58" s="398"/>
      <c r="DG58" s="398"/>
      <c r="DH58" s="398"/>
      <c r="DI58" s="399"/>
      <c r="DJ58" s="399"/>
      <c r="DK58" s="399"/>
      <c r="DL58" s="399"/>
      <c r="DM58" s="399"/>
      <c r="DN58" s="350"/>
      <c r="DO58" s="350"/>
      <c r="DP58" s="350"/>
      <c r="DQ58" s="350"/>
      <c r="DR58" s="350"/>
    </row>
    <row r="59" spans="1:122" ht="12.75">
      <c r="A59" s="348"/>
      <c r="B59" s="349"/>
      <c r="C59" s="365"/>
      <c r="D59" s="365"/>
      <c r="E59" s="365"/>
      <c r="F59" s="365"/>
      <c r="G59" s="365"/>
      <c r="H59" s="365"/>
      <c r="I59" s="365"/>
      <c r="J59" s="365"/>
      <c r="K59" s="365"/>
      <c r="L59" s="365"/>
      <c r="M59" s="365"/>
      <c r="N59" s="365"/>
      <c r="O59" s="365"/>
      <c r="P59" s="365"/>
      <c r="Q59" s="365"/>
      <c r="R59" s="365"/>
      <c r="S59" s="365"/>
      <c r="T59" s="365"/>
      <c r="U59" s="365"/>
      <c r="V59" s="365"/>
      <c r="W59" s="365"/>
      <c r="X59" s="365"/>
      <c r="Y59" s="349"/>
      <c r="Z59" s="429"/>
      <c r="AA59" s="429"/>
      <c r="AB59" s="429"/>
      <c r="AC59" s="429"/>
      <c r="AD59" s="429"/>
      <c r="AE59" s="429"/>
      <c r="AF59" s="429"/>
      <c r="AG59" s="429"/>
      <c r="AH59" s="348"/>
      <c r="AI59" s="357"/>
      <c r="AJ59" s="357"/>
      <c r="AK59" s="357"/>
      <c r="AL59" s="357"/>
      <c r="AM59" s="357"/>
      <c r="AN59" s="357"/>
      <c r="AO59" s="357"/>
      <c r="AP59" s="357"/>
      <c r="AQ59" s="357"/>
      <c r="AR59" s="357"/>
      <c r="AS59" s="357"/>
      <c r="AT59" s="357"/>
      <c r="AU59" s="357"/>
      <c r="AV59" s="357"/>
      <c r="AW59" s="357"/>
      <c r="AX59" s="357"/>
      <c r="AY59" s="357"/>
      <c r="AZ59" s="357"/>
      <c r="BA59" s="357"/>
      <c r="BB59" s="357"/>
      <c r="BC59" s="357"/>
      <c r="BD59" s="357"/>
      <c r="BE59" s="357"/>
      <c r="BF59" s="357"/>
      <c r="BG59" s="357"/>
      <c r="BH59" s="357"/>
      <c r="BI59" s="357"/>
      <c r="BJ59" s="357"/>
      <c r="BK59" s="357"/>
      <c r="BL59" s="357"/>
      <c r="BM59" s="357"/>
      <c r="BN59" s="357"/>
      <c r="BO59" s="357"/>
      <c r="BP59" s="357"/>
      <c r="BQ59" s="398"/>
      <c r="BR59" s="398"/>
      <c r="BS59" s="398"/>
      <c r="BT59" s="398"/>
      <c r="BU59" s="398"/>
      <c r="BV59" s="398"/>
      <c r="BW59" s="398"/>
      <c r="BX59" s="398"/>
      <c r="BY59" s="398"/>
      <c r="BZ59" s="398"/>
      <c r="CA59" s="398"/>
      <c r="CB59" s="398"/>
      <c r="CC59" s="398"/>
      <c r="CD59" s="398"/>
      <c r="CE59" s="398"/>
      <c r="CF59" s="398"/>
      <c r="CG59" s="398"/>
      <c r="CH59" s="398"/>
      <c r="CI59" s="398"/>
      <c r="CJ59" s="398"/>
      <c r="CK59" s="398"/>
      <c r="CL59" s="398"/>
      <c r="CM59" s="398"/>
      <c r="CN59" s="398"/>
      <c r="CO59" s="398"/>
      <c r="CP59" s="398"/>
      <c r="CQ59" s="398"/>
      <c r="CR59" s="398"/>
      <c r="CS59" s="398"/>
      <c r="CT59" s="398"/>
      <c r="CU59" s="398"/>
      <c r="CV59" s="398"/>
      <c r="CW59" s="398"/>
      <c r="CX59" s="398"/>
      <c r="CY59" s="398"/>
      <c r="CZ59" s="398"/>
      <c r="DA59" s="398"/>
      <c r="DB59" s="398"/>
      <c r="DC59" s="398"/>
      <c r="DD59" s="398"/>
      <c r="DE59" s="398"/>
      <c r="DF59" s="398"/>
      <c r="DG59" s="398"/>
      <c r="DH59" s="398"/>
      <c r="DI59" s="399"/>
      <c r="DJ59" s="399"/>
      <c r="DK59" s="399"/>
      <c r="DL59" s="399"/>
      <c r="DM59" s="399"/>
      <c r="DN59" s="350"/>
      <c r="DO59" s="350"/>
      <c r="DP59" s="350"/>
      <c r="DQ59" s="350"/>
      <c r="DR59" s="350"/>
    </row>
    <row r="60" spans="1:122" ht="12.75">
      <c r="A60" s="348"/>
      <c r="B60" s="349"/>
      <c r="C60" s="365"/>
      <c r="D60" s="365"/>
      <c r="E60" s="365"/>
      <c r="F60" s="365"/>
      <c r="G60" s="365"/>
      <c r="H60" s="365"/>
      <c r="I60" s="365"/>
      <c r="J60" s="365"/>
      <c r="K60" s="365"/>
      <c r="L60" s="365"/>
      <c r="M60" s="365"/>
      <c r="N60" s="365"/>
      <c r="O60" s="365"/>
      <c r="P60" s="365"/>
      <c r="Q60" s="365"/>
      <c r="R60" s="365"/>
      <c r="S60" s="365"/>
      <c r="T60" s="365"/>
      <c r="U60" s="365"/>
      <c r="V60" s="365"/>
      <c r="W60" s="365"/>
      <c r="X60" s="365"/>
      <c r="Y60" s="349"/>
      <c r="Z60" s="429"/>
      <c r="AA60" s="429"/>
      <c r="AB60" s="429"/>
      <c r="AC60" s="429"/>
      <c r="AD60" s="429"/>
      <c r="AE60" s="429"/>
      <c r="AF60" s="429"/>
      <c r="AG60" s="429"/>
      <c r="AH60" s="348"/>
      <c r="AI60" s="357"/>
      <c r="AJ60" s="357"/>
      <c r="AK60" s="357"/>
      <c r="AL60" s="357"/>
      <c r="AM60" s="357"/>
      <c r="AN60" s="357"/>
      <c r="AO60" s="357"/>
      <c r="AP60" s="357"/>
      <c r="AQ60" s="357"/>
      <c r="AR60" s="357"/>
      <c r="AS60" s="357"/>
      <c r="AT60" s="357"/>
      <c r="AU60" s="357"/>
      <c r="AV60" s="357"/>
      <c r="AW60" s="357"/>
      <c r="AX60" s="357"/>
      <c r="AY60" s="357"/>
      <c r="AZ60" s="357"/>
      <c r="BA60" s="357"/>
      <c r="BB60" s="357"/>
      <c r="BC60" s="357"/>
      <c r="BD60" s="357"/>
      <c r="BE60" s="357"/>
      <c r="BF60" s="357"/>
      <c r="BG60" s="357"/>
      <c r="BH60" s="357"/>
      <c r="BI60" s="357"/>
      <c r="BJ60" s="357"/>
      <c r="BK60" s="357"/>
      <c r="BL60" s="357"/>
      <c r="BM60" s="357"/>
      <c r="BN60" s="357"/>
      <c r="BO60" s="357"/>
      <c r="BP60" s="357"/>
      <c r="BQ60" s="398"/>
      <c r="BR60" s="398"/>
      <c r="BS60" s="398"/>
      <c r="BT60" s="398"/>
      <c r="BU60" s="398"/>
      <c r="BV60" s="398"/>
      <c r="BW60" s="398"/>
      <c r="BX60" s="398"/>
      <c r="BY60" s="398"/>
      <c r="BZ60" s="398"/>
      <c r="CA60" s="398"/>
      <c r="CB60" s="398"/>
      <c r="CC60" s="398"/>
      <c r="CD60" s="398"/>
      <c r="CE60" s="398"/>
      <c r="CF60" s="398"/>
      <c r="CG60" s="398"/>
      <c r="CH60" s="398"/>
      <c r="CI60" s="398"/>
      <c r="CJ60" s="398"/>
      <c r="CK60" s="398"/>
      <c r="CL60" s="398"/>
      <c r="CM60" s="398"/>
      <c r="CN60" s="398"/>
      <c r="CO60" s="398"/>
      <c r="CP60" s="398"/>
      <c r="CQ60" s="398"/>
      <c r="CR60" s="398"/>
      <c r="CS60" s="398"/>
      <c r="CT60" s="398"/>
      <c r="CU60" s="398"/>
      <c r="CV60" s="398"/>
      <c r="CW60" s="398"/>
      <c r="CX60" s="398"/>
      <c r="CY60" s="398"/>
      <c r="CZ60" s="398"/>
      <c r="DA60" s="398"/>
      <c r="DB60" s="398"/>
      <c r="DC60" s="398"/>
      <c r="DD60" s="398"/>
      <c r="DE60" s="398"/>
      <c r="DF60" s="398"/>
      <c r="DG60" s="398"/>
      <c r="DH60" s="398"/>
      <c r="DI60" s="399"/>
      <c r="DJ60" s="399"/>
      <c r="DK60" s="399"/>
      <c r="DL60" s="399"/>
      <c r="DM60" s="399"/>
      <c r="DN60" s="350"/>
      <c r="DO60" s="350"/>
      <c r="DP60" s="350"/>
      <c r="DQ60" s="350"/>
      <c r="DR60" s="350"/>
    </row>
    <row r="61" spans="1:122" ht="12.75">
      <c r="A61" s="348"/>
      <c r="B61" s="349"/>
      <c r="C61" s="365"/>
      <c r="D61" s="365"/>
      <c r="E61" s="365"/>
      <c r="F61" s="365"/>
      <c r="G61" s="365"/>
      <c r="H61" s="365"/>
      <c r="I61" s="365"/>
      <c r="J61" s="365"/>
      <c r="K61" s="365"/>
      <c r="L61" s="365"/>
      <c r="M61" s="365"/>
      <c r="N61" s="365"/>
      <c r="O61" s="365"/>
      <c r="P61" s="365"/>
      <c r="Q61" s="365"/>
      <c r="R61" s="365"/>
      <c r="S61" s="365"/>
      <c r="T61" s="365"/>
      <c r="U61" s="365"/>
      <c r="V61" s="365"/>
      <c r="W61" s="365"/>
      <c r="X61" s="365"/>
      <c r="Y61" s="349"/>
      <c r="Z61" s="429"/>
      <c r="AA61" s="429"/>
      <c r="AB61" s="429"/>
      <c r="AC61" s="429"/>
      <c r="AD61" s="429"/>
      <c r="AE61" s="429"/>
      <c r="AF61" s="429"/>
      <c r="AG61" s="429"/>
      <c r="AH61" s="348"/>
      <c r="AI61" s="357"/>
      <c r="AJ61" s="357"/>
      <c r="AK61" s="357"/>
      <c r="AL61" s="357"/>
      <c r="AM61" s="357"/>
      <c r="AN61" s="357"/>
      <c r="AO61" s="357"/>
      <c r="AP61" s="357"/>
      <c r="AQ61" s="357"/>
      <c r="AR61" s="357"/>
      <c r="AS61" s="357"/>
      <c r="AT61" s="357"/>
      <c r="AU61" s="357"/>
      <c r="AV61" s="357"/>
      <c r="AW61" s="357"/>
      <c r="AX61" s="357"/>
      <c r="AY61" s="357"/>
      <c r="AZ61" s="357"/>
      <c r="BA61" s="357"/>
      <c r="BB61" s="357"/>
      <c r="BC61" s="357"/>
      <c r="BD61" s="357"/>
      <c r="BE61" s="357"/>
      <c r="BF61" s="357"/>
      <c r="BG61" s="357"/>
      <c r="BH61" s="357"/>
      <c r="BI61" s="357"/>
      <c r="BJ61" s="357"/>
      <c r="BK61" s="357"/>
      <c r="BL61" s="734"/>
      <c r="BM61" s="734"/>
      <c r="BN61" s="734"/>
      <c r="BO61" s="734"/>
      <c r="BP61" s="734"/>
      <c r="BQ61" s="735"/>
      <c r="BR61" s="735"/>
      <c r="BS61" s="735"/>
      <c r="BT61" s="735"/>
      <c r="BU61" s="735"/>
      <c r="BV61" s="735"/>
      <c r="BW61" s="735"/>
      <c r="BX61" s="735"/>
      <c r="BY61" s="735"/>
      <c r="BZ61" s="735"/>
      <c r="CA61" s="735"/>
      <c r="CB61" s="735"/>
      <c r="CC61" s="735"/>
      <c r="CD61" s="735"/>
      <c r="CE61" s="735"/>
      <c r="CF61" s="735"/>
      <c r="CG61" s="735"/>
      <c r="CH61" s="735"/>
      <c r="CI61" s="735"/>
      <c r="CJ61" s="735"/>
      <c r="CK61" s="735"/>
      <c r="CL61" s="735"/>
      <c r="CM61" s="735"/>
      <c r="CN61" s="735"/>
      <c r="CO61" s="735"/>
      <c r="CP61" s="735"/>
      <c r="CQ61" s="735"/>
      <c r="CR61" s="735"/>
      <c r="CS61" s="735"/>
      <c r="CT61" s="735"/>
      <c r="CU61" s="735"/>
      <c r="CV61" s="735"/>
      <c r="CW61" s="735"/>
      <c r="CX61" s="735"/>
      <c r="CY61" s="735"/>
      <c r="CZ61" s="735"/>
      <c r="DA61" s="735"/>
      <c r="DB61" s="735"/>
      <c r="DC61" s="735"/>
      <c r="DD61" s="735"/>
      <c r="DE61" s="735"/>
      <c r="DF61" s="735"/>
      <c r="DG61" s="735"/>
      <c r="DH61" s="735"/>
      <c r="DI61" s="399"/>
      <c r="DJ61" s="399"/>
      <c r="DK61" s="399"/>
      <c r="DL61" s="399"/>
      <c r="DM61" s="399"/>
      <c r="DN61" s="350"/>
      <c r="DO61" s="350"/>
      <c r="DP61" s="350"/>
      <c r="DQ61" s="350"/>
      <c r="DR61" s="350"/>
    </row>
    <row r="62" spans="1:122" ht="12.75">
      <c r="A62" s="348"/>
      <c r="B62" s="349"/>
      <c r="C62" s="365"/>
      <c r="D62" s="365"/>
      <c r="E62" s="365"/>
      <c r="F62" s="365"/>
      <c r="G62" s="365"/>
      <c r="H62" s="365"/>
      <c r="I62" s="365"/>
      <c r="J62" s="365"/>
      <c r="K62" s="365"/>
      <c r="L62" s="365"/>
      <c r="M62" s="365"/>
      <c r="N62" s="365"/>
      <c r="O62" s="365"/>
      <c r="P62" s="365"/>
      <c r="Q62" s="365"/>
      <c r="R62" s="365"/>
      <c r="S62" s="365"/>
      <c r="T62" s="365"/>
      <c r="U62" s="365"/>
      <c r="V62" s="365"/>
      <c r="W62" s="365"/>
      <c r="X62" s="365"/>
      <c r="Y62" s="349"/>
      <c r="Z62" s="429"/>
      <c r="AA62" s="429"/>
      <c r="AB62" s="429"/>
      <c r="AC62" s="429"/>
      <c r="AD62" s="429"/>
      <c r="AE62" s="429"/>
      <c r="AF62" s="429"/>
      <c r="AG62" s="429"/>
      <c r="AH62" s="357"/>
      <c r="AI62" s="357"/>
      <c r="AJ62" s="357"/>
      <c r="AK62" s="357"/>
      <c r="AL62" s="357"/>
      <c r="AM62" s="357"/>
      <c r="AN62" s="357"/>
      <c r="AO62" s="357"/>
      <c r="AP62" s="357"/>
      <c r="AQ62" s="357"/>
      <c r="AR62" s="357"/>
      <c r="AS62" s="357"/>
      <c r="AT62" s="357"/>
      <c r="AU62" s="357"/>
      <c r="AV62" s="357"/>
      <c r="AW62" s="357"/>
      <c r="AX62" s="357"/>
      <c r="AY62" s="357"/>
      <c r="AZ62" s="357"/>
      <c r="BA62" s="357"/>
      <c r="BB62" s="357"/>
      <c r="BC62" s="357"/>
      <c r="BD62" s="357"/>
      <c r="BE62" s="357"/>
      <c r="BF62" s="357"/>
      <c r="BG62" s="357"/>
      <c r="BH62" s="357"/>
      <c r="BI62" s="357"/>
      <c r="BJ62" s="357"/>
      <c r="BK62" s="357"/>
      <c r="BL62" s="734"/>
      <c r="BM62" s="734"/>
      <c r="BN62" s="734"/>
      <c r="BO62" s="734"/>
      <c r="BP62" s="734"/>
      <c r="BQ62" s="735"/>
      <c r="BR62" s="735"/>
      <c r="BS62" s="735"/>
      <c r="BT62" s="735"/>
      <c r="BU62" s="735"/>
      <c r="BV62" s="735"/>
      <c r="BW62" s="735"/>
      <c r="BX62" s="735"/>
      <c r="BY62" s="735"/>
      <c r="BZ62" s="735"/>
      <c r="CA62" s="735"/>
      <c r="CB62" s="735"/>
      <c r="CC62" s="735"/>
      <c r="CD62" s="735"/>
      <c r="CE62" s="735"/>
      <c r="CF62" s="735"/>
      <c r="CG62" s="735"/>
      <c r="CH62" s="735"/>
      <c r="CI62" s="735"/>
      <c r="CJ62" s="735"/>
      <c r="CK62" s="735"/>
      <c r="CL62" s="735"/>
      <c r="CM62" s="735"/>
      <c r="CN62" s="735"/>
      <c r="CO62" s="735"/>
      <c r="CP62" s="735"/>
      <c r="CQ62" s="735"/>
      <c r="CR62" s="735"/>
      <c r="CS62" s="735"/>
      <c r="CT62" s="735"/>
      <c r="CU62" s="735"/>
      <c r="CV62" s="735"/>
      <c r="CW62" s="735"/>
      <c r="CX62" s="735"/>
      <c r="CY62" s="735"/>
      <c r="CZ62" s="735"/>
      <c r="DA62" s="735"/>
      <c r="DB62" s="735"/>
      <c r="DC62" s="735"/>
      <c r="DD62" s="735"/>
      <c r="DE62" s="735"/>
      <c r="DF62" s="735"/>
      <c r="DG62" s="735"/>
      <c r="DH62" s="735"/>
      <c r="DI62" s="399"/>
      <c r="DJ62" s="399"/>
      <c r="DK62" s="399"/>
      <c r="DL62" s="399"/>
      <c r="DM62" s="399"/>
      <c r="DN62" s="350"/>
      <c r="DO62" s="350"/>
      <c r="DP62" s="350"/>
      <c r="DQ62" s="350"/>
      <c r="DR62" s="350"/>
    </row>
    <row r="63" spans="1:122" ht="17.25" customHeight="1">
      <c r="A63" s="348"/>
      <c r="B63" s="349"/>
      <c r="C63" s="365"/>
      <c r="D63" s="365"/>
      <c r="E63" s="365"/>
      <c r="F63" s="365"/>
      <c r="G63" s="365"/>
      <c r="H63" s="365"/>
      <c r="I63" s="365"/>
      <c r="J63" s="365"/>
      <c r="K63" s="365"/>
      <c r="L63" s="365"/>
      <c r="M63" s="365"/>
      <c r="N63" s="365"/>
      <c r="O63" s="365"/>
      <c r="P63" s="365"/>
      <c r="Q63" s="365"/>
      <c r="R63" s="365"/>
      <c r="S63" s="365"/>
      <c r="T63" s="365"/>
      <c r="U63" s="365"/>
      <c r="V63" s="365"/>
      <c r="W63" s="365"/>
      <c r="X63" s="365"/>
      <c r="Y63" s="349"/>
      <c r="Z63" s="348"/>
      <c r="AA63" s="348"/>
      <c r="AB63" s="348"/>
      <c r="AC63" s="348"/>
      <c r="AD63" s="348"/>
      <c r="AE63" s="348"/>
      <c r="AF63" s="348"/>
      <c r="AG63" s="348"/>
      <c r="AH63" s="357"/>
      <c r="AI63" s="357"/>
      <c r="AJ63" s="357"/>
      <c r="AK63" s="357"/>
      <c r="AL63" s="357"/>
      <c r="AM63" s="357"/>
      <c r="AN63" s="357"/>
      <c r="AO63" s="357"/>
      <c r="AP63" s="357"/>
      <c r="AQ63" s="357"/>
      <c r="AR63" s="357"/>
      <c r="AS63" s="357"/>
      <c r="AT63" s="357"/>
      <c r="AU63" s="357"/>
      <c r="AV63" s="357"/>
      <c r="AW63" s="357"/>
      <c r="AX63" s="357"/>
      <c r="AY63" s="357"/>
      <c r="AZ63" s="357"/>
      <c r="BA63" s="357"/>
      <c r="BB63" s="357"/>
      <c r="BC63" s="357"/>
      <c r="BD63" s="357"/>
      <c r="BE63" s="357"/>
      <c r="BF63" s="357"/>
      <c r="BG63" s="357"/>
      <c r="BH63" s="357"/>
      <c r="BI63" s="357"/>
      <c r="BJ63" s="357"/>
      <c r="BK63" s="357"/>
      <c r="BL63" s="734"/>
      <c r="BM63" s="734"/>
      <c r="BN63" s="734"/>
      <c r="BO63" s="734"/>
      <c r="BP63" s="734"/>
      <c r="BQ63" s="735"/>
      <c r="BR63" s="735"/>
      <c r="BS63" s="735"/>
      <c r="BT63" s="735"/>
      <c r="BU63" s="735"/>
      <c r="BV63" s="735"/>
      <c r="BW63" s="735"/>
      <c r="BX63" s="735"/>
      <c r="BY63" s="735"/>
      <c r="BZ63" s="735"/>
      <c r="CA63" s="735"/>
      <c r="CB63" s="735"/>
      <c r="CC63" s="735"/>
      <c r="CD63" s="735"/>
      <c r="CE63" s="735"/>
      <c r="CF63" s="735"/>
      <c r="CG63" s="735"/>
      <c r="CH63" s="735"/>
      <c r="CI63" s="735"/>
      <c r="CJ63" s="735"/>
      <c r="CK63" s="735"/>
      <c r="CL63" s="735"/>
      <c r="CM63" s="735"/>
      <c r="CN63" s="735"/>
      <c r="CO63" s="735"/>
      <c r="CP63" s="735"/>
      <c r="CQ63" s="735"/>
      <c r="CR63" s="735"/>
      <c r="CS63" s="735"/>
      <c r="CT63" s="735"/>
      <c r="CU63" s="735"/>
      <c r="CV63" s="735"/>
      <c r="CW63" s="735"/>
      <c r="CX63" s="735"/>
      <c r="CY63" s="735"/>
      <c r="CZ63" s="735"/>
      <c r="DA63" s="735"/>
      <c r="DB63" s="735"/>
      <c r="DC63" s="735"/>
      <c r="DD63" s="735"/>
      <c r="DE63" s="735"/>
      <c r="DF63" s="735"/>
      <c r="DG63" s="735"/>
      <c r="DH63" s="735"/>
      <c r="DI63" s="399"/>
      <c r="DJ63" s="399"/>
      <c r="DK63" s="399"/>
      <c r="DL63" s="399"/>
      <c r="DM63" s="399"/>
      <c r="DN63" s="350"/>
      <c r="DO63" s="350"/>
      <c r="DP63" s="350"/>
      <c r="DQ63" s="350"/>
      <c r="DR63" s="350"/>
    </row>
    <row r="64" spans="1:122" ht="19.5" customHeight="1">
      <c r="A64" s="348"/>
      <c r="B64" s="349"/>
      <c r="C64" s="365"/>
      <c r="D64" s="365"/>
      <c r="E64" s="365"/>
      <c r="F64" s="365"/>
      <c r="G64" s="365"/>
      <c r="H64" s="365"/>
      <c r="I64" s="365"/>
      <c r="J64" s="365"/>
      <c r="K64" s="365"/>
      <c r="L64" s="365"/>
      <c r="M64" s="365"/>
      <c r="N64" s="365"/>
      <c r="O64" s="365"/>
      <c r="P64" s="365"/>
      <c r="Q64" s="365"/>
      <c r="R64" s="365"/>
      <c r="S64" s="365"/>
      <c r="T64" s="365"/>
      <c r="U64" s="365"/>
      <c r="V64" s="365"/>
      <c r="W64" s="365"/>
      <c r="X64" s="365"/>
      <c r="Y64" s="349"/>
      <c r="Z64" s="348"/>
      <c r="AA64" s="348"/>
      <c r="AB64" s="348"/>
      <c r="AC64" s="348"/>
      <c r="AD64" s="348"/>
      <c r="AE64" s="348"/>
      <c r="AF64" s="348"/>
      <c r="AG64" s="348"/>
      <c r="AH64" s="357"/>
      <c r="AI64" s="357"/>
      <c r="AJ64" s="357"/>
      <c r="AK64" s="357"/>
      <c r="AL64" s="357"/>
      <c r="AM64" s="357"/>
      <c r="AN64" s="357"/>
      <c r="AO64" s="357"/>
      <c r="AP64" s="357"/>
      <c r="AQ64" s="357"/>
      <c r="AR64" s="357"/>
      <c r="AS64" s="357"/>
      <c r="AT64" s="357"/>
      <c r="AU64" s="357"/>
      <c r="AV64" s="357"/>
      <c r="AW64" s="357"/>
      <c r="AX64" s="357"/>
      <c r="AY64" s="357"/>
      <c r="AZ64" s="357"/>
      <c r="BA64" s="357"/>
      <c r="BB64" s="357"/>
      <c r="BC64" s="357"/>
      <c r="BD64" s="357"/>
      <c r="BE64" s="357"/>
      <c r="BF64" s="357"/>
      <c r="BG64" s="357"/>
      <c r="BH64" s="357"/>
      <c r="BI64" s="357"/>
      <c r="BJ64" s="357"/>
      <c r="BK64" s="357"/>
      <c r="BL64" s="734"/>
      <c r="BM64" s="734"/>
      <c r="BN64" s="734"/>
      <c r="BO64" s="734"/>
      <c r="BP64" s="734"/>
      <c r="BQ64" s="735"/>
      <c r="BR64" s="735"/>
      <c r="BS64" s="735"/>
      <c r="BT64" s="735"/>
      <c r="BU64" s="735"/>
      <c r="BV64" s="735"/>
      <c r="BW64" s="735"/>
      <c r="BX64" s="735"/>
      <c r="BY64" s="735"/>
      <c r="BZ64" s="735"/>
      <c r="CA64" s="735"/>
      <c r="CB64" s="735"/>
      <c r="CC64" s="735"/>
      <c r="CD64" s="735"/>
      <c r="CE64" s="735"/>
      <c r="CF64" s="735"/>
      <c r="CG64" s="735"/>
      <c r="CH64" s="735"/>
      <c r="CI64" s="735"/>
      <c r="CJ64" s="735"/>
      <c r="CK64" s="735"/>
      <c r="CL64" s="735"/>
      <c r="CM64" s="735"/>
      <c r="CN64" s="735"/>
      <c r="CO64" s="735"/>
      <c r="CP64" s="735"/>
      <c r="CQ64" s="735"/>
      <c r="CR64" s="735"/>
      <c r="CS64" s="735"/>
      <c r="CT64" s="735"/>
      <c r="CU64" s="735"/>
      <c r="CV64" s="735"/>
      <c r="CW64" s="735"/>
      <c r="CX64" s="735"/>
      <c r="CY64" s="735"/>
      <c r="CZ64" s="735"/>
      <c r="DA64" s="735"/>
      <c r="DB64" s="735"/>
      <c r="DC64" s="735"/>
      <c r="DD64" s="735"/>
      <c r="DE64" s="735"/>
      <c r="DF64" s="735"/>
      <c r="DG64" s="735"/>
      <c r="DH64" s="735"/>
      <c r="DI64" s="399"/>
      <c r="DJ64" s="399"/>
      <c r="DK64" s="399"/>
      <c r="DL64" s="399"/>
      <c r="DM64" s="399"/>
      <c r="DN64" s="350"/>
      <c r="DO64" s="350"/>
      <c r="DP64" s="350"/>
      <c r="DQ64" s="350"/>
      <c r="DR64" s="350"/>
    </row>
    <row r="65" spans="1:122" ht="12.75" customHeight="1" thickBot="1">
      <c r="A65" s="348"/>
      <c r="B65" s="349"/>
      <c r="C65" s="819" t="str">
        <f>"SUMMARY OF RESULTS"</f>
        <v>SUMMARY OF RESULTS</v>
      </c>
      <c r="D65" s="361"/>
      <c r="E65" s="361"/>
      <c r="F65" s="361"/>
      <c r="G65" s="361"/>
      <c r="H65" s="361"/>
      <c r="I65" s="361"/>
      <c r="J65" s="361"/>
      <c r="K65" s="361"/>
      <c r="L65" s="361"/>
      <c r="M65" s="361"/>
      <c r="N65" s="361"/>
      <c r="O65" s="361"/>
      <c r="P65" s="361"/>
      <c r="Q65" s="361"/>
      <c r="R65" s="361"/>
      <c r="S65" s="361"/>
      <c r="T65" s="361"/>
      <c r="U65" s="361"/>
      <c r="V65" s="361"/>
      <c r="W65" s="361"/>
      <c r="X65" s="361"/>
      <c r="Y65" s="349"/>
      <c r="Z65" s="348"/>
      <c r="AA65" s="348"/>
      <c r="AB65" s="348"/>
      <c r="AC65" s="348"/>
      <c r="AD65" s="348"/>
      <c r="AE65" s="348"/>
      <c r="AF65" s="348"/>
      <c r="AG65" s="348"/>
      <c r="AH65" s="348"/>
      <c r="AI65" s="357"/>
      <c r="AJ65" s="357"/>
      <c r="AK65" s="357"/>
      <c r="AL65" s="357"/>
      <c r="AM65" s="357"/>
      <c r="AN65" s="357"/>
      <c r="AO65" s="357"/>
      <c r="AP65" s="357"/>
      <c r="AQ65" s="357"/>
      <c r="AR65" s="357"/>
      <c r="AS65" s="357"/>
      <c r="AT65" s="357"/>
      <c r="AU65" s="357"/>
      <c r="AV65" s="357"/>
      <c r="AW65" s="357"/>
      <c r="AX65" s="357"/>
      <c r="AY65" s="357"/>
      <c r="AZ65" s="357"/>
      <c r="BA65" s="357"/>
      <c r="BB65" s="357"/>
      <c r="BC65" s="357"/>
      <c r="BD65" s="357"/>
      <c r="BE65" s="357"/>
      <c r="BF65" s="357"/>
      <c r="BG65" s="357"/>
      <c r="BH65" s="357"/>
      <c r="BI65" s="357"/>
      <c r="BJ65" s="357"/>
      <c r="BK65" s="357"/>
      <c r="BL65" s="734"/>
      <c r="BM65" s="734"/>
      <c r="BN65" s="734"/>
      <c r="BO65" s="734"/>
      <c r="BP65" s="734"/>
      <c r="BQ65" s="734"/>
      <c r="BR65" s="488"/>
      <c r="BS65" s="488"/>
      <c r="BT65" s="488"/>
      <c r="BU65" s="488"/>
      <c r="CX65" s="388"/>
      <c r="CY65" s="735"/>
      <c r="CZ65" s="735"/>
      <c r="DA65" s="735"/>
      <c r="DB65" s="735"/>
      <c r="DC65" s="735"/>
      <c r="DD65" s="735"/>
      <c r="DE65" s="735"/>
      <c r="DF65" s="735"/>
      <c r="DG65" s="735"/>
      <c r="DH65" s="735"/>
      <c r="DI65" s="399"/>
      <c r="DJ65" s="399"/>
      <c r="DK65" s="399"/>
      <c r="DL65" s="399"/>
      <c r="DM65" s="399"/>
      <c r="DN65" s="350"/>
      <c r="DO65" s="350"/>
      <c r="DP65" s="350"/>
      <c r="DQ65" s="350"/>
      <c r="DR65" s="350"/>
    </row>
    <row r="66" spans="1:122" ht="6" customHeight="1">
      <c r="A66" s="348"/>
      <c r="B66" s="349"/>
      <c r="C66" s="366"/>
      <c r="D66" s="366"/>
      <c r="E66" s="366"/>
      <c r="F66" s="366"/>
      <c r="G66" s="366"/>
      <c r="H66" s="366"/>
      <c r="I66" s="366"/>
      <c r="J66" s="366"/>
      <c r="K66" s="366"/>
      <c r="L66" s="366"/>
      <c r="M66" s="366"/>
      <c r="N66" s="366"/>
      <c r="O66" s="366"/>
      <c r="P66" s="366"/>
      <c r="Q66" s="366"/>
      <c r="R66" s="366"/>
      <c r="S66" s="366"/>
      <c r="T66" s="366"/>
      <c r="U66" s="366"/>
      <c r="V66" s="366"/>
      <c r="W66" s="366"/>
      <c r="X66" s="366"/>
      <c r="Y66" s="709"/>
      <c r="Z66" s="348"/>
      <c r="AA66" s="348"/>
      <c r="AB66" s="348"/>
      <c r="AC66" s="348"/>
      <c r="AD66" s="348"/>
      <c r="AE66" s="348"/>
      <c r="AF66" s="348"/>
      <c r="AG66" s="348"/>
      <c r="AH66" s="357"/>
      <c r="AI66" s="357"/>
      <c r="AJ66" s="357"/>
      <c r="AK66" s="357"/>
      <c r="AL66" s="357"/>
      <c r="AM66" s="357"/>
      <c r="AN66" s="357"/>
      <c r="AO66" s="357"/>
      <c r="AP66" s="357"/>
      <c r="AQ66" s="357"/>
      <c r="AR66" s="357"/>
      <c r="AS66" s="357"/>
      <c r="AT66" s="357"/>
      <c r="AU66" s="357"/>
      <c r="AV66" s="357"/>
      <c r="AW66" s="357"/>
      <c r="AX66" s="357"/>
      <c r="AY66" s="357"/>
      <c r="AZ66" s="357"/>
      <c r="BA66" s="357"/>
      <c r="BB66" s="357"/>
      <c r="BC66" s="357"/>
      <c r="BD66" s="357"/>
      <c r="BE66" s="357"/>
      <c r="BF66" s="357"/>
      <c r="BG66" s="357"/>
      <c r="BH66" s="357"/>
      <c r="BI66" s="357"/>
      <c r="BJ66" s="357"/>
      <c r="BK66" s="357"/>
      <c r="BL66" s="734"/>
      <c r="BM66" s="734"/>
      <c r="BN66" s="734"/>
      <c r="BO66" s="734"/>
      <c r="BP66" s="734"/>
      <c r="BQ66" s="734"/>
      <c r="BR66" s="488"/>
      <c r="BS66" s="488"/>
      <c r="BT66" s="488"/>
      <c r="BU66" s="488"/>
      <c r="CF66" s="776" t="s">
        <v>86</v>
      </c>
      <c r="CG66" s="777"/>
      <c r="CH66" s="777"/>
      <c r="CI66" s="777"/>
      <c r="CJ66" s="778">
        <f>J20</f>
        <v>0</v>
      </c>
      <c r="CX66" s="388"/>
      <c r="CY66" s="735"/>
      <c r="CZ66" s="735"/>
      <c r="DA66" s="735"/>
      <c r="DB66" s="735"/>
      <c r="DC66" s="735"/>
      <c r="DD66" s="735"/>
      <c r="DE66" s="735"/>
      <c r="DF66" s="735"/>
      <c r="DG66" s="735"/>
      <c r="DH66" s="735"/>
      <c r="DI66" s="399"/>
      <c r="DJ66" s="399"/>
      <c r="DK66" s="399"/>
      <c r="DL66" s="399"/>
      <c r="DM66" s="399"/>
      <c r="DN66" s="350"/>
      <c r="DO66" s="350"/>
      <c r="DP66" s="350"/>
      <c r="DQ66" s="350"/>
      <c r="DR66" s="350"/>
    </row>
    <row r="67" spans="1:122" ht="15" customHeight="1" thickBot="1">
      <c r="A67" s="348"/>
      <c r="B67" s="349"/>
      <c r="C67" s="710"/>
      <c r="D67" s="383"/>
      <c r="E67" s="1104" t="s">
        <v>1068</v>
      </c>
      <c r="F67" s="1104"/>
      <c r="G67" s="618" t="s">
        <v>1069</v>
      </c>
      <c r="H67" s="1104" t="s">
        <v>1070</v>
      </c>
      <c r="I67" s="1104"/>
      <c r="J67" s="1104"/>
      <c r="K67" s="366"/>
      <c r="L67" s="710"/>
      <c r="M67" s="710"/>
      <c r="N67" s="710"/>
      <c r="O67" s="710"/>
      <c r="P67" s="710"/>
      <c r="Q67" s="710"/>
      <c r="R67" s="372"/>
      <c r="S67" s="711" t="s">
        <v>779</v>
      </c>
      <c r="T67" s="1111">
        <f>UpgradeEquipmentCost+UpgradeLaborCost</f>
        <v>0</v>
      </c>
      <c r="U67" s="1111"/>
      <c r="V67" s="1111"/>
      <c r="W67" s="712"/>
      <c r="X67" s="712"/>
      <c r="Y67" s="713"/>
      <c r="Z67" s="348"/>
      <c r="AA67" s="348"/>
      <c r="AB67" s="348"/>
      <c r="AC67" s="348"/>
      <c r="AD67" s="348"/>
      <c r="AE67" s="348"/>
      <c r="AF67" s="348"/>
      <c r="AG67" s="348"/>
      <c r="AH67" s="357"/>
      <c r="AI67" s="357"/>
      <c r="AJ67" s="357"/>
      <c r="AK67" s="357"/>
      <c r="AL67" s="357"/>
      <c r="AM67" s="357"/>
      <c r="AN67" s="357"/>
      <c r="AO67" s="357"/>
      <c r="AP67" s="357"/>
      <c r="AQ67" s="357"/>
      <c r="AR67" s="357"/>
      <c r="AS67" s="357"/>
      <c r="AT67" s="357"/>
      <c r="AU67" s="357"/>
      <c r="AV67" s="357"/>
      <c r="AW67" s="357"/>
      <c r="AX67" s="357"/>
      <c r="AY67" s="357"/>
      <c r="AZ67" s="357"/>
      <c r="BA67" s="357"/>
      <c r="BB67" s="357"/>
      <c r="BC67" s="357"/>
      <c r="BD67" s="357"/>
      <c r="BE67" s="357"/>
      <c r="BF67" s="357"/>
      <c r="BG67" s="357"/>
      <c r="BH67" s="357"/>
      <c r="BI67" s="357"/>
      <c r="BJ67" s="357"/>
      <c r="BK67" s="357"/>
      <c r="BL67" s="734"/>
      <c r="BM67" s="734"/>
      <c r="BN67" s="734"/>
      <c r="BO67" s="734"/>
      <c r="BP67" s="734"/>
      <c r="BQ67" s="734"/>
      <c r="BR67" s="488"/>
      <c r="CF67" s="779" t="s">
        <v>88</v>
      </c>
      <c r="CG67" s="780"/>
      <c r="CH67" s="780"/>
      <c r="CI67" s="780"/>
      <c r="CJ67" s="781">
        <f>local_Patm(CJ66)</f>
        <v>14.697</v>
      </c>
      <c r="CX67" s="388"/>
      <c r="CY67" s="735"/>
      <c r="CZ67" s="735"/>
      <c r="DA67" s="735"/>
      <c r="DB67" s="735"/>
      <c r="DC67" s="735"/>
      <c r="DD67" s="735"/>
      <c r="DE67" s="735"/>
      <c r="DF67" s="735"/>
      <c r="DG67" s="735"/>
      <c r="DH67" s="735"/>
      <c r="DI67" s="399"/>
      <c r="DJ67" s="399"/>
      <c r="DK67" s="399"/>
      <c r="DL67" s="399"/>
      <c r="DM67" s="399"/>
      <c r="DN67" s="350"/>
      <c r="DO67" s="350"/>
      <c r="DP67" s="350"/>
      <c r="DQ67" s="350"/>
      <c r="DR67" s="350"/>
    </row>
    <row r="68" spans="1:122" ht="15.75" customHeight="1" thickTop="1">
      <c r="A68" s="348"/>
      <c r="B68" s="349"/>
      <c r="C68" s="372"/>
      <c r="D68" s="714" t="s">
        <v>728</v>
      </c>
      <c r="E68" s="1100" t="e">
        <f>P47</f>
        <v>#N/A</v>
      </c>
      <c r="F68" s="1100"/>
      <c r="G68" s="715" t="str">
        <f>IF(ShowDryer,'Dryer Inputs and Calculations'!F59,"N/A")</f>
        <v>N/A</v>
      </c>
      <c r="H68" s="1101" t="str">
        <f>IF(InstallFanVFD,'Cooling Fan VFD'!I12,"N/A")</f>
        <v>N/A</v>
      </c>
      <c r="I68" s="1101"/>
      <c r="J68" s="1101"/>
      <c r="K68" s="366" t="s">
        <v>784</v>
      </c>
      <c r="L68" s="372"/>
      <c r="M68" s="372"/>
      <c r="N68" s="372"/>
      <c r="O68" s="372"/>
      <c r="P68" s="372"/>
      <c r="Q68" s="372"/>
      <c r="R68" s="372"/>
      <c r="S68" s="642" t="s">
        <v>780</v>
      </c>
      <c r="T68" s="1127">
        <f>BaselineEquipmentCost+BaselineLaborCost</f>
        <v>0</v>
      </c>
      <c r="U68" s="1127"/>
      <c r="V68" s="1127"/>
      <c r="W68" s="716"/>
      <c r="X68" s="716"/>
      <c r="Y68" s="713"/>
      <c r="Z68" s="348"/>
      <c r="AA68" s="348"/>
      <c r="AB68" s="348"/>
      <c r="AC68" s="348"/>
      <c r="AD68" s="348"/>
      <c r="AE68" s="348"/>
      <c r="AF68" s="348"/>
      <c r="AG68" s="348"/>
      <c r="AH68" s="357"/>
      <c r="AI68" s="348"/>
      <c r="AJ68" s="348"/>
      <c r="AK68" s="348"/>
      <c r="AL68" s="348"/>
      <c r="AM68" s="348"/>
      <c r="AN68" s="348"/>
      <c r="AO68" s="348"/>
      <c r="AP68" s="348"/>
      <c r="AQ68" s="348"/>
      <c r="AR68" s="348"/>
      <c r="AS68" s="348"/>
      <c r="AT68" s="348"/>
      <c r="AU68" s="348"/>
      <c r="AV68" s="348"/>
      <c r="AW68" s="348"/>
      <c r="AX68" s="348"/>
      <c r="AY68" s="348"/>
      <c r="AZ68" s="348"/>
      <c r="BA68" s="348"/>
      <c r="BB68" s="348"/>
      <c r="BC68" s="348"/>
      <c r="BD68" s="348"/>
      <c r="BE68" s="348"/>
      <c r="BF68" s="348"/>
      <c r="BG68" s="348"/>
      <c r="BH68" s="348"/>
      <c r="BI68" s="348"/>
      <c r="BJ68" s="348"/>
      <c r="BK68" s="348"/>
      <c r="BL68" s="735"/>
      <c r="BM68" s="735"/>
      <c r="BN68" s="735"/>
      <c r="BO68" s="735"/>
      <c r="BP68" s="735"/>
      <c r="BQ68" s="735"/>
      <c r="BR68" s="388"/>
      <c r="CF68" s="779" t="s">
        <v>90</v>
      </c>
      <c r="CG68" s="780"/>
      <c r="CH68" s="780"/>
      <c r="CI68" s="780"/>
      <c r="CJ68" s="781">
        <v>14.5</v>
      </c>
      <c r="CX68" s="388"/>
      <c r="CY68" s="735"/>
      <c r="CZ68" s="735"/>
      <c r="DA68" s="735"/>
      <c r="DB68" s="735"/>
      <c r="DC68" s="735"/>
      <c r="DD68" s="735"/>
      <c r="DE68" s="735"/>
      <c r="DF68" s="735"/>
      <c r="DG68" s="735"/>
      <c r="DH68" s="735"/>
      <c r="DI68" s="399"/>
      <c r="DJ68" s="399"/>
      <c r="DK68" s="399"/>
      <c r="DL68" s="399"/>
      <c r="DM68" s="399"/>
      <c r="DN68" s="350"/>
      <c r="DO68" s="350"/>
      <c r="DP68" s="350"/>
      <c r="DQ68" s="350"/>
      <c r="DR68" s="350"/>
    </row>
    <row r="69" spans="1:122" ht="13.5" customHeight="1" thickBot="1">
      <c r="A69" s="348"/>
      <c r="B69" s="365"/>
      <c r="C69" s="366"/>
      <c r="D69" s="619" t="s">
        <v>729</v>
      </c>
      <c r="E69" s="1103" t="e">
        <f>W47</f>
        <v>#N/A</v>
      </c>
      <c r="F69" s="1103"/>
      <c r="G69" s="717" t="str">
        <f>IF(ShowDryer,'Dryer Inputs and Calculations'!F60,"N/A")</f>
        <v>N/A</v>
      </c>
      <c r="H69" s="1097" t="str">
        <f>IF(InstallFanVFD,'Cooling Fan VFD'!G28,"N/A")</f>
        <v>N/A</v>
      </c>
      <c r="I69" s="1097"/>
      <c r="J69" s="1097"/>
      <c r="K69" s="372" t="s">
        <v>784</v>
      </c>
      <c r="L69" s="366"/>
      <c r="M69" s="366"/>
      <c r="N69" s="366"/>
      <c r="O69" s="366"/>
      <c r="P69" s="372"/>
      <c r="Q69" s="367"/>
      <c r="R69" s="367"/>
      <c r="S69" s="642" t="s">
        <v>781</v>
      </c>
      <c r="T69" s="1111">
        <f>EstUtilEligibleCost</f>
        <v>0</v>
      </c>
      <c r="U69" s="1111"/>
      <c r="V69" s="1111"/>
      <c r="W69" s="716"/>
      <c r="X69" s="716"/>
      <c r="Y69" s="716"/>
      <c r="Z69" s="348"/>
      <c r="AA69" s="348"/>
      <c r="AB69" s="348"/>
      <c r="AC69" s="348"/>
      <c r="AD69" s="348"/>
      <c r="AE69" s="348"/>
      <c r="AF69" s="348"/>
      <c r="AG69" s="348"/>
      <c r="AH69" s="348"/>
      <c r="AI69" s="348"/>
      <c r="AJ69" s="348"/>
      <c r="AK69" s="348"/>
      <c r="AL69" s="348"/>
      <c r="AM69" s="348"/>
      <c r="AN69" s="348"/>
      <c r="AO69" s="348"/>
      <c r="AP69" s="348"/>
      <c r="AQ69" s="348"/>
      <c r="AR69" s="348"/>
      <c r="AS69" s="348"/>
      <c r="AT69" s="348"/>
      <c r="AU69" s="348"/>
      <c r="AV69" s="348"/>
      <c r="AW69" s="348"/>
      <c r="AX69" s="348"/>
      <c r="AY69" s="348"/>
      <c r="AZ69" s="348"/>
      <c r="BA69" s="348"/>
      <c r="BB69" s="348"/>
      <c r="BC69" s="348"/>
      <c r="BD69" s="348"/>
      <c r="BE69" s="348"/>
      <c r="BF69" s="348"/>
      <c r="BG69" s="348"/>
      <c r="BH69" s="348"/>
      <c r="BI69" s="348"/>
      <c r="BJ69" s="348"/>
      <c r="BK69" s="348"/>
      <c r="BL69" s="735"/>
      <c r="BM69" s="735"/>
      <c r="BN69" s="735"/>
      <c r="BO69" s="735"/>
      <c r="BP69" s="735"/>
      <c r="BQ69" s="735"/>
      <c r="BR69" s="388"/>
      <c r="CF69" s="782" t="s">
        <v>92</v>
      </c>
      <c r="CG69" s="783"/>
      <c r="CH69" s="783"/>
      <c r="CI69" s="783"/>
      <c r="CJ69" s="784">
        <f>CJ67/CJ68</f>
        <v>1.0135862068965518</v>
      </c>
      <c r="CX69" s="388"/>
      <c r="CY69" s="735"/>
      <c r="CZ69" s="735"/>
      <c r="DA69" s="735"/>
      <c r="DB69" s="735"/>
      <c r="DC69" s="735"/>
      <c r="DD69" s="735"/>
      <c r="DE69" s="735"/>
      <c r="DF69" s="735"/>
      <c r="DG69" s="735"/>
      <c r="DH69" s="736"/>
      <c r="DI69" s="399"/>
      <c r="DJ69" s="399"/>
      <c r="DK69" s="399"/>
      <c r="DL69" s="399"/>
      <c r="DM69" s="399"/>
      <c r="DN69" s="350"/>
      <c r="DO69" s="350"/>
      <c r="DP69" s="350"/>
      <c r="DQ69" s="350"/>
      <c r="DR69" s="350"/>
    </row>
    <row r="70" spans="1:122" ht="13.5" customHeight="1">
      <c r="A70" s="348"/>
      <c r="B70" s="365"/>
      <c r="C70" s="366"/>
      <c r="D70" s="619" t="s">
        <v>1071</v>
      </c>
      <c r="E70" s="1096" t="e">
        <f>E68-E69</f>
        <v>#N/A</v>
      </c>
      <c r="F70" s="1096"/>
      <c r="G70" s="718" t="str">
        <f>IF(ISNUMBER(G68-G69),G68-G69,"N/A")</f>
        <v>N/A</v>
      </c>
      <c r="H70" s="1090" t="str">
        <f>IF(ISNUMBER(H68-H69),H68-H69,"N/A")</f>
        <v>N/A</v>
      </c>
      <c r="I70" s="1090"/>
      <c r="J70" s="1090"/>
      <c r="K70" s="372" t="s">
        <v>784</v>
      </c>
      <c r="L70" s="366"/>
      <c r="M70" s="366"/>
      <c r="N70" s="366"/>
      <c r="O70" s="366"/>
      <c r="P70" s="372"/>
      <c r="Q70" s="378"/>
      <c r="R70" s="378"/>
      <c r="S70" s="642" t="str">
        <f>'Master Outputs'!I143</f>
        <v>Estimated utility incentive:  </v>
      </c>
      <c r="T70" s="1111">
        <f>IF(ISERROR('Master Outputs'!L143),"",ROUND('Master Outputs'!L143,2))</f>
      </c>
      <c r="U70" s="1111"/>
      <c r="V70" s="1111"/>
      <c r="W70" s="1108">
        <f>IF(T70="","",IF(T70=0,"(ineligible)"," ("&amp;TEXT(T70/T69,"##%")&amp;" of cost)"))</f>
      </c>
      <c r="X70" s="1108"/>
      <c r="Y70" s="1108"/>
      <c r="Z70" s="348"/>
      <c r="AA70" s="348"/>
      <c r="AB70" s="348"/>
      <c r="AC70" s="348"/>
      <c r="AD70" s="348"/>
      <c r="AE70" s="348"/>
      <c r="AF70" s="348"/>
      <c r="AG70" s="348"/>
      <c r="AH70" s="348"/>
      <c r="AI70" s="348"/>
      <c r="AJ70" s="348"/>
      <c r="AK70" s="348"/>
      <c r="AL70" s="348"/>
      <c r="AM70" s="348"/>
      <c r="AN70" s="348"/>
      <c r="AO70" s="348"/>
      <c r="AP70" s="348"/>
      <c r="AQ70" s="348"/>
      <c r="AR70" s="348"/>
      <c r="AS70" s="348"/>
      <c r="AT70" s="348"/>
      <c r="AU70" s="348"/>
      <c r="AV70" s="348"/>
      <c r="AW70" s="348"/>
      <c r="AX70" s="348"/>
      <c r="AY70" s="348"/>
      <c r="AZ70" s="348"/>
      <c r="BA70" s="348"/>
      <c r="BB70" s="348"/>
      <c r="BC70" s="348"/>
      <c r="BD70" s="348"/>
      <c r="BE70" s="348"/>
      <c r="BF70" s="348"/>
      <c r="BG70" s="348"/>
      <c r="BH70" s="348"/>
      <c r="BI70" s="348"/>
      <c r="BJ70" s="348"/>
      <c r="BK70" s="348"/>
      <c r="BL70" s="735"/>
      <c r="BM70" s="735"/>
      <c r="BN70" s="735"/>
      <c r="BO70" s="735"/>
      <c r="BP70" s="735"/>
      <c r="BQ70" s="735"/>
      <c r="BR70" s="388"/>
      <c r="CX70" s="388"/>
      <c r="CY70" s="735"/>
      <c r="CZ70" s="735"/>
      <c r="DA70" s="735"/>
      <c r="DB70" s="735"/>
      <c r="DC70" s="735"/>
      <c r="DD70" s="735"/>
      <c r="DE70" s="735"/>
      <c r="DF70" s="736"/>
      <c r="DG70" s="736"/>
      <c r="DH70" s="736"/>
      <c r="DI70" s="399"/>
      <c r="DJ70" s="399"/>
      <c r="DK70" s="399"/>
      <c r="DL70" s="399"/>
      <c r="DM70" s="399"/>
      <c r="DN70" s="350"/>
      <c r="DO70" s="350"/>
      <c r="DP70" s="350"/>
      <c r="DQ70" s="350"/>
      <c r="DR70" s="350"/>
    </row>
    <row r="71" spans="1:122" ht="13.5" customHeight="1">
      <c r="A71" s="348"/>
      <c r="B71" s="365"/>
      <c r="D71" s="619" t="s">
        <v>1332</v>
      </c>
      <c r="E71" s="1147" t="e">
        <f>E70*1.09056</f>
        <v>#N/A</v>
      </c>
      <c r="F71" s="1147"/>
      <c r="G71" s="1021" t="str">
        <f>IF(ISNUMBER(G70*1.09056),G70*1.09056,"N/A")</f>
        <v>N/A</v>
      </c>
      <c r="H71" s="1148" t="str">
        <f>IF(ISNUMBER(H70*1.09056),H70*1.09056,"N/A")</f>
        <v>N/A</v>
      </c>
      <c r="I71" s="1149"/>
      <c r="J71" s="1150"/>
      <c r="K71" s="372" t="s">
        <v>784</v>
      </c>
      <c r="L71" s="366"/>
      <c r="M71" s="366"/>
      <c r="N71" s="366"/>
      <c r="O71" s="366"/>
      <c r="P71" s="372"/>
      <c r="Q71" s="378"/>
      <c r="R71" s="378"/>
      <c r="S71" s="642" t="str">
        <f>'Master Outputs'!I144</f>
        <v>Net cost after incentives:  </v>
      </c>
      <c r="T71" s="1111">
        <f>IF(ISERROR('Master Outputs'!L144),"",'Master Outputs'!L144)</f>
      </c>
      <c r="U71" s="1111"/>
      <c r="V71" s="1111"/>
      <c r="W71" s="1108">
        <f>IF(T71="","",IF(T71="0","(ineligible)"," ("&amp;TEXT(T71/T69,"##%")&amp;" of cost)"))</f>
      </c>
      <c r="X71" s="1108"/>
      <c r="Y71" s="1108"/>
      <c r="Z71" s="348"/>
      <c r="AA71" s="348"/>
      <c r="AB71" s="348"/>
      <c r="AC71" s="348"/>
      <c r="AD71" s="348"/>
      <c r="AE71" s="348"/>
      <c r="AF71" s="348"/>
      <c r="AG71" s="348"/>
      <c r="AH71" s="348"/>
      <c r="AI71" s="348"/>
      <c r="AJ71" s="348"/>
      <c r="AK71" s="348"/>
      <c r="AL71" s="348"/>
      <c r="AM71" s="348"/>
      <c r="AN71" s="348"/>
      <c r="AO71" s="348"/>
      <c r="AP71" s="348"/>
      <c r="AQ71" s="348"/>
      <c r="AR71" s="348"/>
      <c r="AS71" s="348"/>
      <c r="AT71" s="348"/>
      <c r="AU71" s="348"/>
      <c r="AV71" s="348"/>
      <c r="AW71" s="348"/>
      <c r="AX71" s="348"/>
      <c r="AY71" s="348"/>
      <c r="AZ71" s="348"/>
      <c r="BA71" s="348"/>
      <c r="BB71" s="348"/>
      <c r="BC71" s="348"/>
      <c r="BD71" s="348"/>
      <c r="BE71" s="348"/>
      <c r="BF71" s="348"/>
      <c r="BG71" s="348"/>
      <c r="BH71" s="348"/>
      <c r="BI71" s="348"/>
      <c r="BJ71" s="348"/>
      <c r="BK71" s="348"/>
      <c r="BL71" s="735"/>
      <c r="BM71" s="735"/>
      <c r="BN71" s="735"/>
      <c r="BO71" s="735"/>
      <c r="BP71" s="735"/>
      <c r="BQ71" s="735"/>
      <c r="BR71" s="388"/>
      <c r="CX71" s="388"/>
      <c r="CY71" s="735"/>
      <c r="CZ71" s="735"/>
      <c r="DA71" s="735"/>
      <c r="DB71" s="735"/>
      <c r="DC71" s="735"/>
      <c r="DD71" s="735"/>
      <c r="DE71" s="735"/>
      <c r="DF71" s="736"/>
      <c r="DG71" s="736"/>
      <c r="DH71" s="736"/>
      <c r="DI71" s="399"/>
      <c r="DJ71" s="399"/>
      <c r="DK71" s="399"/>
      <c r="DL71" s="399"/>
      <c r="DM71" s="399"/>
      <c r="DN71" s="350"/>
      <c r="DO71" s="350"/>
      <c r="DP71" s="350"/>
      <c r="DQ71" s="350"/>
      <c r="DR71" s="350"/>
    </row>
    <row r="72" spans="1:122" ht="13.5" customHeight="1">
      <c r="A72" s="348"/>
      <c r="B72" s="349"/>
      <c r="C72" s="372"/>
      <c r="D72" s="710"/>
      <c r="E72" s="710"/>
      <c r="F72" s="710"/>
      <c r="G72" s="710"/>
      <c r="H72" s="710"/>
      <c r="I72" s="710"/>
      <c r="J72" s="710"/>
      <c r="K72" s="710"/>
      <c r="L72" s="372"/>
      <c r="M72" s="372"/>
      <c r="N72" s="372"/>
      <c r="O72" s="372"/>
      <c r="R72" s="351"/>
      <c r="Z72" s="348"/>
      <c r="AA72" s="348"/>
      <c r="AB72" s="348"/>
      <c r="AC72" s="348"/>
      <c r="AD72" s="348"/>
      <c r="AE72" s="348"/>
      <c r="AF72" s="348"/>
      <c r="AG72" s="348"/>
      <c r="AH72" s="357"/>
      <c r="AI72" s="348"/>
      <c r="AJ72" s="348"/>
      <c r="AK72" s="348"/>
      <c r="AL72" s="348"/>
      <c r="AM72" s="348"/>
      <c r="AN72" s="348"/>
      <c r="AO72" s="348"/>
      <c r="AP72" s="348"/>
      <c r="AQ72" s="348"/>
      <c r="AR72" s="348"/>
      <c r="AS72" s="348"/>
      <c r="AT72" s="348"/>
      <c r="AU72" s="348"/>
      <c r="AV72" s="348"/>
      <c r="AW72" s="348"/>
      <c r="AX72" s="348"/>
      <c r="AY72" s="348"/>
      <c r="AZ72" s="348"/>
      <c r="BA72" s="348"/>
      <c r="BB72" s="348"/>
      <c r="BC72" s="348"/>
      <c r="BD72" s="348"/>
      <c r="BE72" s="348"/>
      <c r="BF72" s="348"/>
      <c r="BG72" s="348"/>
      <c r="BH72" s="348"/>
      <c r="BI72" s="348"/>
      <c r="BJ72" s="348"/>
      <c r="BK72" s="348"/>
      <c r="BL72" s="735"/>
      <c r="BM72" s="735"/>
      <c r="BN72" s="735"/>
      <c r="BO72" s="735"/>
      <c r="BP72" s="735"/>
      <c r="BQ72" s="735"/>
      <c r="BR72" s="388"/>
      <c r="CX72" s="388"/>
      <c r="CY72" s="735"/>
      <c r="CZ72" s="735"/>
      <c r="DA72" s="735"/>
      <c r="DB72" s="735"/>
      <c r="DC72" s="735"/>
      <c r="DD72" s="735"/>
      <c r="DE72" s="735"/>
      <c r="DF72" s="735"/>
      <c r="DG72" s="735"/>
      <c r="DH72" s="735"/>
      <c r="DI72" s="399"/>
      <c r="DJ72" s="399"/>
      <c r="DK72" s="399"/>
      <c r="DL72" s="399"/>
      <c r="DM72" s="399"/>
      <c r="DN72" s="350"/>
      <c r="DO72" s="350"/>
      <c r="DP72" s="350"/>
      <c r="DQ72" s="350"/>
      <c r="DR72" s="350"/>
    </row>
    <row r="73" spans="1:122" ht="13.5" customHeight="1">
      <c r="A73" s="348"/>
      <c r="B73" s="355"/>
      <c r="C73" s="372"/>
      <c r="D73" s="710"/>
      <c r="E73" s="710"/>
      <c r="F73" s="710"/>
      <c r="G73" s="711" t="s">
        <v>262</v>
      </c>
      <c r="H73" s="1117" t="e">
        <f>SUM(E68:J68)</f>
        <v>#N/A</v>
      </c>
      <c r="I73" s="1117"/>
      <c r="J73" s="1117"/>
      <c r="K73" s="719" t="s">
        <v>784</v>
      </c>
      <c r="L73" s="372"/>
      <c r="M73" s="372"/>
      <c r="N73" s="372"/>
      <c r="O73" s="372"/>
      <c r="P73" s="372"/>
      <c r="Q73" s="378"/>
      <c r="R73" s="378"/>
      <c r="S73" s="642" t="str">
        <f>'Master Outputs'!I147</f>
        <v>Simple payback:  </v>
      </c>
      <c r="T73" s="1113">
        <f>IF(ISERROR('Master Outputs'!L147),"",'Master Outputs'!L147)</f>
      </c>
      <c r="U73" s="1113"/>
      <c r="V73" s="1113"/>
      <c r="W73" s="1108" t="s">
        <v>787</v>
      </c>
      <c r="X73" s="1108"/>
      <c r="Y73" s="1108"/>
      <c r="Z73" s="348"/>
      <c r="AA73" s="348"/>
      <c r="AB73" s="348"/>
      <c r="AC73" s="348"/>
      <c r="AD73" s="348"/>
      <c r="AE73" s="348"/>
      <c r="AF73" s="348"/>
      <c r="AG73" s="348"/>
      <c r="AH73" s="357"/>
      <c r="AI73" s="348"/>
      <c r="AJ73" s="348"/>
      <c r="AK73" s="348"/>
      <c r="AL73" s="348"/>
      <c r="AM73" s="348"/>
      <c r="AN73" s="348"/>
      <c r="AO73" s="348"/>
      <c r="AP73" s="348"/>
      <c r="AQ73" s="348"/>
      <c r="AR73" s="348"/>
      <c r="AS73" s="348"/>
      <c r="AT73" s="348"/>
      <c r="AU73" s="348"/>
      <c r="AV73" s="348"/>
      <c r="AW73" s="348"/>
      <c r="AX73" s="348"/>
      <c r="AY73" s="348"/>
      <c r="AZ73" s="348"/>
      <c r="BA73" s="348"/>
      <c r="BB73" s="348"/>
      <c r="BC73" s="348"/>
      <c r="BD73" s="348"/>
      <c r="BE73" s="348"/>
      <c r="BF73" s="348"/>
      <c r="BG73" s="348"/>
      <c r="BH73" s="353"/>
      <c r="BI73" s="353"/>
      <c r="BJ73" s="353"/>
      <c r="BK73" s="353"/>
      <c r="BL73" s="735"/>
      <c r="BM73" s="735"/>
      <c r="BN73" s="735"/>
      <c r="BO73" s="735"/>
      <c r="BP73" s="735"/>
      <c r="BQ73" s="735"/>
      <c r="BR73" s="388"/>
      <c r="CF73" s="388" t="s">
        <v>322</v>
      </c>
      <c r="CX73" s="388"/>
      <c r="CY73" s="735"/>
      <c r="CZ73" s="735"/>
      <c r="DA73" s="735"/>
      <c r="DB73" s="735"/>
      <c r="DC73" s="735"/>
      <c r="DD73" s="735"/>
      <c r="DE73" s="735"/>
      <c r="DF73" s="735"/>
      <c r="DG73" s="735"/>
      <c r="DH73" s="735"/>
      <c r="DI73" s="399"/>
      <c r="DJ73" s="399"/>
      <c r="DK73" s="399"/>
      <c r="DL73" s="399"/>
      <c r="DM73" s="399"/>
      <c r="DN73" s="350"/>
      <c r="DO73" s="350"/>
      <c r="DP73" s="350"/>
      <c r="DQ73" s="350"/>
      <c r="DR73" s="350"/>
    </row>
    <row r="74" spans="1:122" ht="13.5" customHeight="1">
      <c r="A74" s="348"/>
      <c r="B74" s="355"/>
      <c r="C74" s="372"/>
      <c r="D74" s="619"/>
      <c r="E74" s="720"/>
      <c r="F74" s="720"/>
      <c r="G74" s="642" t="s">
        <v>263</v>
      </c>
      <c r="H74" s="1118" t="e">
        <f>SUM(E69:J69)</f>
        <v>#N/A</v>
      </c>
      <c r="I74" s="1118"/>
      <c r="J74" s="1118"/>
      <c r="K74" s="719" t="s">
        <v>784</v>
      </c>
      <c r="L74" s="372"/>
      <c r="M74" s="372"/>
      <c r="N74" s="372"/>
      <c r="O74" s="372"/>
      <c r="P74" s="372"/>
      <c r="Q74" s="378"/>
      <c r="R74" s="378"/>
      <c r="S74" s="642" t="str">
        <f>'Master Outputs'!I148</f>
        <v>NPV over 10 years:  </v>
      </c>
      <c r="T74" s="1109">
        <f>IF(ISERROR('Master Outputs'!L148),"",'Master Outputs'!L148)</f>
      </c>
      <c r="U74" s="1109"/>
      <c r="V74" s="1109"/>
      <c r="W74" s="1108"/>
      <c r="X74" s="1108"/>
      <c r="Y74" s="1108"/>
      <c r="Z74" s="348"/>
      <c r="AA74" s="348"/>
      <c r="AB74" s="348"/>
      <c r="AC74" s="348"/>
      <c r="AD74" s="348"/>
      <c r="AE74" s="348"/>
      <c r="AF74" s="348"/>
      <c r="AG74" s="348"/>
      <c r="AH74" s="348"/>
      <c r="AI74" s="348"/>
      <c r="AJ74" s="348"/>
      <c r="AK74" s="348"/>
      <c r="AL74" s="348"/>
      <c r="AM74" s="348"/>
      <c r="AN74" s="348"/>
      <c r="AO74" s="348"/>
      <c r="AP74" s="348"/>
      <c r="AQ74" s="348"/>
      <c r="AR74" s="348"/>
      <c r="AS74" s="348"/>
      <c r="AT74" s="348"/>
      <c r="AU74" s="348"/>
      <c r="AV74" s="348"/>
      <c r="AW74" s="348"/>
      <c r="AX74" s="348"/>
      <c r="AY74" s="348"/>
      <c r="AZ74" s="348"/>
      <c r="BA74" s="348"/>
      <c r="BB74" s="348"/>
      <c r="BC74" s="348"/>
      <c r="BD74" s="348"/>
      <c r="BE74" s="348"/>
      <c r="BF74" s="348"/>
      <c r="BG74" s="348"/>
      <c r="BH74" s="353"/>
      <c r="BI74" s="353"/>
      <c r="BJ74" s="353"/>
      <c r="BK74" s="353"/>
      <c r="BL74" s="735"/>
      <c r="BM74" s="735"/>
      <c r="BN74" s="735"/>
      <c r="BO74" s="735"/>
      <c r="BP74" s="735"/>
      <c r="BQ74" s="735"/>
      <c r="BR74" s="388"/>
      <c r="CC74" s="426" t="s">
        <v>319</v>
      </c>
      <c r="CD74" s="388" t="b">
        <f>IF(ISBLANK(D45),FALSE,D45)=0</f>
        <v>0</v>
      </c>
      <c r="CX74" s="388"/>
      <c r="CY74" s="735"/>
      <c r="CZ74" s="735"/>
      <c r="DA74" s="735"/>
      <c r="DB74" s="735"/>
      <c r="DC74" s="735"/>
      <c r="DD74" s="735"/>
      <c r="DE74" s="735"/>
      <c r="DF74" s="735"/>
      <c r="DG74" s="735"/>
      <c r="DH74" s="735"/>
      <c r="DI74" s="399"/>
      <c r="DJ74" s="399"/>
      <c r="DK74" s="399"/>
      <c r="DL74" s="399"/>
      <c r="DM74" s="399"/>
      <c r="DN74" s="350"/>
      <c r="DO74" s="350"/>
      <c r="DP74" s="350"/>
      <c r="DQ74" s="350"/>
      <c r="DR74" s="350"/>
    </row>
    <row r="75" spans="1:122" ht="13.5" customHeight="1">
      <c r="A75" s="348"/>
      <c r="B75" s="355"/>
      <c r="C75" s="372"/>
      <c r="D75" s="710"/>
      <c r="E75" s="710"/>
      <c r="F75" s="710"/>
      <c r="G75" s="619" t="s">
        <v>1072</v>
      </c>
      <c r="H75" s="1117" t="e">
        <f>SUM(E70:J70)</f>
        <v>#N/A</v>
      </c>
      <c r="I75" s="1117"/>
      <c r="J75" s="1117"/>
      <c r="K75" s="719" t="s">
        <v>784</v>
      </c>
      <c r="L75" s="372"/>
      <c r="M75" s="372"/>
      <c r="N75" s="372"/>
      <c r="O75" s="372"/>
      <c r="P75" s="1022" t="s">
        <v>1335</v>
      </c>
      <c r="Q75" s="1022"/>
      <c r="R75" s="1022"/>
      <c r="T75" s="1022"/>
      <c r="U75" s="1022"/>
      <c r="V75" s="1022"/>
      <c r="W75" s="1022"/>
      <c r="Z75" s="348"/>
      <c r="AA75" s="348"/>
      <c r="AB75" s="348"/>
      <c r="AC75" s="348"/>
      <c r="AD75" s="348"/>
      <c r="AE75" s="348"/>
      <c r="AF75" s="348"/>
      <c r="AG75" s="348"/>
      <c r="AH75" s="348"/>
      <c r="AI75" s="348"/>
      <c r="AJ75" s="348"/>
      <c r="AK75" s="348"/>
      <c r="AL75" s="348"/>
      <c r="AM75" s="348"/>
      <c r="AN75" s="348"/>
      <c r="AO75" s="348"/>
      <c r="AP75" s="348"/>
      <c r="AQ75" s="348"/>
      <c r="AR75" s="348"/>
      <c r="AS75" s="348"/>
      <c r="AT75" s="348"/>
      <c r="AU75" s="348"/>
      <c r="AV75" s="348"/>
      <c r="AW75" s="348"/>
      <c r="AX75" s="348"/>
      <c r="AY75" s="348"/>
      <c r="AZ75" s="348"/>
      <c r="BA75" s="348"/>
      <c r="BB75" s="348"/>
      <c r="BC75" s="348"/>
      <c r="BD75" s="348"/>
      <c r="BE75" s="348"/>
      <c r="BF75" s="348"/>
      <c r="BG75" s="348"/>
      <c r="BH75" s="353"/>
      <c r="BI75" s="353"/>
      <c r="BJ75" s="353"/>
      <c r="BK75" s="353"/>
      <c r="BL75" s="735"/>
      <c r="BM75" s="735"/>
      <c r="BN75" s="735"/>
      <c r="BO75" s="735"/>
      <c r="BP75" s="735"/>
      <c r="BQ75" s="735"/>
      <c r="BR75" s="388"/>
      <c r="BS75" s="388"/>
      <c r="BT75" s="388"/>
      <c r="BU75" s="388"/>
      <c r="BY75" s="752"/>
      <c r="BZ75" s="752"/>
      <c r="CX75" s="388"/>
      <c r="CY75" s="735"/>
      <c r="CZ75" s="735"/>
      <c r="DA75" s="735"/>
      <c r="DB75" s="735"/>
      <c r="DC75" s="735"/>
      <c r="DD75" s="735"/>
      <c r="DE75" s="735"/>
      <c r="DF75" s="735"/>
      <c r="DG75" s="735"/>
      <c r="DH75" s="735"/>
      <c r="DI75" s="399"/>
      <c r="DJ75" s="399"/>
      <c r="DK75" s="399"/>
      <c r="DL75" s="399"/>
      <c r="DM75" s="399"/>
      <c r="DN75" s="350"/>
      <c r="DO75" s="350"/>
      <c r="DP75" s="350"/>
      <c r="DQ75" s="350"/>
      <c r="DR75" s="350"/>
    </row>
    <row r="76" spans="1:122" ht="13.5" customHeight="1">
      <c r="A76" s="348"/>
      <c r="B76" s="355"/>
      <c r="C76" s="372"/>
      <c r="D76" s="710"/>
      <c r="E76" s="710"/>
      <c r="F76" s="710"/>
      <c r="G76" s="721" t="s">
        <v>1073</v>
      </c>
      <c r="H76" s="1116" t="e">
        <f>SUM(E70:H70)/SUM(E68:J68)</f>
        <v>#N/A</v>
      </c>
      <c r="I76" s="1116"/>
      <c r="J76" s="1116"/>
      <c r="K76" s="710"/>
      <c r="L76" s="372"/>
      <c r="M76" s="372"/>
      <c r="N76" s="372"/>
      <c r="O76" s="372"/>
      <c r="P76" s="1146" t="s">
        <v>1337</v>
      </c>
      <c r="Q76" s="1146"/>
      <c r="R76" s="1146"/>
      <c r="S76" s="1146"/>
      <c r="T76" s="1151">
        <f>_xlfn.IFERROR(H75,"")</f>
      </c>
      <c r="U76" s="1151"/>
      <c r="V76" s="1151"/>
      <c r="W76" s="1022" t="s">
        <v>1334</v>
      </c>
      <c r="Z76" s="348"/>
      <c r="AA76" s="348"/>
      <c r="AB76" s="348"/>
      <c r="AC76" s="348"/>
      <c r="AD76" s="348"/>
      <c r="AE76" s="348"/>
      <c r="AF76" s="348"/>
      <c r="AG76" s="348"/>
      <c r="AH76" s="348"/>
      <c r="AI76" s="348"/>
      <c r="AJ76" s="348"/>
      <c r="AK76" s="348"/>
      <c r="AL76" s="348"/>
      <c r="AM76" s="348"/>
      <c r="AN76" s="348"/>
      <c r="AO76" s="348"/>
      <c r="AP76" s="348"/>
      <c r="AQ76" s="348"/>
      <c r="AR76" s="348"/>
      <c r="AS76" s="348"/>
      <c r="AT76" s="348"/>
      <c r="AU76" s="348"/>
      <c r="AV76" s="348"/>
      <c r="AW76" s="348"/>
      <c r="AX76" s="348"/>
      <c r="AY76" s="348"/>
      <c r="AZ76" s="348"/>
      <c r="BA76" s="348"/>
      <c r="BB76" s="348"/>
      <c r="BC76" s="348"/>
      <c r="BD76" s="348"/>
      <c r="BE76" s="348"/>
      <c r="BF76" s="348"/>
      <c r="BG76" s="348"/>
      <c r="BH76" s="353"/>
      <c r="BI76" s="353"/>
      <c r="BJ76" s="353"/>
      <c r="BK76" s="353"/>
      <c r="BL76" s="735"/>
      <c r="BM76" s="735"/>
      <c r="BN76" s="735"/>
      <c r="BO76" s="735"/>
      <c r="BP76" s="735"/>
      <c r="BQ76" s="735"/>
      <c r="BR76" s="388"/>
      <c r="BS76" s="388"/>
      <c r="BT76" s="388"/>
      <c r="BU76" s="388"/>
      <c r="CC76" s="753" t="s">
        <v>1081</v>
      </c>
      <c r="CD76" s="754" t="b">
        <v>0</v>
      </c>
      <c r="CX76" s="388"/>
      <c r="CY76" s="735"/>
      <c r="CZ76" s="735"/>
      <c r="DA76" s="735"/>
      <c r="DB76" s="735"/>
      <c r="DC76" s="735"/>
      <c r="DD76" s="735"/>
      <c r="DE76" s="735"/>
      <c r="DF76" s="735"/>
      <c r="DG76" s="735"/>
      <c r="DH76" s="735"/>
      <c r="DI76" s="399"/>
      <c r="DJ76" s="399"/>
      <c r="DK76" s="399"/>
      <c r="DL76" s="399"/>
      <c r="DM76" s="399"/>
      <c r="DN76" s="350"/>
      <c r="DO76" s="350"/>
      <c r="DP76" s="350"/>
      <c r="DQ76" s="350"/>
      <c r="DR76" s="350"/>
    </row>
    <row r="77" spans="1:122" ht="13.5" customHeight="1">
      <c r="A77" s="348"/>
      <c r="B77" s="425"/>
      <c r="C77" s="372"/>
      <c r="D77" s="710"/>
      <c r="E77" s="710"/>
      <c r="F77" s="710"/>
      <c r="G77" s="619" t="s">
        <v>730</v>
      </c>
      <c r="H77" s="1119">
        <f>ElectricRate</f>
        <v>0.045</v>
      </c>
      <c r="I77" s="1119"/>
      <c r="J77" s="1119"/>
      <c r="K77" s="372" t="s">
        <v>785</v>
      </c>
      <c r="L77" s="372"/>
      <c r="M77" s="372"/>
      <c r="N77" s="372"/>
      <c r="O77" s="372"/>
      <c r="P77" s="1146" t="s">
        <v>445</v>
      </c>
      <c r="Q77" s="1146"/>
      <c r="R77" s="1146"/>
      <c r="S77" s="1146"/>
      <c r="T77" s="1121">
        <f>IF(T69=0,"",T69)</f>
      </c>
      <c r="U77" s="1121"/>
      <c r="V77" s="1121"/>
      <c r="W77" s="1023"/>
      <c r="X77" s="710"/>
      <c r="Y77" s="710"/>
      <c r="Z77" s="348"/>
      <c r="AA77" s="348"/>
      <c r="AB77" s="348"/>
      <c r="AC77" s="348"/>
      <c r="AD77" s="348"/>
      <c r="AE77" s="348"/>
      <c r="AF77" s="348"/>
      <c r="AG77" s="348"/>
      <c r="AH77" s="348"/>
      <c r="AI77" s="348"/>
      <c r="AJ77" s="348"/>
      <c r="AK77" s="348"/>
      <c r="AL77" s="348"/>
      <c r="AM77" s="348"/>
      <c r="AN77" s="348"/>
      <c r="AO77" s="348"/>
      <c r="AP77" s="348"/>
      <c r="AQ77" s="348"/>
      <c r="AR77" s="348"/>
      <c r="AS77" s="348"/>
      <c r="AT77" s="348"/>
      <c r="AU77" s="348"/>
      <c r="AV77" s="348"/>
      <c r="AW77" s="348"/>
      <c r="AX77" s="348"/>
      <c r="AY77" s="348"/>
      <c r="AZ77" s="348"/>
      <c r="BA77" s="348"/>
      <c r="BB77" s="348"/>
      <c r="BC77" s="348"/>
      <c r="BD77" s="348"/>
      <c r="BE77" s="348"/>
      <c r="BF77" s="348"/>
      <c r="BG77" s="348"/>
      <c r="BH77" s="353"/>
      <c r="BI77" s="353"/>
      <c r="BJ77" s="353"/>
      <c r="BK77" s="353"/>
      <c r="BL77" s="735"/>
      <c r="BM77" s="735"/>
      <c r="BN77" s="735"/>
      <c r="BO77" s="735"/>
      <c r="BP77" s="735"/>
      <c r="BQ77" s="735"/>
      <c r="BR77" s="388"/>
      <c r="BS77" s="388"/>
      <c r="BT77" s="388"/>
      <c r="BU77" s="388"/>
      <c r="CC77" s="426" t="s">
        <v>1074</v>
      </c>
      <c r="CD77" s="731" t="b">
        <v>0</v>
      </c>
      <c r="CF77" s="388" t="s">
        <v>559</v>
      </c>
      <c r="CJ77" s="785" t="b">
        <v>1</v>
      </c>
      <c r="CK77" s="786" t="s">
        <v>560</v>
      </c>
      <c r="CL77" s="786"/>
      <c r="CX77" s="388"/>
      <c r="CY77" s="735"/>
      <c r="CZ77" s="735"/>
      <c r="DA77" s="735"/>
      <c r="DB77" s="735"/>
      <c r="DC77" s="735"/>
      <c r="DD77" s="735"/>
      <c r="DE77" s="735"/>
      <c r="DF77" s="735"/>
      <c r="DG77" s="735"/>
      <c r="DH77" s="735"/>
      <c r="DI77" s="399"/>
      <c r="DJ77" s="399"/>
      <c r="DK77" s="399"/>
      <c r="DL77" s="399"/>
      <c r="DM77" s="399"/>
      <c r="DN77" s="350"/>
      <c r="DO77" s="350"/>
      <c r="DP77" s="350"/>
      <c r="DQ77" s="350"/>
      <c r="DR77" s="350"/>
    </row>
    <row r="78" spans="1:122" ht="13.5" customHeight="1">
      <c r="A78" s="348"/>
      <c r="B78" s="425"/>
      <c r="C78" s="372"/>
      <c r="D78" s="710"/>
      <c r="E78" s="710"/>
      <c r="F78" s="710"/>
      <c r="G78" s="619" t="s">
        <v>731</v>
      </c>
      <c r="H78" s="1120" t="e">
        <f>ElectricityCostSavings</f>
        <v>#N/A</v>
      </c>
      <c r="I78" s="1120"/>
      <c r="J78" s="1120"/>
      <c r="K78" s="372" t="s">
        <v>786</v>
      </c>
      <c r="L78" s="372"/>
      <c r="M78" s="372"/>
      <c r="N78" s="372"/>
      <c r="O78" s="372"/>
      <c r="P78" s="1146" t="s">
        <v>1333</v>
      </c>
      <c r="Q78" s="1146"/>
      <c r="R78" s="1146"/>
      <c r="S78" s="1146"/>
      <c r="T78" s="1112">
        <f>T70</f>
      </c>
      <c r="U78" s="1112"/>
      <c r="V78" s="1112"/>
      <c r="W78" s="1024"/>
      <c r="X78" s="851"/>
      <c r="Y78" s="710"/>
      <c r="Z78" s="348"/>
      <c r="AA78" s="348"/>
      <c r="AB78" s="348"/>
      <c r="AC78" s="348"/>
      <c r="AD78" s="348"/>
      <c r="AE78" s="348"/>
      <c r="AF78" s="348"/>
      <c r="AG78" s="348"/>
      <c r="AH78" s="348"/>
      <c r="AI78" s="348"/>
      <c r="AJ78" s="348"/>
      <c r="AK78" s="348"/>
      <c r="AL78" s="348"/>
      <c r="AM78" s="348"/>
      <c r="AN78" s="348"/>
      <c r="AO78" s="348"/>
      <c r="AP78" s="348"/>
      <c r="AQ78" s="348"/>
      <c r="AR78" s="348"/>
      <c r="AS78" s="348"/>
      <c r="AT78" s="348"/>
      <c r="AU78" s="348"/>
      <c r="AV78" s="348"/>
      <c r="AW78" s="348"/>
      <c r="AX78" s="348"/>
      <c r="AY78" s="348"/>
      <c r="AZ78" s="348"/>
      <c r="BA78" s="348"/>
      <c r="BB78" s="348"/>
      <c r="BC78" s="348"/>
      <c r="BD78" s="348"/>
      <c r="BE78" s="348"/>
      <c r="BF78" s="348"/>
      <c r="BG78" s="348"/>
      <c r="BH78" s="353"/>
      <c r="BI78" s="353"/>
      <c r="BJ78" s="353"/>
      <c r="BK78" s="353"/>
      <c r="BL78" s="735"/>
      <c r="BM78" s="735"/>
      <c r="BN78" s="735"/>
      <c r="BO78" s="735"/>
      <c r="BP78" s="735"/>
      <c r="BQ78" s="735"/>
      <c r="BR78" s="388"/>
      <c r="BS78" s="388"/>
      <c r="BT78" s="388"/>
      <c r="BU78" s="388"/>
      <c r="CA78" s="388" t="s">
        <v>1075</v>
      </c>
      <c r="CD78" s="731" t="b">
        <v>0</v>
      </c>
      <c r="CX78" s="388"/>
      <c r="CY78" s="735"/>
      <c r="CZ78" s="735"/>
      <c r="DA78" s="735"/>
      <c r="DB78" s="735"/>
      <c r="DC78" s="735"/>
      <c r="DD78" s="735"/>
      <c r="DE78" s="735"/>
      <c r="DF78" s="735"/>
      <c r="DG78" s="735"/>
      <c r="DH78" s="735"/>
      <c r="DI78" s="399"/>
      <c r="DJ78" s="399"/>
      <c r="DK78" s="399"/>
      <c r="DL78" s="399"/>
      <c r="DM78" s="399"/>
      <c r="DN78" s="350"/>
      <c r="DO78" s="350"/>
      <c r="DP78" s="350"/>
      <c r="DQ78" s="350"/>
      <c r="DR78" s="350"/>
    </row>
    <row r="79" spans="1:122" ht="13.5" customHeight="1">
      <c r="A79" s="348"/>
      <c r="B79" s="428" t="str">
        <f ca="1">" Cascade Energy, Inc. © "&amp;YEAR(TODAY())&amp;"  "</f>
        <v> Cascade Energy, Inc. © 2023  </v>
      </c>
      <c r="C79" s="427"/>
      <c r="D79" s="427"/>
      <c r="E79" s="427"/>
      <c r="F79" s="427"/>
      <c r="G79" s="427"/>
      <c r="H79" s="427"/>
      <c r="I79" s="427"/>
      <c r="J79" s="427"/>
      <c r="K79" s="427"/>
      <c r="L79" s="427"/>
      <c r="M79" s="427"/>
      <c r="N79" s="427"/>
      <c r="O79" s="427"/>
      <c r="P79" s="427"/>
      <c r="Q79" s="427"/>
      <c r="R79" s="427"/>
      <c r="S79" s="427"/>
      <c r="T79" s="427"/>
      <c r="U79" s="427"/>
      <c r="V79" s="427"/>
      <c r="W79" s="427"/>
      <c r="Y79" s="772" t="str">
        <f>ToolName&amp;" v"&amp;ToolVersion&amp;"  "</f>
        <v>BPA NW Regional Compressed Air Tool v4.1  </v>
      </c>
      <c r="Z79" s="643"/>
      <c r="AA79" s="643"/>
      <c r="AB79" s="643"/>
      <c r="AC79" s="643"/>
      <c r="AD79" s="643"/>
      <c r="AE79" s="643"/>
      <c r="AF79" s="643"/>
      <c r="AG79" s="643"/>
      <c r="AH79" s="348"/>
      <c r="AI79" s="348"/>
      <c r="AJ79" s="348"/>
      <c r="AK79" s="348"/>
      <c r="AL79" s="348"/>
      <c r="AM79" s="348"/>
      <c r="AN79" s="348"/>
      <c r="AO79" s="348"/>
      <c r="AP79" s="348"/>
      <c r="AQ79" s="348"/>
      <c r="AR79" s="348"/>
      <c r="AS79" s="348"/>
      <c r="AT79" s="348"/>
      <c r="AU79" s="348"/>
      <c r="AV79" s="348"/>
      <c r="AW79" s="348"/>
      <c r="AX79" s="348"/>
      <c r="AY79" s="348"/>
      <c r="AZ79" s="348"/>
      <c r="BA79" s="348"/>
      <c r="BB79" s="348"/>
      <c r="BC79" s="348"/>
      <c r="BD79" s="348"/>
      <c r="BE79" s="348"/>
      <c r="BF79" s="348"/>
      <c r="BG79" s="348"/>
      <c r="BH79" s="353"/>
      <c r="BI79" s="353"/>
      <c r="BJ79" s="353"/>
      <c r="BK79" s="353"/>
      <c r="BL79" s="735"/>
      <c r="BM79" s="735"/>
      <c r="BN79" s="735"/>
      <c r="BO79" s="735"/>
      <c r="BP79" s="735"/>
      <c r="BQ79" s="735"/>
      <c r="BR79" s="388"/>
      <c r="BS79" s="388"/>
      <c r="BT79" s="388"/>
      <c r="BU79" s="388"/>
      <c r="CF79" s="729"/>
      <c r="CP79" s="426" t="s">
        <v>280</v>
      </c>
      <c r="CQ79" s="787">
        <f>J19*(1+0.00075*(J24-H36))*CJ69</f>
        <v>0</v>
      </c>
      <c r="CR79" s="388" t="s">
        <v>718</v>
      </c>
      <c r="CX79" s="388"/>
      <c r="CY79" s="735"/>
      <c r="CZ79" s="735"/>
      <c r="DA79" s="735"/>
      <c r="DB79" s="735"/>
      <c r="DC79" s="735"/>
      <c r="DD79" s="735"/>
      <c r="DE79" s="735"/>
      <c r="DF79" s="735"/>
      <c r="DG79" s="735"/>
      <c r="DH79" s="735"/>
      <c r="DI79" s="399"/>
      <c r="DJ79" s="399"/>
      <c r="DK79" s="399"/>
      <c r="DL79" s="399"/>
      <c r="DM79" s="399"/>
      <c r="DN79" s="350"/>
      <c r="DO79" s="350"/>
      <c r="DP79" s="350"/>
      <c r="DQ79" s="350"/>
      <c r="DR79" s="350"/>
    </row>
    <row r="80" spans="1:122" ht="13.5" customHeight="1">
      <c r="A80" s="348"/>
      <c r="B80" s="429"/>
      <c r="C80" s="348"/>
      <c r="D80" s="430"/>
      <c r="E80" s="430"/>
      <c r="F80" s="431"/>
      <c r="G80" s="431"/>
      <c r="H80" s="432"/>
      <c r="I80" s="432"/>
      <c r="J80" s="432"/>
      <c r="K80" s="432"/>
      <c r="L80" s="430"/>
      <c r="M80" s="348"/>
      <c r="N80" s="348"/>
      <c r="O80" s="348"/>
      <c r="P80" s="348"/>
      <c r="Q80" s="348"/>
      <c r="R80" s="348"/>
      <c r="S80" s="431"/>
      <c r="T80" s="431"/>
      <c r="U80" s="433"/>
      <c r="V80" s="433"/>
      <c r="W80" s="433"/>
      <c r="X80" s="348"/>
      <c r="Y80" s="348"/>
      <c r="Z80" s="348"/>
      <c r="AA80" s="348"/>
      <c r="AB80" s="348"/>
      <c r="AC80" s="348"/>
      <c r="AD80" s="348"/>
      <c r="AE80" s="348"/>
      <c r="AF80" s="348"/>
      <c r="AG80" s="348"/>
      <c r="AH80" s="348"/>
      <c r="AI80" s="348"/>
      <c r="AJ80" s="348"/>
      <c r="AK80" s="348"/>
      <c r="AL80" s="348"/>
      <c r="AM80" s="348"/>
      <c r="AN80" s="348"/>
      <c r="AO80" s="348"/>
      <c r="AP80" s="348"/>
      <c r="AQ80" s="348"/>
      <c r="AR80" s="348"/>
      <c r="AS80" s="348"/>
      <c r="AT80" s="348"/>
      <c r="AU80" s="348"/>
      <c r="AV80" s="348"/>
      <c r="AW80" s="348"/>
      <c r="AX80" s="348"/>
      <c r="AY80" s="348"/>
      <c r="AZ80" s="348"/>
      <c r="BA80" s="348"/>
      <c r="BB80" s="348"/>
      <c r="BC80" s="348"/>
      <c r="BD80" s="348"/>
      <c r="BE80" s="348"/>
      <c r="BF80" s="348"/>
      <c r="BG80" s="348"/>
      <c r="BH80" s="353"/>
      <c r="BI80" s="353"/>
      <c r="BJ80" s="353"/>
      <c r="BK80" s="353"/>
      <c r="BL80" s="735"/>
      <c r="BM80" s="735"/>
      <c r="BN80" s="735"/>
      <c r="BO80" s="735"/>
      <c r="BP80" s="735"/>
      <c r="BQ80" s="735"/>
      <c r="BR80" s="388"/>
      <c r="BS80" s="388"/>
      <c r="BT80" s="388"/>
      <c r="BU80" s="388"/>
      <c r="CF80" s="729"/>
      <c r="CP80" s="426" t="s">
        <v>281</v>
      </c>
      <c r="CQ80" s="787">
        <f>P19*(1+0.00075*(P24-H37))*CJ69</f>
        <v>0</v>
      </c>
      <c r="CR80" s="388" t="s">
        <v>718</v>
      </c>
      <c r="CX80" s="388"/>
      <c r="CY80" s="735"/>
      <c r="CZ80" s="735"/>
      <c r="DA80" s="735"/>
      <c r="DB80" s="735"/>
      <c r="DC80" s="735"/>
      <c r="DD80" s="735"/>
      <c r="DE80" s="735"/>
      <c r="DF80" s="735"/>
      <c r="DG80" s="735"/>
      <c r="DH80" s="735"/>
      <c r="DI80" s="399"/>
      <c r="DJ80" s="399"/>
      <c r="DK80" s="399"/>
      <c r="DL80" s="399"/>
      <c r="DM80" s="399"/>
      <c r="DN80" s="350"/>
      <c r="DO80" s="350"/>
      <c r="DP80" s="350"/>
      <c r="DQ80" s="350"/>
      <c r="DR80" s="350"/>
    </row>
    <row r="81" spans="1:122" ht="13.5" customHeight="1">
      <c r="A81" s="348"/>
      <c r="B81" s="429"/>
      <c r="C81" s="348"/>
      <c r="D81" s="430"/>
      <c r="E81" s="430"/>
      <c r="F81" s="431"/>
      <c r="G81" s="431"/>
      <c r="H81" s="434"/>
      <c r="I81" s="434"/>
      <c r="J81" s="434"/>
      <c r="K81" s="434"/>
      <c r="L81" s="430"/>
      <c r="M81" s="348"/>
      <c r="N81" s="348"/>
      <c r="O81" s="348"/>
      <c r="P81" s="348"/>
      <c r="Q81" s="348"/>
      <c r="R81" s="348"/>
      <c r="S81" s="431"/>
      <c r="T81" s="431"/>
      <c r="U81" s="435"/>
      <c r="V81" s="435"/>
      <c r="W81" s="435"/>
      <c r="X81" s="430"/>
      <c r="Y81" s="348"/>
      <c r="Z81" s="348"/>
      <c r="AA81" s="348"/>
      <c r="AB81" s="348"/>
      <c r="AC81" s="348"/>
      <c r="AD81" s="348"/>
      <c r="AE81" s="348"/>
      <c r="AF81" s="348"/>
      <c r="AG81" s="348"/>
      <c r="AH81" s="348"/>
      <c r="AI81" s="348"/>
      <c r="AJ81" s="348"/>
      <c r="AK81" s="348"/>
      <c r="AL81" s="348"/>
      <c r="AM81" s="348"/>
      <c r="AN81" s="348"/>
      <c r="AO81" s="348"/>
      <c r="AP81" s="348"/>
      <c r="AQ81" s="348"/>
      <c r="AR81" s="348"/>
      <c r="AS81" s="348"/>
      <c r="AT81" s="348"/>
      <c r="AU81" s="348"/>
      <c r="AV81" s="348"/>
      <c r="AW81" s="348"/>
      <c r="AX81" s="348"/>
      <c r="AY81" s="348"/>
      <c r="AZ81" s="348"/>
      <c r="BA81" s="348"/>
      <c r="BB81" s="348"/>
      <c r="BC81" s="348"/>
      <c r="BD81" s="348"/>
      <c r="BE81" s="348"/>
      <c r="BF81" s="348"/>
      <c r="BG81" s="348"/>
      <c r="BH81" s="353"/>
      <c r="BI81" s="353"/>
      <c r="BJ81" s="353"/>
      <c r="BK81" s="353"/>
      <c r="BL81" s="735"/>
      <c r="BM81" s="735"/>
      <c r="BN81" s="735"/>
      <c r="BO81" s="735"/>
      <c r="BP81" s="735"/>
      <c r="BQ81" s="735"/>
      <c r="BR81" s="388"/>
      <c r="BS81" s="388"/>
      <c r="BT81" s="388"/>
      <c r="BU81" s="388"/>
      <c r="CF81" s="388" t="s">
        <v>282</v>
      </c>
      <c r="CX81" s="388"/>
      <c r="CY81" s="735"/>
      <c r="CZ81" s="735"/>
      <c r="DA81" s="735"/>
      <c r="DB81" s="735"/>
      <c r="DC81" s="735"/>
      <c r="DD81" s="735"/>
      <c r="DE81" s="735"/>
      <c r="DF81" s="735"/>
      <c r="DG81" s="735"/>
      <c r="DH81" s="735"/>
      <c r="DI81" s="399"/>
      <c r="DJ81" s="399"/>
      <c r="DK81" s="399"/>
      <c r="DL81" s="399"/>
      <c r="DM81" s="399"/>
      <c r="DN81" s="350"/>
      <c r="DO81" s="350"/>
      <c r="DP81" s="350"/>
      <c r="DQ81" s="350"/>
      <c r="DR81" s="350"/>
    </row>
    <row r="82" spans="1:122" ht="12.75">
      <c r="A82" s="348"/>
      <c r="B82" s="429"/>
      <c r="C82" s="348"/>
      <c r="D82" s="430"/>
      <c r="E82" s="430"/>
      <c r="F82" s="431"/>
      <c r="G82" s="431"/>
      <c r="H82" s="436"/>
      <c r="I82" s="436"/>
      <c r="J82" s="436"/>
      <c r="K82" s="436"/>
      <c r="L82" s="437"/>
      <c r="M82" s="353"/>
      <c r="N82" s="353"/>
      <c r="O82" s="353"/>
      <c r="P82" s="353"/>
      <c r="Q82" s="353"/>
      <c r="R82" s="353"/>
      <c r="S82" s="353"/>
      <c r="T82" s="430"/>
      <c r="U82" s="353"/>
      <c r="V82" s="353"/>
      <c r="W82" s="353"/>
      <c r="X82" s="353"/>
      <c r="Y82" s="348"/>
      <c r="Z82" s="348"/>
      <c r="AA82" s="348"/>
      <c r="AB82" s="348"/>
      <c r="AC82" s="348"/>
      <c r="AD82" s="348"/>
      <c r="AE82" s="348"/>
      <c r="AF82" s="348"/>
      <c r="AG82" s="348"/>
      <c r="AH82" s="348"/>
      <c r="AI82" s="348"/>
      <c r="AJ82" s="348"/>
      <c r="AK82" s="348"/>
      <c r="AL82" s="348"/>
      <c r="AM82" s="348"/>
      <c r="AN82" s="348"/>
      <c r="AO82" s="348"/>
      <c r="AP82" s="348"/>
      <c r="AQ82" s="348"/>
      <c r="AR82" s="348"/>
      <c r="AS82" s="348"/>
      <c r="AT82" s="348"/>
      <c r="AU82" s="348"/>
      <c r="AV82" s="348"/>
      <c r="AW82" s="348"/>
      <c r="AX82" s="348"/>
      <c r="AY82" s="348"/>
      <c r="AZ82" s="348"/>
      <c r="BA82" s="348"/>
      <c r="BB82" s="348"/>
      <c r="BC82" s="348"/>
      <c r="BD82" s="348"/>
      <c r="BE82" s="348"/>
      <c r="BF82" s="348"/>
      <c r="BG82" s="348"/>
      <c r="BH82" s="353"/>
      <c r="BI82" s="353"/>
      <c r="BJ82" s="353"/>
      <c r="BK82" s="353"/>
      <c r="BL82" s="735"/>
      <c r="BM82" s="735"/>
      <c r="BN82" s="735"/>
      <c r="BO82" s="735"/>
      <c r="BP82" s="735"/>
      <c r="BQ82" s="735"/>
      <c r="BR82" s="388"/>
      <c r="BS82" s="388"/>
      <c r="BT82" s="388"/>
      <c r="BU82" s="388"/>
      <c r="CX82" s="388"/>
      <c r="CY82" s="735"/>
      <c r="CZ82" s="735"/>
      <c r="DA82" s="735"/>
      <c r="DB82" s="735"/>
      <c r="DC82" s="735"/>
      <c r="DD82" s="735"/>
      <c r="DE82" s="735"/>
      <c r="DF82" s="735"/>
      <c r="DG82" s="735"/>
      <c r="DH82" s="735"/>
      <c r="DI82" s="399"/>
      <c r="DJ82" s="399"/>
      <c r="DK82" s="399"/>
      <c r="DL82" s="399"/>
      <c r="DM82" s="399"/>
      <c r="DN82" s="350"/>
      <c r="DO82" s="350"/>
      <c r="DP82" s="350"/>
      <c r="DQ82" s="350"/>
      <c r="DR82" s="350"/>
    </row>
    <row r="83" spans="1:122" ht="12.75">
      <c r="A83" s="348"/>
      <c r="B83" s="398"/>
      <c r="C83" s="398"/>
      <c r="D83" s="613"/>
      <c r="E83" s="613"/>
      <c r="F83" s="398"/>
      <c r="G83" s="398"/>
      <c r="H83" s="398"/>
      <c r="I83" s="398"/>
      <c r="J83" s="398"/>
      <c r="K83" s="398"/>
      <c r="L83" s="398"/>
      <c r="M83" s="438"/>
      <c r="N83" s="438"/>
      <c r="O83" s="438"/>
      <c r="P83" s="398"/>
      <c r="Q83" s="614" t="s">
        <v>260</v>
      </c>
      <c r="R83" s="398"/>
      <c r="S83" s="615" t="e">
        <f>$CD$103*((-$J$24+$H$36)/250+1)</f>
        <v>#N/A</v>
      </c>
      <c r="T83" s="613"/>
      <c r="U83" s="398"/>
      <c r="V83" s="398"/>
      <c r="W83" s="398"/>
      <c r="X83" s="398"/>
      <c r="Y83" s="398"/>
      <c r="Z83" s="398"/>
      <c r="AA83" s="398"/>
      <c r="AB83" s="398"/>
      <c r="AC83" s="398"/>
      <c r="AD83" s="398"/>
      <c r="AE83" s="398"/>
      <c r="AF83" s="398"/>
      <c r="AG83" s="398"/>
      <c r="AH83" s="348"/>
      <c r="AI83" s="348"/>
      <c r="AJ83" s="348"/>
      <c r="AK83" s="348"/>
      <c r="AL83" s="348"/>
      <c r="AM83" s="348"/>
      <c r="AN83" s="348"/>
      <c r="AO83" s="348"/>
      <c r="AP83" s="348"/>
      <c r="AQ83" s="348"/>
      <c r="AR83" s="348"/>
      <c r="AS83" s="348"/>
      <c r="AT83" s="348"/>
      <c r="AU83" s="348"/>
      <c r="AV83" s="348"/>
      <c r="AW83" s="348"/>
      <c r="AX83" s="348"/>
      <c r="AY83" s="348"/>
      <c r="AZ83" s="348"/>
      <c r="BA83" s="348"/>
      <c r="BB83" s="348"/>
      <c r="BC83" s="348"/>
      <c r="BD83" s="348"/>
      <c r="BE83" s="348"/>
      <c r="BF83" s="348"/>
      <c r="BG83" s="348"/>
      <c r="BH83" s="353"/>
      <c r="BI83" s="353"/>
      <c r="BJ83" s="353"/>
      <c r="BK83" s="353"/>
      <c r="BL83" s="735"/>
      <c r="BM83" s="735"/>
      <c r="BN83" s="735"/>
      <c r="BO83" s="735"/>
      <c r="BP83" s="735"/>
      <c r="BQ83" s="735"/>
      <c r="BR83" s="388"/>
      <c r="BS83" s="388"/>
      <c r="BT83" s="388"/>
      <c r="BU83" s="388"/>
      <c r="CX83" s="388"/>
      <c r="CY83" s="735"/>
      <c r="CZ83" s="735"/>
      <c r="DA83" s="735"/>
      <c r="DB83" s="735"/>
      <c r="DC83" s="735"/>
      <c r="DD83" s="735"/>
      <c r="DE83" s="735"/>
      <c r="DF83" s="735"/>
      <c r="DG83" s="735"/>
      <c r="DH83" s="735"/>
      <c r="DI83" s="399"/>
      <c r="DJ83" s="399"/>
      <c r="DK83" s="399"/>
      <c r="DL83" s="399"/>
      <c r="DM83" s="399"/>
      <c r="DN83" s="350"/>
      <c r="DO83" s="350"/>
      <c r="DP83" s="350"/>
      <c r="DQ83" s="350"/>
      <c r="DR83" s="350"/>
    </row>
    <row r="84" spans="1:122" ht="15.75">
      <c r="A84" s="348"/>
      <c r="B84" s="398"/>
      <c r="C84" s="398"/>
      <c r="D84" s="616"/>
      <c r="E84" s="616"/>
      <c r="F84" s="398"/>
      <c r="G84" s="398"/>
      <c r="H84" s="398"/>
      <c r="I84" s="398"/>
      <c r="J84" s="398"/>
      <c r="K84" s="398"/>
      <c r="L84" s="398"/>
      <c r="M84" s="438"/>
      <c r="N84" s="438"/>
      <c r="O84" s="438"/>
      <c r="P84" s="439"/>
      <c r="Q84" s="614" t="s">
        <v>261</v>
      </c>
      <c r="R84" s="439"/>
      <c r="S84" s="615" t="e">
        <f>$CD$104*((-$P$24+$H$37)/250+1)</f>
        <v>#N/A</v>
      </c>
      <c r="T84" s="613"/>
      <c r="U84" s="398"/>
      <c r="V84" s="398"/>
      <c r="W84" s="398"/>
      <c r="X84" s="398"/>
      <c r="Y84" s="398"/>
      <c r="Z84" s="398"/>
      <c r="AA84" s="398"/>
      <c r="AB84" s="398"/>
      <c r="AC84" s="398"/>
      <c r="AD84" s="398"/>
      <c r="AE84" s="398"/>
      <c r="AF84" s="398"/>
      <c r="AG84" s="398"/>
      <c r="AH84" s="348"/>
      <c r="AI84" s="348"/>
      <c r="AJ84" s="348"/>
      <c r="AK84" s="348"/>
      <c r="AL84" s="348"/>
      <c r="AM84" s="348"/>
      <c r="AN84" s="348"/>
      <c r="AO84" s="348"/>
      <c r="AP84" s="348"/>
      <c r="AQ84" s="348"/>
      <c r="AR84" s="348"/>
      <c r="AS84" s="348"/>
      <c r="AT84" s="348"/>
      <c r="AU84" s="348"/>
      <c r="AV84" s="348"/>
      <c r="AW84" s="348"/>
      <c r="AX84" s="348"/>
      <c r="AY84" s="348"/>
      <c r="AZ84" s="348"/>
      <c r="BA84" s="348"/>
      <c r="BB84" s="348"/>
      <c r="BC84" s="348"/>
      <c r="BD84" s="348"/>
      <c r="BE84" s="348"/>
      <c r="BF84" s="348"/>
      <c r="BG84" s="348"/>
      <c r="BH84" s="353"/>
      <c r="BI84" s="353"/>
      <c r="BJ84" s="353"/>
      <c r="BK84" s="353"/>
      <c r="BL84" s="735"/>
      <c r="BM84" s="735"/>
      <c r="BN84" s="735"/>
      <c r="BO84" s="735"/>
      <c r="BP84" s="735"/>
      <c r="BQ84" s="735"/>
      <c r="BR84" s="388"/>
      <c r="BS84" s="388"/>
      <c r="BT84" s="388"/>
      <c r="BU84" s="388"/>
      <c r="BW84" s="788"/>
      <c r="BX84" s="788"/>
      <c r="BY84" s="788"/>
      <c r="CF84" s="388" t="s">
        <v>699</v>
      </c>
      <c r="CK84" s="788"/>
      <c r="CX84" s="388"/>
      <c r="CY84" s="735"/>
      <c r="CZ84" s="735"/>
      <c r="DA84" s="735"/>
      <c r="DB84" s="735"/>
      <c r="DC84" s="735"/>
      <c r="DD84" s="735"/>
      <c r="DE84" s="735"/>
      <c r="DF84" s="735"/>
      <c r="DG84" s="735"/>
      <c r="DH84" s="735"/>
      <c r="DI84" s="399"/>
      <c r="DJ84" s="399"/>
      <c r="DK84" s="399"/>
      <c r="DL84" s="399"/>
      <c r="DM84" s="399"/>
      <c r="DN84" s="350"/>
      <c r="DO84" s="350"/>
      <c r="DP84" s="350"/>
      <c r="DQ84" s="350"/>
      <c r="DR84" s="350"/>
    </row>
    <row r="85" spans="1:122" ht="12.75">
      <c r="A85" s="607"/>
      <c r="B85" s="398"/>
      <c r="C85" s="398" t="s">
        <v>1076</v>
      </c>
      <c r="D85" s="398"/>
      <c r="E85" s="398"/>
      <c r="F85" s="398"/>
      <c r="G85" s="398"/>
      <c r="H85" s="398"/>
      <c r="I85" s="398"/>
      <c r="J85" s="398"/>
      <c r="K85" s="398"/>
      <c r="L85" s="398"/>
      <c r="M85" s="398"/>
      <c r="N85" s="398"/>
      <c r="O85" s="398"/>
      <c r="P85" s="398"/>
      <c r="Q85" s="398"/>
      <c r="R85" s="398"/>
      <c r="S85" s="398"/>
      <c r="T85" s="398"/>
      <c r="U85" s="398"/>
      <c r="V85" s="398"/>
      <c r="W85" s="398"/>
      <c r="X85" s="398"/>
      <c r="Y85" s="398"/>
      <c r="Z85" s="398"/>
      <c r="AA85" s="398"/>
      <c r="AB85" s="398"/>
      <c r="AC85" s="398"/>
      <c r="AD85" s="398"/>
      <c r="AE85" s="398"/>
      <c r="AF85" s="398"/>
      <c r="AG85" s="398"/>
      <c r="AH85" s="348"/>
      <c r="AI85" s="348"/>
      <c r="AJ85" s="348"/>
      <c r="AK85" s="348"/>
      <c r="AL85" s="348"/>
      <c r="AM85" s="348"/>
      <c r="AN85" s="348"/>
      <c r="AO85" s="348"/>
      <c r="AP85" s="348"/>
      <c r="AQ85" s="348"/>
      <c r="AR85" s="348"/>
      <c r="AS85" s="348"/>
      <c r="AT85" s="348"/>
      <c r="AU85" s="348"/>
      <c r="AV85" s="348"/>
      <c r="AW85" s="348"/>
      <c r="AX85" s="348"/>
      <c r="AY85" s="348"/>
      <c r="AZ85" s="348"/>
      <c r="BA85" s="348"/>
      <c r="BB85" s="348"/>
      <c r="BC85" s="348"/>
      <c r="BD85" s="348"/>
      <c r="BE85" s="348"/>
      <c r="BF85" s="348"/>
      <c r="BG85" s="348"/>
      <c r="BH85" s="353"/>
      <c r="BI85" s="353"/>
      <c r="BJ85" s="353"/>
      <c r="BK85" s="353"/>
      <c r="BL85" s="735"/>
      <c r="BM85" s="735"/>
      <c r="BN85" s="735"/>
      <c r="BO85" s="735"/>
      <c r="BP85" s="735"/>
      <c r="BQ85" s="735"/>
      <c r="BR85" s="388"/>
      <c r="BS85" s="388"/>
      <c r="BT85" s="388"/>
      <c r="BU85" s="388"/>
      <c r="BY85" s="388" t="s">
        <v>693</v>
      </c>
      <c r="CC85" s="789" t="s">
        <v>662</v>
      </c>
      <c r="CD85" s="789" t="s">
        <v>662</v>
      </c>
      <c r="CF85" s="789">
        <v>1</v>
      </c>
      <c r="CG85" s="355" t="s">
        <v>626</v>
      </c>
      <c r="CX85" s="388"/>
      <c r="CY85" s="735"/>
      <c r="CZ85" s="735"/>
      <c r="DA85" s="735"/>
      <c r="DB85" s="735"/>
      <c r="DC85" s="735"/>
      <c r="DD85" s="735"/>
      <c r="DE85" s="735"/>
      <c r="DF85" s="735"/>
      <c r="DG85" s="735"/>
      <c r="DH85" s="735"/>
      <c r="DI85" s="399"/>
      <c r="DJ85" s="399"/>
      <c r="DK85" s="399"/>
      <c r="DL85" s="399"/>
      <c r="DM85" s="399"/>
      <c r="DN85" s="350"/>
      <c r="DO85" s="350"/>
      <c r="DP85" s="350"/>
      <c r="DQ85" s="350"/>
      <c r="DR85" s="350"/>
    </row>
    <row r="86" spans="1:122" ht="12.75">
      <c r="A86" s="607"/>
      <c r="B86" s="398"/>
      <c r="C86" s="398" t="s">
        <v>1077</v>
      </c>
      <c r="D86" s="398"/>
      <c r="E86" s="398"/>
      <c r="F86" s="398"/>
      <c r="G86" s="398" t="s">
        <v>1078</v>
      </c>
      <c r="H86" s="398"/>
      <c r="I86" s="398"/>
      <c r="J86" s="398"/>
      <c r="K86" s="398"/>
      <c r="L86" s="398"/>
      <c r="M86" s="398"/>
      <c r="N86" s="398"/>
      <c r="O86" s="398"/>
      <c r="P86" s="398"/>
      <c r="Q86" s="398" t="s">
        <v>254</v>
      </c>
      <c r="R86" s="398"/>
      <c r="S86" s="398"/>
      <c r="T86" s="398" t="s">
        <v>255</v>
      </c>
      <c r="U86" s="398"/>
      <c r="V86" s="398"/>
      <c r="W86" s="398"/>
      <c r="X86" s="398"/>
      <c r="Y86" s="398"/>
      <c r="Z86" s="398"/>
      <c r="AA86" s="398"/>
      <c r="AB86" s="398"/>
      <c r="AC86" s="398"/>
      <c r="AD86" s="398"/>
      <c r="AE86" s="398"/>
      <c r="AF86" s="398"/>
      <c r="AG86" s="398"/>
      <c r="AH86" s="348"/>
      <c r="AI86" s="348"/>
      <c r="AJ86" s="348"/>
      <c r="AK86" s="348"/>
      <c r="AL86" s="348"/>
      <c r="AM86" s="348"/>
      <c r="AN86" s="348"/>
      <c r="AO86" s="348"/>
      <c r="AP86" s="348"/>
      <c r="AQ86" s="348"/>
      <c r="AR86" s="348"/>
      <c r="AS86" s="348"/>
      <c r="AT86" s="348"/>
      <c r="AU86" s="348"/>
      <c r="AV86" s="348"/>
      <c r="AW86" s="348"/>
      <c r="AX86" s="348"/>
      <c r="AY86" s="348"/>
      <c r="AZ86" s="348"/>
      <c r="BA86" s="348"/>
      <c r="BB86" s="348"/>
      <c r="BC86" s="348"/>
      <c r="BD86" s="348"/>
      <c r="BE86" s="348"/>
      <c r="BF86" s="348"/>
      <c r="BG86" s="348"/>
      <c r="BH86" s="353"/>
      <c r="BI86" s="353"/>
      <c r="BJ86" s="353"/>
      <c r="BK86" s="353"/>
      <c r="BL86" s="735"/>
      <c r="BM86" s="735"/>
      <c r="BN86" s="735"/>
      <c r="BO86" s="735"/>
      <c r="BP86" s="735"/>
      <c r="BQ86" s="735"/>
      <c r="BR86" s="388"/>
      <c r="BS86" s="388"/>
      <c r="BT86" s="388"/>
      <c r="BU86" s="388"/>
      <c r="BW86" s="790"/>
      <c r="BX86" s="790"/>
      <c r="BY86" s="791" t="s">
        <v>694</v>
      </c>
      <c r="CC86" s="789" t="s">
        <v>616</v>
      </c>
      <c r="CD86" s="789" t="s">
        <v>663</v>
      </c>
      <c r="CF86" s="789">
        <v>2</v>
      </c>
      <c r="CG86" s="355" t="s">
        <v>627</v>
      </c>
      <c r="CX86" s="388"/>
      <c r="CY86" s="735"/>
      <c r="CZ86" s="735"/>
      <c r="DA86" s="735"/>
      <c r="DB86" s="735"/>
      <c r="DC86" s="735"/>
      <c r="DD86" s="735"/>
      <c r="DE86" s="735"/>
      <c r="DF86" s="735"/>
      <c r="DG86" s="735"/>
      <c r="DH86" s="735"/>
      <c r="DI86" s="399"/>
      <c r="DJ86" s="399"/>
      <c r="DK86" s="399"/>
      <c r="DL86" s="399"/>
      <c r="DM86" s="399"/>
      <c r="DN86" s="350"/>
      <c r="DO86" s="350"/>
      <c r="DP86" s="350"/>
      <c r="DQ86" s="350"/>
      <c r="DR86" s="350"/>
    </row>
    <row r="87" spans="1:122" ht="12.75">
      <c r="A87" s="607"/>
      <c r="B87" s="398"/>
      <c r="C87" s="398" t="s">
        <v>403</v>
      </c>
      <c r="D87" s="398" t="s">
        <v>256</v>
      </c>
      <c r="E87" s="398"/>
      <c r="F87" s="398"/>
      <c r="G87" s="398" t="s">
        <v>403</v>
      </c>
      <c r="H87" s="398" t="s">
        <v>256</v>
      </c>
      <c r="I87" s="398"/>
      <c r="J87" s="398"/>
      <c r="K87" s="398"/>
      <c r="L87" s="398"/>
      <c r="M87" s="398"/>
      <c r="N87" s="398"/>
      <c r="O87" s="398"/>
      <c r="P87" s="398"/>
      <c r="Q87" s="398" t="s">
        <v>618</v>
      </c>
      <c r="R87" s="398"/>
      <c r="S87" s="398" t="s">
        <v>619</v>
      </c>
      <c r="T87" s="398" t="s">
        <v>618</v>
      </c>
      <c r="U87" s="398" t="s">
        <v>619</v>
      </c>
      <c r="V87" s="398"/>
      <c r="W87" s="398"/>
      <c r="X87" s="398"/>
      <c r="Y87" s="398"/>
      <c r="Z87" s="398"/>
      <c r="AA87" s="398"/>
      <c r="AB87" s="398"/>
      <c r="AC87" s="398"/>
      <c r="AD87" s="398"/>
      <c r="AE87" s="398"/>
      <c r="AF87" s="398"/>
      <c r="AG87" s="398"/>
      <c r="AH87" s="348"/>
      <c r="AI87" s="348"/>
      <c r="AJ87" s="348"/>
      <c r="AK87" s="348"/>
      <c r="AL87" s="348"/>
      <c r="AM87" s="348"/>
      <c r="AN87" s="348"/>
      <c r="AO87" s="348"/>
      <c r="AP87" s="348"/>
      <c r="AQ87" s="348"/>
      <c r="AR87" s="348"/>
      <c r="AS87" s="348"/>
      <c r="AT87" s="348"/>
      <c r="AU87" s="348"/>
      <c r="AV87" s="348"/>
      <c r="AW87" s="348"/>
      <c r="AX87" s="348"/>
      <c r="AY87" s="348"/>
      <c r="AZ87" s="348"/>
      <c r="BA87" s="348"/>
      <c r="BB87" s="348"/>
      <c r="BC87" s="348"/>
      <c r="BD87" s="348"/>
      <c r="BE87" s="348"/>
      <c r="BF87" s="348"/>
      <c r="BG87" s="348"/>
      <c r="BH87" s="353"/>
      <c r="BI87" s="353"/>
      <c r="BJ87" s="353"/>
      <c r="BK87" s="353"/>
      <c r="BL87" s="735"/>
      <c r="BM87" s="735"/>
      <c r="BN87" s="735"/>
      <c r="BO87" s="735"/>
      <c r="BP87" s="735"/>
      <c r="BQ87" s="735"/>
      <c r="BR87" s="388"/>
      <c r="BS87" s="388"/>
      <c r="BT87" s="388"/>
      <c r="BU87" s="388"/>
      <c r="BY87" s="388" t="s">
        <v>592</v>
      </c>
      <c r="CC87" s="792">
        <v>5</v>
      </c>
      <c r="CD87" s="793">
        <v>0.895</v>
      </c>
      <c r="CE87" s="794"/>
      <c r="CF87" s="789">
        <v>3</v>
      </c>
      <c r="CG87" s="355" t="s">
        <v>628</v>
      </c>
      <c r="CX87" s="388"/>
      <c r="CY87" s="735"/>
      <c r="CZ87" s="735"/>
      <c r="DA87" s="735"/>
      <c r="DB87" s="735"/>
      <c r="DC87" s="735"/>
      <c r="DD87" s="735"/>
      <c r="DE87" s="735"/>
      <c r="DF87" s="735"/>
      <c r="DG87" s="735"/>
      <c r="DH87" s="735"/>
      <c r="DI87" s="399"/>
      <c r="DJ87" s="399"/>
      <c r="DK87" s="399"/>
      <c r="DL87" s="399"/>
      <c r="DM87" s="399"/>
      <c r="DN87" s="350"/>
      <c r="DO87" s="350"/>
      <c r="DP87" s="350"/>
      <c r="DQ87" s="350"/>
      <c r="DR87" s="350"/>
    </row>
    <row r="88" spans="1:122" ht="12.75">
      <c r="A88" s="607"/>
      <c r="B88" s="398"/>
      <c r="C88" s="440" t="e">
        <f aca="true" t="shared" si="0" ref="C88:D94">BX116</f>
        <v>#DIV/0!</v>
      </c>
      <c r="D88" s="440" t="e">
        <f t="shared" si="0"/>
        <v>#DIV/0!</v>
      </c>
      <c r="E88" s="398"/>
      <c r="F88" s="398"/>
      <c r="G88" s="440" t="e">
        <f aca="true" t="shared" si="1" ref="G88:H94">BX128</f>
        <v>#DIV/0!</v>
      </c>
      <c r="H88" s="440" t="e">
        <f t="shared" si="1"/>
        <v>#DIV/0!</v>
      </c>
      <c r="I88" s="398"/>
      <c r="J88" s="398"/>
      <c r="K88" s="398"/>
      <c r="L88" s="398"/>
      <c r="M88" s="398"/>
      <c r="N88" s="398"/>
      <c r="O88" s="398"/>
      <c r="P88" s="398"/>
      <c r="Q88" s="615" t="e">
        <f aca="true" t="shared" si="2" ref="Q88:Q94">C88*$CQ$79</f>
        <v>#DIV/0!</v>
      </c>
      <c r="R88" s="398"/>
      <c r="S88" s="617" t="e">
        <f aca="true" t="shared" si="3" ref="S88:S94">D88*$S$83</f>
        <v>#DIV/0!</v>
      </c>
      <c r="T88" s="398" t="e">
        <f aca="true" t="shared" si="4" ref="T88:T94">G88*$CQ$80</f>
        <v>#DIV/0!</v>
      </c>
      <c r="U88" s="617" t="e">
        <f aca="true" t="shared" si="5" ref="U88:U94">H88*$S$84</f>
        <v>#DIV/0!</v>
      </c>
      <c r="V88" s="398"/>
      <c r="W88" s="398"/>
      <c r="X88" s="398"/>
      <c r="Y88" s="398"/>
      <c r="Z88" s="398"/>
      <c r="AA88" s="398"/>
      <c r="AB88" s="398"/>
      <c r="AC88" s="398"/>
      <c r="AD88" s="398"/>
      <c r="AE88" s="398"/>
      <c r="AF88" s="398"/>
      <c r="AG88" s="398"/>
      <c r="AH88" s="348"/>
      <c r="AI88" s="348"/>
      <c r="AJ88" s="348"/>
      <c r="AK88" s="348"/>
      <c r="AL88" s="348"/>
      <c r="AM88" s="348"/>
      <c r="AN88" s="348"/>
      <c r="AO88" s="348"/>
      <c r="AP88" s="348"/>
      <c r="AQ88" s="348"/>
      <c r="AR88" s="348"/>
      <c r="AS88" s="348"/>
      <c r="AT88" s="348"/>
      <c r="AU88" s="348"/>
      <c r="AV88" s="348"/>
      <c r="AW88" s="348"/>
      <c r="AX88" s="348"/>
      <c r="AY88" s="348"/>
      <c r="AZ88" s="348"/>
      <c r="BA88" s="348"/>
      <c r="BB88" s="348"/>
      <c r="BC88" s="348"/>
      <c r="BD88" s="348"/>
      <c r="BE88" s="348"/>
      <c r="BF88" s="348"/>
      <c r="BG88" s="348"/>
      <c r="BH88" s="353"/>
      <c r="BI88" s="353"/>
      <c r="BJ88" s="353"/>
      <c r="BK88" s="353"/>
      <c r="BL88" s="735"/>
      <c r="BM88" s="735"/>
      <c r="BN88" s="735"/>
      <c r="BO88" s="735"/>
      <c r="BP88" s="735"/>
      <c r="BQ88" s="735"/>
      <c r="BR88" s="388"/>
      <c r="BS88" s="388"/>
      <c r="BT88" s="388"/>
      <c r="BU88" s="388"/>
      <c r="BW88" s="790"/>
      <c r="BX88" s="790"/>
      <c r="BY88" s="791" t="s">
        <v>695</v>
      </c>
      <c r="CC88" s="792">
        <v>7.5</v>
      </c>
      <c r="CD88" s="793">
        <v>0.917</v>
      </c>
      <c r="CE88" s="794"/>
      <c r="CF88" s="789">
        <v>4</v>
      </c>
      <c r="CG88" s="355" t="s">
        <v>653</v>
      </c>
      <c r="CU88" s="789"/>
      <c r="CX88" s="388"/>
      <c r="CY88" s="735"/>
      <c r="CZ88" s="735"/>
      <c r="DA88" s="735"/>
      <c r="DB88" s="735"/>
      <c r="DC88" s="735"/>
      <c r="DD88" s="735"/>
      <c r="DE88" s="735"/>
      <c r="DF88" s="735"/>
      <c r="DG88" s="735"/>
      <c r="DH88" s="735"/>
      <c r="DI88" s="399"/>
      <c r="DJ88" s="399"/>
      <c r="DK88" s="399"/>
      <c r="DL88" s="399"/>
      <c r="DM88" s="399"/>
      <c r="DN88" s="350"/>
      <c r="DO88" s="350"/>
      <c r="DP88" s="350"/>
      <c r="DQ88" s="350"/>
      <c r="DR88" s="350"/>
    </row>
    <row r="89" spans="1:122" ht="12.75">
      <c r="A89" s="607"/>
      <c r="B89" s="398"/>
      <c r="C89" s="440" t="e">
        <f t="shared" si="0"/>
        <v>#DIV/0!</v>
      </c>
      <c r="D89" s="440" t="e">
        <f t="shared" si="0"/>
        <v>#DIV/0!</v>
      </c>
      <c r="E89" s="398"/>
      <c r="F89" s="398"/>
      <c r="G89" s="440" t="e">
        <f t="shared" si="1"/>
        <v>#DIV/0!</v>
      </c>
      <c r="H89" s="440" t="e">
        <f t="shared" si="1"/>
        <v>#DIV/0!</v>
      </c>
      <c r="I89" s="398"/>
      <c r="J89" s="398"/>
      <c r="K89" s="398"/>
      <c r="L89" s="398"/>
      <c r="M89" s="398"/>
      <c r="N89" s="398"/>
      <c r="O89" s="398"/>
      <c r="P89" s="398"/>
      <c r="Q89" s="615" t="e">
        <f t="shared" si="2"/>
        <v>#DIV/0!</v>
      </c>
      <c r="R89" s="398"/>
      <c r="S89" s="617" t="e">
        <f t="shared" si="3"/>
        <v>#DIV/0!</v>
      </c>
      <c r="T89" s="398" t="e">
        <f t="shared" si="4"/>
        <v>#DIV/0!</v>
      </c>
      <c r="U89" s="617" t="e">
        <f t="shared" si="5"/>
        <v>#DIV/0!</v>
      </c>
      <c r="V89" s="398"/>
      <c r="W89" s="398"/>
      <c r="X89" s="398"/>
      <c r="Y89" s="398"/>
      <c r="Z89" s="398"/>
      <c r="AA89" s="398"/>
      <c r="AB89" s="398"/>
      <c r="AC89" s="398"/>
      <c r="AD89" s="398"/>
      <c r="AE89" s="398"/>
      <c r="AF89" s="398"/>
      <c r="AG89" s="398"/>
      <c r="AH89" s="348"/>
      <c r="AI89" s="348"/>
      <c r="AJ89" s="348"/>
      <c r="AK89" s="348"/>
      <c r="AL89" s="348"/>
      <c r="AM89" s="348"/>
      <c r="AN89" s="348"/>
      <c r="AO89" s="348"/>
      <c r="AP89" s="348"/>
      <c r="AQ89" s="348"/>
      <c r="AR89" s="348"/>
      <c r="AS89" s="348"/>
      <c r="AT89" s="348"/>
      <c r="AU89" s="348"/>
      <c r="AV89" s="348"/>
      <c r="AW89" s="348"/>
      <c r="AX89" s="348"/>
      <c r="AY89" s="348"/>
      <c r="AZ89" s="348"/>
      <c r="BA89" s="348"/>
      <c r="BB89" s="348"/>
      <c r="BC89" s="348"/>
      <c r="BD89" s="348"/>
      <c r="BE89" s="348"/>
      <c r="BF89" s="348"/>
      <c r="BG89" s="348"/>
      <c r="BH89" s="353"/>
      <c r="BI89" s="353"/>
      <c r="BJ89" s="353"/>
      <c r="BK89" s="353"/>
      <c r="BL89" s="735"/>
      <c r="BM89" s="735"/>
      <c r="BN89" s="735"/>
      <c r="BO89" s="735"/>
      <c r="BP89" s="735"/>
      <c r="BQ89" s="735"/>
      <c r="BR89" s="388"/>
      <c r="BS89" s="388"/>
      <c r="BT89" s="388"/>
      <c r="BU89" s="388"/>
      <c r="BY89" s="388" t="s">
        <v>696</v>
      </c>
      <c r="CC89" s="792">
        <v>10</v>
      </c>
      <c r="CD89" s="793">
        <v>0.917</v>
      </c>
      <c r="CE89" s="794"/>
      <c r="CP89" s="388" t="s">
        <v>702</v>
      </c>
      <c r="CU89" s="789"/>
      <c r="CX89" s="388"/>
      <c r="CY89" s="735"/>
      <c r="CZ89" s="735"/>
      <c r="DA89" s="735"/>
      <c r="DB89" s="735"/>
      <c r="DC89" s="735"/>
      <c r="DD89" s="735"/>
      <c r="DE89" s="735"/>
      <c r="DF89" s="735"/>
      <c r="DG89" s="735"/>
      <c r="DH89" s="735"/>
      <c r="DI89" s="399"/>
      <c r="DJ89" s="399"/>
      <c r="DK89" s="399"/>
      <c r="DL89" s="399"/>
      <c r="DM89" s="399"/>
      <c r="DN89" s="350"/>
      <c r="DO89" s="350"/>
      <c r="DP89" s="350"/>
      <c r="DQ89" s="350"/>
      <c r="DR89" s="350"/>
    </row>
    <row r="90" spans="1:122" ht="12.75">
      <c r="A90" s="607"/>
      <c r="B90" s="398"/>
      <c r="C90" s="440" t="e">
        <f t="shared" si="0"/>
        <v>#DIV/0!</v>
      </c>
      <c r="D90" s="440" t="e">
        <f t="shared" si="0"/>
        <v>#DIV/0!</v>
      </c>
      <c r="E90" s="398"/>
      <c r="F90" s="398"/>
      <c r="G90" s="440" t="e">
        <f t="shared" si="1"/>
        <v>#DIV/0!</v>
      </c>
      <c r="H90" s="440" t="e">
        <f t="shared" si="1"/>
        <v>#DIV/0!</v>
      </c>
      <c r="I90" s="398"/>
      <c r="J90" s="398"/>
      <c r="K90" s="398"/>
      <c r="L90" s="398"/>
      <c r="M90" s="398"/>
      <c r="N90" s="398"/>
      <c r="O90" s="398"/>
      <c r="P90" s="398"/>
      <c r="Q90" s="615" t="e">
        <f t="shared" si="2"/>
        <v>#DIV/0!</v>
      </c>
      <c r="R90" s="398"/>
      <c r="S90" s="617" t="e">
        <f t="shared" si="3"/>
        <v>#DIV/0!</v>
      </c>
      <c r="T90" s="398" t="e">
        <f t="shared" si="4"/>
        <v>#DIV/0!</v>
      </c>
      <c r="U90" s="617" t="e">
        <f t="shared" si="5"/>
        <v>#DIV/0!</v>
      </c>
      <c r="V90" s="398"/>
      <c r="W90" s="398"/>
      <c r="X90" s="398"/>
      <c r="Y90" s="398"/>
      <c r="Z90" s="398"/>
      <c r="AA90" s="398"/>
      <c r="AB90" s="398"/>
      <c r="AC90" s="398"/>
      <c r="AD90" s="398"/>
      <c r="AE90" s="398"/>
      <c r="AF90" s="398"/>
      <c r="AG90" s="398"/>
      <c r="AH90" s="348"/>
      <c r="AI90" s="348"/>
      <c r="AJ90" s="348"/>
      <c r="AK90" s="348"/>
      <c r="AL90" s="348"/>
      <c r="AM90" s="348"/>
      <c r="AN90" s="348"/>
      <c r="AO90" s="348"/>
      <c r="AP90" s="348"/>
      <c r="AQ90" s="348"/>
      <c r="AR90" s="348"/>
      <c r="AS90" s="348"/>
      <c r="AT90" s="348"/>
      <c r="AU90" s="348"/>
      <c r="AV90" s="348"/>
      <c r="AW90" s="348"/>
      <c r="AX90" s="348"/>
      <c r="AY90" s="348"/>
      <c r="AZ90" s="348"/>
      <c r="BA90" s="348"/>
      <c r="BB90" s="348"/>
      <c r="BC90" s="348"/>
      <c r="BD90" s="348"/>
      <c r="BE90" s="348"/>
      <c r="BF90" s="348"/>
      <c r="BG90" s="348"/>
      <c r="BH90" s="353"/>
      <c r="BI90" s="353"/>
      <c r="BJ90" s="353"/>
      <c r="BK90" s="353"/>
      <c r="BL90" s="735"/>
      <c r="BM90" s="735"/>
      <c r="BN90" s="735"/>
      <c r="BO90" s="735"/>
      <c r="BP90" s="735"/>
      <c r="BQ90" s="735"/>
      <c r="BR90" s="388"/>
      <c r="BS90" s="388"/>
      <c r="BT90" s="388"/>
      <c r="BU90" s="388"/>
      <c r="BY90" s="388" t="s">
        <v>697</v>
      </c>
      <c r="CC90" s="792">
        <v>15</v>
      </c>
      <c r="CD90" s="793">
        <v>0.924</v>
      </c>
      <c r="CE90" s="794"/>
      <c r="CF90" s="388" t="s">
        <v>701</v>
      </c>
      <c r="CX90" s="388"/>
      <c r="CY90" s="735"/>
      <c r="CZ90" s="735"/>
      <c r="DA90" s="735"/>
      <c r="DB90" s="735"/>
      <c r="DC90" s="735"/>
      <c r="DD90" s="735"/>
      <c r="DE90" s="735"/>
      <c r="DF90" s="735"/>
      <c r="DG90" s="735"/>
      <c r="DH90" s="735"/>
      <c r="DI90" s="399"/>
      <c r="DJ90" s="399"/>
      <c r="DK90" s="399"/>
      <c r="DL90" s="399"/>
      <c r="DM90" s="399"/>
      <c r="DN90" s="350"/>
      <c r="DO90" s="350"/>
      <c r="DP90" s="350"/>
      <c r="DQ90" s="350"/>
      <c r="DR90" s="350"/>
    </row>
    <row r="91" spans="1:122" ht="15.75">
      <c r="A91" s="607"/>
      <c r="B91" s="398"/>
      <c r="C91" s="440" t="e">
        <f t="shared" si="0"/>
        <v>#DIV/0!</v>
      </c>
      <c r="D91" s="440" t="e">
        <f t="shared" si="0"/>
        <v>#DIV/0!</v>
      </c>
      <c r="E91" s="398"/>
      <c r="F91" s="398"/>
      <c r="G91" s="440" t="e">
        <f t="shared" si="1"/>
        <v>#DIV/0!</v>
      </c>
      <c r="H91" s="440" t="e">
        <f t="shared" si="1"/>
        <v>#DIV/0!</v>
      </c>
      <c r="I91" s="398"/>
      <c r="J91" s="398"/>
      <c r="K91" s="398"/>
      <c r="L91" s="398"/>
      <c r="M91" s="398"/>
      <c r="N91" s="398"/>
      <c r="O91" s="398"/>
      <c r="P91" s="398"/>
      <c r="Q91" s="615" t="e">
        <f t="shared" si="2"/>
        <v>#DIV/0!</v>
      </c>
      <c r="R91" s="398"/>
      <c r="S91" s="617" t="e">
        <f t="shared" si="3"/>
        <v>#DIV/0!</v>
      </c>
      <c r="T91" s="398" t="e">
        <f t="shared" si="4"/>
        <v>#DIV/0!</v>
      </c>
      <c r="U91" s="617" t="e">
        <f t="shared" si="5"/>
        <v>#DIV/0!</v>
      </c>
      <c r="V91" s="398"/>
      <c r="W91" s="398"/>
      <c r="X91" s="398"/>
      <c r="Y91" s="398"/>
      <c r="Z91" s="398"/>
      <c r="AA91" s="398"/>
      <c r="AB91" s="398"/>
      <c r="AC91" s="398"/>
      <c r="AD91" s="398"/>
      <c r="AE91" s="398"/>
      <c r="AF91" s="398"/>
      <c r="AG91" s="398"/>
      <c r="AH91" s="348"/>
      <c r="AI91" s="348"/>
      <c r="AJ91" s="348"/>
      <c r="AK91" s="348"/>
      <c r="AL91" s="348"/>
      <c r="AM91" s="348"/>
      <c r="AN91" s="348"/>
      <c r="AO91" s="348"/>
      <c r="AP91" s="348"/>
      <c r="AQ91" s="348"/>
      <c r="AR91" s="348"/>
      <c r="AS91" s="348"/>
      <c r="AT91" s="348"/>
      <c r="AU91" s="348"/>
      <c r="AV91" s="348"/>
      <c r="AW91" s="348"/>
      <c r="AX91" s="348"/>
      <c r="AY91" s="348"/>
      <c r="AZ91" s="348"/>
      <c r="BA91" s="348"/>
      <c r="BB91" s="348"/>
      <c r="BC91" s="348"/>
      <c r="BD91" s="348"/>
      <c r="BE91" s="348"/>
      <c r="BF91" s="348"/>
      <c r="BG91" s="348"/>
      <c r="BH91" s="353"/>
      <c r="BI91" s="353"/>
      <c r="BJ91" s="353"/>
      <c r="BK91" s="353"/>
      <c r="BL91" s="735"/>
      <c r="BM91" s="735"/>
      <c r="BN91" s="735"/>
      <c r="BO91" s="735"/>
      <c r="BP91" s="735"/>
      <c r="BQ91" s="735"/>
      <c r="BR91" s="388"/>
      <c r="BS91" s="388"/>
      <c r="BT91" s="388"/>
      <c r="BU91" s="388"/>
      <c r="CC91" s="792">
        <v>20</v>
      </c>
      <c r="CD91" s="793">
        <v>0.93</v>
      </c>
      <c r="CE91" s="794"/>
      <c r="CF91" s="790" t="s">
        <v>668</v>
      </c>
      <c r="CG91" s="790"/>
      <c r="CH91" s="790"/>
      <c r="CI91" s="790"/>
      <c r="CJ91" s="790"/>
      <c r="CK91" s="790" t="s">
        <v>624</v>
      </c>
      <c r="CL91" s="790"/>
      <c r="CM91" s="790" t="s">
        <v>625</v>
      </c>
      <c r="CN91" s="790"/>
      <c r="CP91" s="795"/>
      <c r="CR91" s="788"/>
      <c r="CT91" s="1110" t="s">
        <v>630</v>
      </c>
      <c r="CU91" s="1110"/>
      <c r="CV91" s="1110" t="s">
        <v>698</v>
      </c>
      <c r="CW91" s="1110"/>
      <c r="CX91" s="388"/>
      <c r="CY91" s="735"/>
      <c r="CZ91" s="735"/>
      <c r="DA91" s="735"/>
      <c r="DB91" s="735"/>
      <c r="DC91" s="735"/>
      <c r="DD91" s="735"/>
      <c r="DE91" s="735"/>
      <c r="DF91" s="735"/>
      <c r="DG91" s="735"/>
      <c r="DH91" s="735"/>
      <c r="DI91" s="399"/>
      <c r="DJ91" s="399"/>
      <c r="DK91" s="399"/>
      <c r="DL91" s="399"/>
      <c r="DM91" s="399"/>
      <c r="DN91" s="350"/>
      <c r="DO91" s="350"/>
      <c r="DP91" s="350"/>
      <c r="DQ91" s="350"/>
      <c r="DR91" s="350"/>
    </row>
    <row r="92" spans="1:122" ht="12.75">
      <c r="A92" s="607"/>
      <c r="B92" s="398"/>
      <c r="C92" s="440">
        <f t="shared" si="0"/>
        <v>0</v>
      </c>
      <c r="D92" s="440">
        <f t="shared" si="0"/>
        <v>0.68</v>
      </c>
      <c r="E92" s="398"/>
      <c r="F92" s="398"/>
      <c r="G92" s="440">
        <f t="shared" si="1"/>
        <v>0</v>
      </c>
      <c r="H92" s="440">
        <f t="shared" si="1"/>
        <v>0.15</v>
      </c>
      <c r="I92" s="398"/>
      <c r="J92" s="398"/>
      <c r="K92" s="398"/>
      <c r="L92" s="398"/>
      <c r="M92" s="398"/>
      <c r="N92" s="398"/>
      <c r="O92" s="398"/>
      <c r="P92" s="398"/>
      <c r="Q92" s="615">
        <f t="shared" si="2"/>
        <v>0</v>
      </c>
      <c r="R92" s="398"/>
      <c r="S92" s="617" t="e">
        <f t="shared" si="3"/>
        <v>#N/A</v>
      </c>
      <c r="T92" s="398">
        <f t="shared" si="4"/>
        <v>0</v>
      </c>
      <c r="U92" s="617" t="e">
        <f t="shared" si="5"/>
        <v>#N/A</v>
      </c>
      <c r="V92" s="398"/>
      <c r="W92" s="398"/>
      <c r="X92" s="398"/>
      <c r="Y92" s="398"/>
      <c r="Z92" s="398"/>
      <c r="AA92" s="398"/>
      <c r="AB92" s="398"/>
      <c r="AC92" s="398"/>
      <c r="AD92" s="398"/>
      <c r="AE92" s="398"/>
      <c r="AF92" s="398"/>
      <c r="AG92" s="398"/>
      <c r="AH92" s="348"/>
      <c r="AI92" s="348"/>
      <c r="AJ92" s="348"/>
      <c r="AK92" s="348"/>
      <c r="AL92" s="348"/>
      <c r="AM92" s="348"/>
      <c r="AN92" s="348"/>
      <c r="AO92" s="348"/>
      <c r="AP92" s="348"/>
      <c r="AQ92" s="348"/>
      <c r="AR92" s="348"/>
      <c r="AS92" s="348"/>
      <c r="AT92" s="348"/>
      <c r="AU92" s="348"/>
      <c r="AV92" s="348"/>
      <c r="AW92" s="348"/>
      <c r="AX92" s="348"/>
      <c r="AY92" s="348"/>
      <c r="AZ92" s="348"/>
      <c r="BA92" s="348"/>
      <c r="BB92" s="348"/>
      <c r="BC92" s="348"/>
      <c r="BD92" s="348"/>
      <c r="BE92" s="348"/>
      <c r="BF92" s="348"/>
      <c r="BG92" s="348"/>
      <c r="BH92" s="353"/>
      <c r="BI92" s="353"/>
      <c r="BJ92" s="353"/>
      <c r="BK92" s="353"/>
      <c r="BL92" s="735"/>
      <c r="BM92" s="735"/>
      <c r="BN92" s="735"/>
      <c r="BO92" s="735"/>
      <c r="BP92" s="735"/>
      <c r="BQ92" s="735"/>
      <c r="BR92" s="388"/>
      <c r="BS92" s="388"/>
      <c r="BT92" s="388"/>
      <c r="BU92" s="388"/>
      <c r="CC92" s="792">
        <v>25</v>
      </c>
      <c r="CD92" s="793">
        <v>0.936</v>
      </c>
      <c r="CE92" s="794"/>
      <c r="CF92" s="789" t="s">
        <v>639</v>
      </c>
      <c r="CG92" s="355" t="s">
        <v>638</v>
      </c>
      <c r="CK92" s="789" t="s">
        <v>633</v>
      </c>
      <c r="CL92" s="789" t="s">
        <v>634</v>
      </c>
      <c r="CM92" s="789" t="s">
        <v>633</v>
      </c>
      <c r="CN92" s="789" t="s">
        <v>634</v>
      </c>
      <c r="CO92" s="388">
        <v>1</v>
      </c>
      <c r="CP92" s="796" t="s">
        <v>652</v>
      </c>
      <c r="CR92" s="792">
        <v>1</v>
      </c>
      <c r="CT92" s="792">
        <v>0.3</v>
      </c>
      <c r="CU92" s="792">
        <v>0.7</v>
      </c>
      <c r="CV92" s="792">
        <v>0.3</v>
      </c>
      <c r="CW92" s="792">
        <f aca="true" t="shared" si="6" ref="CW92:CW97">(AVERAGE(0.84,CT92+0.5*CU92)-CV92)/0.5</f>
        <v>0.8899999999999998</v>
      </c>
      <c r="CX92" s="388"/>
      <c r="CY92" s="735"/>
      <c r="CZ92" s="735"/>
      <c r="DA92" s="735"/>
      <c r="DB92" s="735"/>
      <c r="DC92" s="735"/>
      <c r="DD92" s="735"/>
      <c r="DE92" s="735"/>
      <c r="DF92" s="735"/>
      <c r="DG92" s="735"/>
      <c r="DH92" s="735"/>
      <c r="DI92" s="399"/>
      <c r="DJ92" s="399"/>
      <c r="DK92" s="399"/>
      <c r="DL92" s="399"/>
      <c r="DM92" s="399"/>
      <c r="DN92" s="350"/>
      <c r="DO92" s="350"/>
      <c r="DP92" s="350"/>
      <c r="DQ92" s="350"/>
      <c r="DR92" s="350"/>
    </row>
    <row r="93" spans="1:122" ht="12.75">
      <c r="A93" s="607"/>
      <c r="B93" s="398"/>
      <c r="C93" s="440">
        <f t="shared" si="0"/>
        <v>0</v>
      </c>
      <c r="D93" s="440">
        <f t="shared" si="0"/>
        <v>0.68</v>
      </c>
      <c r="E93" s="398"/>
      <c r="F93" s="398"/>
      <c r="G93" s="440">
        <f t="shared" si="1"/>
        <v>0</v>
      </c>
      <c r="H93" s="440">
        <f t="shared" si="1"/>
        <v>0.15</v>
      </c>
      <c r="I93" s="398"/>
      <c r="J93" s="398"/>
      <c r="K93" s="398"/>
      <c r="L93" s="398"/>
      <c r="M93" s="398"/>
      <c r="N93" s="398"/>
      <c r="O93" s="398"/>
      <c r="P93" s="398"/>
      <c r="Q93" s="615">
        <f t="shared" si="2"/>
        <v>0</v>
      </c>
      <c r="R93" s="398"/>
      <c r="S93" s="617" t="e">
        <f t="shared" si="3"/>
        <v>#N/A</v>
      </c>
      <c r="T93" s="398">
        <f t="shared" si="4"/>
        <v>0</v>
      </c>
      <c r="U93" s="617" t="e">
        <f t="shared" si="5"/>
        <v>#N/A</v>
      </c>
      <c r="V93" s="398"/>
      <c r="W93" s="398"/>
      <c r="X93" s="398"/>
      <c r="Y93" s="398"/>
      <c r="Z93" s="398"/>
      <c r="AA93" s="398"/>
      <c r="AB93" s="398"/>
      <c r="AC93" s="398"/>
      <c r="AD93" s="398"/>
      <c r="AE93" s="398"/>
      <c r="AF93" s="398"/>
      <c r="AG93" s="398"/>
      <c r="AH93" s="348"/>
      <c r="AI93" s="348"/>
      <c r="AJ93" s="348"/>
      <c r="AK93" s="348"/>
      <c r="AL93" s="348"/>
      <c r="AM93" s="348"/>
      <c r="AN93" s="348"/>
      <c r="AO93" s="348"/>
      <c r="AP93" s="348"/>
      <c r="AQ93" s="348"/>
      <c r="AR93" s="348"/>
      <c r="AS93" s="348"/>
      <c r="AT93" s="348"/>
      <c r="AU93" s="348"/>
      <c r="AV93" s="348"/>
      <c r="AW93" s="348"/>
      <c r="AX93" s="348"/>
      <c r="AY93" s="348"/>
      <c r="AZ93" s="348"/>
      <c r="BA93" s="348"/>
      <c r="BB93" s="348"/>
      <c r="BC93" s="348"/>
      <c r="BD93" s="348"/>
      <c r="BE93" s="348"/>
      <c r="BF93" s="348"/>
      <c r="BG93" s="348"/>
      <c r="BH93" s="353"/>
      <c r="BI93" s="353"/>
      <c r="BJ93" s="353"/>
      <c r="BK93" s="353"/>
      <c r="BL93" s="735"/>
      <c r="BM93" s="735"/>
      <c r="BN93" s="735"/>
      <c r="BO93" s="735"/>
      <c r="BP93" s="735"/>
      <c r="BQ93" s="735"/>
      <c r="BR93" s="388"/>
      <c r="BS93" s="388"/>
      <c r="BT93" s="388"/>
      <c r="BU93" s="388"/>
      <c r="CC93" s="792">
        <v>30</v>
      </c>
      <c r="CD93" s="793">
        <v>0.936</v>
      </c>
      <c r="CE93" s="794"/>
      <c r="CF93" s="792">
        <v>1</v>
      </c>
      <c r="CG93" s="388" t="s">
        <v>746</v>
      </c>
      <c r="CK93" s="797">
        <v>0.68</v>
      </c>
      <c r="CL93" s="797">
        <v>0.32</v>
      </c>
      <c r="CM93" s="797">
        <v>0.68</v>
      </c>
      <c r="CN93" s="797">
        <v>0.32</v>
      </c>
      <c r="CO93" s="388">
        <v>2</v>
      </c>
      <c r="CP93" s="798" t="s">
        <v>655</v>
      </c>
      <c r="CR93" s="799">
        <v>2</v>
      </c>
      <c r="CS93" s="799">
        <v>0</v>
      </c>
      <c r="CT93" s="797">
        <v>0.16</v>
      </c>
      <c r="CU93" s="797">
        <f>1-CT93</f>
        <v>0.84</v>
      </c>
      <c r="CV93" s="797">
        <f>CT93</f>
        <v>0.16</v>
      </c>
      <c r="CW93" s="792">
        <f t="shared" si="6"/>
        <v>1.0999999999999999</v>
      </c>
      <c r="CX93" s="388"/>
      <c r="CY93" s="735"/>
      <c r="CZ93" s="735"/>
      <c r="DA93" s="735"/>
      <c r="DB93" s="735"/>
      <c r="DC93" s="735"/>
      <c r="DD93" s="735"/>
      <c r="DE93" s="735"/>
      <c r="DF93" s="735"/>
      <c r="DG93" s="735"/>
      <c r="DH93" s="735"/>
      <c r="DI93" s="399"/>
      <c r="DJ93" s="399"/>
      <c r="DK93" s="399"/>
      <c r="DL93" s="399"/>
      <c r="DM93" s="399"/>
      <c r="DN93" s="350"/>
      <c r="DO93" s="350"/>
      <c r="DP93" s="350"/>
      <c r="DQ93" s="350"/>
      <c r="DR93" s="350"/>
    </row>
    <row r="94" spans="1:122" ht="12.75">
      <c r="A94" s="607"/>
      <c r="B94" s="398"/>
      <c r="C94" s="440">
        <f t="shared" si="0"/>
        <v>0</v>
      </c>
      <c r="D94" s="440">
        <f t="shared" si="0"/>
        <v>0.68</v>
      </c>
      <c r="E94" s="398"/>
      <c r="F94" s="398"/>
      <c r="G94" s="440">
        <f t="shared" si="1"/>
        <v>0</v>
      </c>
      <c r="H94" s="440">
        <f t="shared" si="1"/>
        <v>0.15</v>
      </c>
      <c r="I94" s="398"/>
      <c r="J94" s="398"/>
      <c r="K94" s="398"/>
      <c r="L94" s="398"/>
      <c r="M94" s="398"/>
      <c r="N94" s="398"/>
      <c r="O94" s="398"/>
      <c r="P94" s="398"/>
      <c r="Q94" s="615">
        <f t="shared" si="2"/>
        <v>0</v>
      </c>
      <c r="R94" s="398"/>
      <c r="S94" s="617" t="e">
        <f t="shared" si="3"/>
        <v>#N/A</v>
      </c>
      <c r="T94" s="398">
        <f t="shared" si="4"/>
        <v>0</v>
      </c>
      <c r="U94" s="617" t="e">
        <f t="shared" si="5"/>
        <v>#N/A</v>
      </c>
      <c r="V94" s="398"/>
      <c r="W94" s="398"/>
      <c r="X94" s="398"/>
      <c r="Y94" s="398"/>
      <c r="Z94" s="398"/>
      <c r="AA94" s="398"/>
      <c r="AB94" s="398"/>
      <c r="AC94" s="398"/>
      <c r="AD94" s="398"/>
      <c r="AE94" s="398"/>
      <c r="AF94" s="398"/>
      <c r="AG94" s="398"/>
      <c r="AH94" s="348"/>
      <c r="AI94" s="348"/>
      <c r="AJ94" s="348"/>
      <c r="AK94" s="348"/>
      <c r="AL94" s="348"/>
      <c r="AM94" s="348"/>
      <c r="AN94" s="348"/>
      <c r="AO94" s="348"/>
      <c r="AP94" s="348"/>
      <c r="AQ94" s="348"/>
      <c r="AR94" s="348"/>
      <c r="AS94" s="348"/>
      <c r="AT94" s="348"/>
      <c r="AU94" s="348"/>
      <c r="AV94" s="348"/>
      <c r="AW94" s="348"/>
      <c r="AX94" s="348"/>
      <c r="AY94" s="348"/>
      <c r="AZ94" s="348"/>
      <c r="BA94" s="348"/>
      <c r="BB94" s="348"/>
      <c r="BC94" s="348"/>
      <c r="BD94" s="348"/>
      <c r="BE94" s="348"/>
      <c r="BF94" s="348"/>
      <c r="BG94" s="348"/>
      <c r="BH94" s="353"/>
      <c r="BI94" s="353"/>
      <c r="BJ94" s="353"/>
      <c r="BK94" s="353"/>
      <c r="BL94" s="735"/>
      <c r="BM94" s="735"/>
      <c r="BN94" s="735"/>
      <c r="BO94" s="735"/>
      <c r="BP94" s="735"/>
      <c r="BQ94" s="735"/>
      <c r="BR94" s="388"/>
      <c r="BS94" s="388"/>
      <c r="BT94" s="388"/>
      <c r="BU94" s="388"/>
      <c r="CC94" s="792">
        <v>40</v>
      </c>
      <c r="CD94" s="793">
        <v>0.941</v>
      </c>
      <c r="CE94" s="794"/>
      <c r="CF94" s="792">
        <v>2</v>
      </c>
      <c r="CG94" s="388" t="s">
        <v>629</v>
      </c>
      <c r="CK94" s="797">
        <v>0</v>
      </c>
      <c r="CL94" s="797">
        <v>1</v>
      </c>
      <c r="CM94" s="797">
        <v>0</v>
      </c>
      <c r="CN94" s="797">
        <v>1</v>
      </c>
      <c r="CO94" s="388">
        <v>3</v>
      </c>
      <c r="CP94" s="798" t="s">
        <v>656</v>
      </c>
      <c r="CR94" s="799">
        <v>3</v>
      </c>
      <c r="CS94" s="799">
        <v>40</v>
      </c>
      <c r="CT94" s="792">
        <f>(0.45-0.16)/60*CS94+0.16</f>
        <v>0.3533333333333334</v>
      </c>
      <c r="CU94" s="797">
        <f>1-CT94</f>
        <v>0.6466666666666666</v>
      </c>
      <c r="CV94" s="797">
        <f>CT94</f>
        <v>0.3533333333333334</v>
      </c>
      <c r="CW94" s="792">
        <f t="shared" si="6"/>
        <v>0.8099999999999998</v>
      </c>
      <c r="CX94" s="388"/>
      <c r="CY94" s="735"/>
      <c r="CZ94" s="735"/>
      <c r="DA94" s="735"/>
      <c r="DB94" s="735"/>
      <c r="DC94" s="735"/>
      <c r="DD94" s="735"/>
      <c r="DE94" s="735"/>
      <c r="DF94" s="735"/>
      <c r="DG94" s="735"/>
      <c r="DH94" s="735"/>
      <c r="DI94" s="399"/>
      <c r="DJ94" s="399"/>
      <c r="DK94" s="399"/>
      <c r="DL94" s="399"/>
      <c r="DM94" s="399"/>
      <c r="DN94" s="350"/>
      <c r="DO94" s="350"/>
      <c r="DP94" s="350"/>
      <c r="DQ94" s="350"/>
      <c r="DR94" s="350"/>
    </row>
    <row r="95" spans="1:122" ht="12.75">
      <c r="A95" s="607"/>
      <c r="B95" s="398"/>
      <c r="C95" s="398" t="s">
        <v>1079</v>
      </c>
      <c r="D95" s="398"/>
      <c r="E95" s="398"/>
      <c r="F95" s="398"/>
      <c r="G95" s="398" t="s">
        <v>1080</v>
      </c>
      <c r="H95" s="398"/>
      <c r="I95" s="398"/>
      <c r="J95" s="398"/>
      <c r="K95" s="398"/>
      <c r="L95" s="398"/>
      <c r="M95" s="398"/>
      <c r="N95" s="398"/>
      <c r="O95" s="398"/>
      <c r="P95" s="398"/>
      <c r="Q95" s="398" t="s">
        <v>257</v>
      </c>
      <c r="R95" s="398"/>
      <c r="S95" s="617"/>
      <c r="T95" s="398" t="s">
        <v>258</v>
      </c>
      <c r="U95" s="617"/>
      <c r="V95" s="398"/>
      <c r="W95" s="398"/>
      <c r="X95" s="398"/>
      <c r="Y95" s="398"/>
      <c r="Z95" s="398"/>
      <c r="AA95" s="398"/>
      <c r="AB95" s="398"/>
      <c r="AC95" s="398"/>
      <c r="AD95" s="398"/>
      <c r="AE95" s="398"/>
      <c r="AF95" s="398"/>
      <c r="AG95" s="398"/>
      <c r="AH95" s="348"/>
      <c r="AI95" s="348"/>
      <c r="AJ95" s="348"/>
      <c r="AK95" s="348"/>
      <c r="AL95" s="348"/>
      <c r="AM95" s="348"/>
      <c r="AN95" s="348"/>
      <c r="AO95" s="348"/>
      <c r="AP95" s="348"/>
      <c r="AQ95" s="348"/>
      <c r="AR95" s="348"/>
      <c r="AS95" s="348"/>
      <c r="AT95" s="348"/>
      <c r="AU95" s="348"/>
      <c r="AV95" s="348"/>
      <c r="AW95" s="348"/>
      <c r="AX95" s="348"/>
      <c r="AY95" s="348"/>
      <c r="AZ95" s="348"/>
      <c r="BA95" s="348"/>
      <c r="BB95" s="348"/>
      <c r="BC95" s="348"/>
      <c r="BD95" s="348"/>
      <c r="BE95" s="348"/>
      <c r="BF95" s="348"/>
      <c r="BG95" s="348"/>
      <c r="BH95" s="353"/>
      <c r="BI95" s="353"/>
      <c r="BJ95" s="353"/>
      <c r="BK95" s="353"/>
      <c r="BL95" s="735"/>
      <c r="BM95" s="735"/>
      <c r="BN95" s="735"/>
      <c r="BO95" s="735"/>
      <c r="BP95" s="735"/>
      <c r="BQ95" s="735"/>
      <c r="BR95" s="388"/>
      <c r="BS95" s="388"/>
      <c r="BT95" s="388"/>
      <c r="BU95" s="388"/>
      <c r="CC95" s="792">
        <v>50</v>
      </c>
      <c r="CD95" s="793">
        <v>0.945</v>
      </c>
      <c r="CE95" s="794"/>
      <c r="CF95" s="792">
        <v>3</v>
      </c>
      <c r="CG95" s="388" t="s">
        <v>630</v>
      </c>
      <c r="CK95" s="797">
        <f>VLOOKUP(L16,$CR$92:$CW$97,3,TRUE)</f>
        <v>0.3</v>
      </c>
      <c r="CL95" s="797">
        <f>VLOOKUP(L16,$CR$92:$CW$97,4,TRUE)</f>
        <v>0.7</v>
      </c>
      <c r="CM95" s="797">
        <f>VLOOKUP(L16,$CR$92:$CW$97,3,TRUE)</f>
        <v>0.3</v>
      </c>
      <c r="CN95" s="797">
        <f>VLOOKUP(L16,$CR$92:$CW$97,4,TRUE)</f>
        <v>0.7</v>
      </c>
      <c r="CO95" s="388">
        <v>4</v>
      </c>
      <c r="CP95" s="798" t="s">
        <v>615</v>
      </c>
      <c r="CR95" s="799">
        <v>4</v>
      </c>
      <c r="CS95" s="799">
        <v>50</v>
      </c>
      <c r="CT95" s="792">
        <f>(0.45-0.16)/60*CS95+0.16</f>
        <v>0.40166666666666667</v>
      </c>
      <c r="CU95" s="797">
        <f>1-CT95</f>
        <v>0.5983333333333334</v>
      </c>
      <c r="CV95" s="797">
        <f>CT95</f>
        <v>0.40166666666666667</v>
      </c>
      <c r="CW95" s="792">
        <f t="shared" si="6"/>
        <v>0.7375000000000002</v>
      </c>
      <c r="CX95" s="388"/>
      <c r="CY95" s="735"/>
      <c r="CZ95" s="735"/>
      <c r="DA95" s="735"/>
      <c r="DB95" s="735"/>
      <c r="DC95" s="735"/>
      <c r="DD95" s="735"/>
      <c r="DE95" s="735"/>
      <c r="DF95" s="735"/>
      <c r="DG95" s="735"/>
      <c r="DH95" s="735"/>
      <c r="DI95" s="399"/>
      <c r="DJ95" s="399"/>
      <c r="DK95" s="399"/>
      <c r="DL95" s="399"/>
      <c r="DM95" s="399"/>
      <c r="DN95" s="350"/>
      <c r="DO95" s="350"/>
      <c r="DP95" s="350"/>
      <c r="DQ95" s="350"/>
      <c r="DR95" s="350"/>
    </row>
    <row r="96" spans="1:122" ht="12.75">
      <c r="A96" s="607"/>
      <c r="B96" s="398"/>
      <c r="C96" s="440">
        <f aca="true" t="shared" si="7" ref="C96:D102">BV116</f>
        <v>1</v>
      </c>
      <c r="D96" s="440">
        <f t="shared" si="7"/>
        <v>1</v>
      </c>
      <c r="E96" s="398"/>
      <c r="F96" s="398"/>
      <c r="G96" s="440">
        <f aca="true" t="shared" si="8" ref="G96:H102">BV128</f>
        <v>1</v>
      </c>
      <c r="H96" s="440">
        <f t="shared" si="8"/>
        <v>1.03</v>
      </c>
      <c r="I96" s="398"/>
      <c r="J96" s="398"/>
      <c r="K96" s="398"/>
      <c r="L96" s="398"/>
      <c r="M96" s="398"/>
      <c r="N96" s="398"/>
      <c r="O96" s="398"/>
      <c r="P96" s="398"/>
      <c r="Q96" s="615">
        <f aca="true" t="shared" si="9" ref="Q96:Q102">C96*$CQ$79</f>
        <v>0</v>
      </c>
      <c r="R96" s="398"/>
      <c r="S96" s="617" t="e">
        <f aca="true" t="shared" si="10" ref="S96:S102">D96*$S$83</f>
        <v>#N/A</v>
      </c>
      <c r="T96" s="398">
        <f aca="true" t="shared" si="11" ref="T96:T102">G96*$CQ$80</f>
        <v>0</v>
      </c>
      <c r="U96" s="617" t="e">
        <f aca="true" t="shared" si="12" ref="U96:U102">H96*$S$84</f>
        <v>#N/A</v>
      </c>
      <c r="V96" s="398"/>
      <c r="W96" s="398"/>
      <c r="X96" s="398"/>
      <c r="Y96" s="398"/>
      <c r="Z96" s="398"/>
      <c r="AA96" s="398"/>
      <c r="AB96" s="398"/>
      <c r="AC96" s="398"/>
      <c r="AD96" s="398"/>
      <c r="AE96" s="398"/>
      <c r="AF96" s="398"/>
      <c r="AG96" s="398"/>
      <c r="AH96" s="348"/>
      <c r="AI96" s="348"/>
      <c r="AJ96" s="348"/>
      <c r="AK96" s="348"/>
      <c r="AL96" s="348"/>
      <c r="AM96" s="348"/>
      <c r="AN96" s="348"/>
      <c r="AO96" s="348"/>
      <c r="AP96" s="348"/>
      <c r="AQ96" s="348"/>
      <c r="AR96" s="348"/>
      <c r="AS96" s="348"/>
      <c r="AT96" s="348"/>
      <c r="AU96" s="348"/>
      <c r="AV96" s="348"/>
      <c r="AW96" s="348"/>
      <c r="AX96" s="348"/>
      <c r="AY96" s="348"/>
      <c r="AZ96" s="348"/>
      <c r="BA96" s="348"/>
      <c r="BB96" s="348"/>
      <c r="BC96" s="348"/>
      <c r="BD96" s="348"/>
      <c r="BE96" s="348"/>
      <c r="BF96" s="348"/>
      <c r="BG96" s="348"/>
      <c r="BH96" s="353"/>
      <c r="BI96" s="353"/>
      <c r="BJ96" s="353"/>
      <c r="BK96" s="353"/>
      <c r="BL96" s="735"/>
      <c r="BM96" s="735"/>
      <c r="BN96" s="735"/>
      <c r="BO96" s="735"/>
      <c r="BP96" s="735"/>
      <c r="BQ96" s="735"/>
      <c r="BR96" s="388"/>
      <c r="BS96" s="388"/>
      <c r="BT96" s="388"/>
      <c r="BU96" s="388"/>
      <c r="CC96" s="792">
        <v>60</v>
      </c>
      <c r="CD96" s="793">
        <v>0.95</v>
      </c>
      <c r="CE96" s="794"/>
      <c r="CF96" s="792">
        <v>4</v>
      </c>
      <c r="CG96" s="388" t="s">
        <v>620</v>
      </c>
      <c r="CK96" s="797">
        <v>0.15</v>
      </c>
      <c r="CL96" s="797">
        <v>0.73</v>
      </c>
      <c r="CM96" s="797">
        <v>0</v>
      </c>
      <c r="CN96" s="797">
        <v>1.03</v>
      </c>
      <c r="CO96" s="388">
        <v>5</v>
      </c>
      <c r="CP96" s="798" t="s">
        <v>657</v>
      </c>
      <c r="CR96" s="799">
        <v>5</v>
      </c>
      <c r="CS96" s="799">
        <v>60</v>
      </c>
      <c r="CT96" s="792">
        <f>(0.45-0.16)/60*CS96+0.16</f>
        <v>0.45000000000000007</v>
      </c>
      <c r="CU96" s="797">
        <f>1-CT96</f>
        <v>0.5499999999999999</v>
      </c>
      <c r="CV96" s="797">
        <f>CT96</f>
        <v>0.45000000000000007</v>
      </c>
      <c r="CW96" s="792">
        <f t="shared" si="6"/>
        <v>0.6649999999999998</v>
      </c>
      <c r="CX96" s="388"/>
      <c r="CY96" s="735"/>
      <c r="CZ96" s="735"/>
      <c r="DA96" s="735"/>
      <c r="DB96" s="735"/>
      <c r="DC96" s="735"/>
      <c r="DD96" s="735"/>
      <c r="DE96" s="735"/>
      <c r="DF96" s="735"/>
      <c r="DG96" s="735"/>
      <c r="DH96" s="735"/>
      <c r="DI96" s="399"/>
      <c r="DJ96" s="399"/>
      <c r="DK96" s="399"/>
      <c r="DL96" s="399"/>
      <c r="DM96" s="399"/>
      <c r="DN96" s="350"/>
      <c r="DO96" s="350"/>
      <c r="DP96" s="350"/>
      <c r="DQ96" s="350"/>
      <c r="DR96" s="350"/>
    </row>
    <row r="97" spans="1:122" ht="12.75">
      <c r="A97" s="607"/>
      <c r="B97" s="398"/>
      <c r="C97" s="440">
        <f t="shared" si="7"/>
        <v>0.75</v>
      </c>
      <c r="D97" s="440">
        <f t="shared" si="7"/>
        <v>0.92</v>
      </c>
      <c r="E97" s="398"/>
      <c r="F97" s="398"/>
      <c r="G97" s="440">
        <f t="shared" si="8"/>
        <v>0.75</v>
      </c>
      <c r="H97" s="440">
        <f t="shared" si="8"/>
        <v>0.7725</v>
      </c>
      <c r="I97" s="398"/>
      <c r="J97" s="398"/>
      <c r="K97" s="398"/>
      <c r="L97" s="398"/>
      <c r="M97" s="398"/>
      <c r="N97" s="398"/>
      <c r="O97" s="398"/>
      <c r="P97" s="398"/>
      <c r="Q97" s="615">
        <f t="shared" si="9"/>
        <v>0</v>
      </c>
      <c r="R97" s="398"/>
      <c r="S97" s="617" t="e">
        <f t="shared" si="10"/>
        <v>#N/A</v>
      </c>
      <c r="T97" s="398">
        <f t="shared" si="11"/>
        <v>0</v>
      </c>
      <c r="U97" s="617" t="e">
        <f t="shared" si="12"/>
        <v>#N/A</v>
      </c>
      <c r="V97" s="398"/>
      <c r="W97" s="398"/>
      <c r="X97" s="398"/>
      <c r="Y97" s="398"/>
      <c r="Z97" s="398"/>
      <c r="AA97" s="398"/>
      <c r="AB97" s="398"/>
      <c r="AC97" s="398"/>
      <c r="AD97" s="398"/>
      <c r="AE97" s="398"/>
      <c r="AF97" s="398"/>
      <c r="AG97" s="398"/>
      <c r="AH97" s="348"/>
      <c r="AI97" s="348"/>
      <c r="AJ97" s="348"/>
      <c r="AK97" s="348"/>
      <c r="AL97" s="348"/>
      <c r="AM97" s="348"/>
      <c r="AN97" s="348"/>
      <c r="AO97" s="348"/>
      <c r="AP97" s="348"/>
      <c r="AQ97" s="348"/>
      <c r="AR97" s="348"/>
      <c r="AS97" s="348"/>
      <c r="AT97" s="348"/>
      <c r="AU97" s="348"/>
      <c r="AV97" s="348"/>
      <c r="AW97" s="348"/>
      <c r="AX97" s="348"/>
      <c r="AY97" s="348"/>
      <c r="AZ97" s="348"/>
      <c r="BA97" s="348"/>
      <c r="BB97" s="348"/>
      <c r="BC97" s="348"/>
      <c r="BD97" s="348"/>
      <c r="BE97" s="348"/>
      <c r="BF97" s="348"/>
      <c r="BG97" s="348"/>
      <c r="BH97" s="353"/>
      <c r="BI97" s="353"/>
      <c r="BJ97" s="353"/>
      <c r="BK97" s="353"/>
      <c r="BL97" s="735"/>
      <c r="BM97" s="735"/>
      <c r="BN97" s="735"/>
      <c r="BO97" s="735"/>
      <c r="BP97" s="735"/>
      <c r="BQ97" s="735"/>
      <c r="BR97" s="388"/>
      <c r="BS97" s="388"/>
      <c r="BT97" s="388"/>
      <c r="BU97" s="388"/>
      <c r="CC97" s="792">
        <v>75</v>
      </c>
      <c r="CD97" s="793">
        <v>0.954</v>
      </c>
      <c r="CE97" s="794"/>
      <c r="CF97" s="792">
        <v>5</v>
      </c>
      <c r="CG97" s="388" t="s">
        <v>698</v>
      </c>
      <c r="CK97" s="797">
        <f>VLOOKUP(L16,$CR$92:$CW$97,5,TRUE)</f>
        <v>0.3</v>
      </c>
      <c r="CL97" s="797">
        <f>VLOOKUP(L16,$CR$92:$CW$97,6,TRUE)</f>
        <v>0.8899999999999998</v>
      </c>
      <c r="CM97" s="797">
        <v>0.68</v>
      </c>
      <c r="CN97" s="797">
        <v>0.32</v>
      </c>
      <c r="CO97" s="388">
        <v>6</v>
      </c>
      <c r="CP97" s="796" t="s">
        <v>654</v>
      </c>
      <c r="CR97" s="799">
        <v>6</v>
      </c>
      <c r="CT97" s="792">
        <v>0.3</v>
      </c>
      <c r="CU97" s="792">
        <v>0.7</v>
      </c>
      <c r="CV97" s="792">
        <v>0.3</v>
      </c>
      <c r="CW97" s="792">
        <f t="shared" si="6"/>
        <v>0.8899999999999998</v>
      </c>
      <c r="CX97" s="388"/>
      <c r="CY97" s="735"/>
      <c r="CZ97" s="735"/>
      <c r="DA97" s="735"/>
      <c r="DB97" s="735"/>
      <c r="DC97" s="735"/>
      <c r="DD97" s="735"/>
      <c r="DE97" s="735"/>
      <c r="DF97" s="735"/>
      <c r="DG97" s="735"/>
      <c r="DH97" s="735"/>
      <c r="DI97" s="399"/>
      <c r="DJ97" s="399"/>
      <c r="DK97" s="399"/>
      <c r="DL97" s="399"/>
      <c r="DM97" s="399"/>
      <c r="DN97" s="350"/>
      <c r="DO97" s="350"/>
      <c r="DP97" s="350"/>
      <c r="DQ97" s="350"/>
      <c r="DR97" s="350"/>
    </row>
    <row r="98" spans="1:122" ht="12.75">
      <c r="A98" s="607"/>
      <c r="B98" s="398"/>
      <c r="C98" s="440">
        <f t="shared" si="7"/>
        <v>0.51</v>
      </c>
      <c r="D98" s="440">
        <f t="shared" si="7"/>
        <v>0.8432000000000001</v>
      </c>
      <c r="E98" s="398"/>
      <c r="F98" s="398"/>
      <c r="G98" s="440">
        <f t="shared" si="8"/>
        <v>0.51</v>
      </c>
      <c r="H98" s="440">
        <f t="shared" si="8"/>
        <v>0.5253</v>
      </c>
      <c r="I98" s="398"/>
      <c r="J98" s="398"/>
      <c r="K98" s="398"/>
      <c r="L98" s="398"/>
      <c r="M98" s="398"/>
      <c r="N98" s="398"/>
      <c r="O98" s="398"/>
      <c r="P98" s="398"/>
      <c r="Q98" s="615">
        <f t="shared" si="9"/>
        <v>0</v>
      </c>
      <c r="R98" s="398"/>
      <c r="S98" s="617" t="e">
        <f t="shared" si="10"/>
        <v>#N/A</v>
      </c>
      <c r="T98" s="398">
        <f t="shared" si="11"/>
        <v>0</v>
      </c>
      <c r="U98" s="617" t="e">
        <f t="shared" si="12"/>
        <v>#N/A</v>
      </c>
      <c r="V98" s="398"/>
      <c r="W98" s="398"/>
      <c r="X98" s="398"/>
      <c r="Y98" s="398"/>
      <c r="Z98" s="398"/>
      <c r="AA98" s="398"/>
      <c r="AB98" s="398"/>
      <c r="AC98" s="398"/>
      <c r="AD98" s="398"/>
      <c r="AE98" s="398"/>
      <c r="AF98" s="398"/>
      <c r="AG98" s="398"/>
      <c r="AH98" s="348"/>
      <c r="AI98" s="348"/>
      <c r="AJ98" s="348"/>
      <c r="AK98" s="348"/>
      <c r="AL98" s="348"/>
      <c r="AM98" s="348"/>
      <c r="AN98" s="348"/>
      <c r="AO98" s="348"/>
      <c r="AP98" s="348"/>
      <c r="AQ98" s="348"/>
      <c r="AR98" s="348"/>
      <c r="AS98" s="348"/>
      <c r="AT98" s="348"/>
      <c r="AU98" s="348"/>
      <c r="AV98" s="348"/>
      <c r="AW98" s="348"/>
      <c r="AX98" s="348"/>
      <c r="AY98" s="348"/>
      <c r="AZ98" s="348"/>
      <c r="BA98" s="348"/>
      <c r="BB98" s="348"/>
      <c r="BC98" s="348"/>
      <c r="BD98" s="348"/>
      <c r="BE98" s="348"/>
      <c r="BF98" s="348"/>
      <c r="BG98" s="348"/>
      <c r="BH98" s="353"/>
      <c r="BI98" s="353"/>
      <c r="BJ98" s="353"/>
      <c r="BK98" s="353"/>
      <c r="BL98" s="735"/>
      <c r="BM98" s="735"/>
      <c r="BN98" s="735"/>
      <c r="BO98" s="735"/>
      <c r="BP98" s="735"/>
      <c r="BQ98" s="735"/>
      <c r="BR98" s="388"/>
      <c r="BS98" s="388"/>
      <c r="BT98" s="388"/>
      <c r="BU98" s="388"/>
      <c r="CC98" s="792">
        <v>100</v>
      </c>
      <c r="CD98" s="793">
        <v>0.954</v>
      </c>
      <c r="CE98" s="794"/>
      <c r="CX98" s="388"/>
      <c r="CY98" s="735"/>
      <c r="CZ98" s="735"/>
      <c r="DA98" s="735"/>
      <c r="DB98" s="735"/>
      <c r="DC98" s="735"/>
      <c r="DD98" s="735"/>
      <c r="DE98" s="735"/>
      <c r="DF98" s="735"/>
      <c r="DG98" s="735"/>
      <c r="DH98" s="735"/>
      <c r="DI98" s="399"/>
      <c r="DJ98" s="399"/>
      <c r="DK98" s="399"/>
      <c r="DL98" s="399"/>
      <c r="DM98" s="399"/>
      <c r="DN98" s="350"/>
      <c r="DO98" s="350"/>
      <c r="DP98" s="350"/>
      <c r="DQ98" s="350"/>
      <c r="DR98" s="350"/>
    </row>
    <row r="99" spans="1:122" ht="12.75">
      <c r="A99" s="607"/>
      <c r="B99" s="398"/>
      <c r="C99" s="440">
        <f t="shared" si="7"/>
        <v>0.5</v>
      </c>
      <c r="D99" s="440">
        <f t="shared" si="7"/>
        <v>0.8400000000000001</v>
      </c>
      <c r="E99" s="398"/>
      <c r="F99" s="398"/>
      <c r="G99" s="440">
        <f t="shared" si="8"/>
        <v>0.5</v>
      </c>
      <c r="H99" s="440">
        <f t="shared" si="8"/>
        <v>0.515</v>
      </c>
      <c r="I99" s="398"/>
      <c r="J99" s="398"/>
      <c r="K99" s="398"/>
      <c r="L99" s="398"/>
      <c r="M99" s="398"/>
      <c r="N99" s="398"/>
      <c r="O99" s="398"/>
      <c r="P99" s="398"/>
      <c r="Q99" s="615">
        <f t="shared" si="9"/>
        <v>0</v>
      </c>
      <c r="R99" s="398"/>
      <c r="S99" s="617" t="e">
        <f t="shared" si="10"/>
        <v>#N/A</v>
      </c>
      <c r="T99" s="398">
        <f t="shared" si="11"/>
        <v>0</v>
      </c>
      <c r="U99" s="617" t="e">
        <f t="shared" si="12"/>
        <v>#N/A</v>
      </c>
      <c r="V99" s="398"/>
      <c r="W99" s="398"/>
      <c r="X99" s="398"/>
      <c r="Y99" s="398"/>
      <c r="Z99" s="398"/>
      <c r="AA99" s="398"/>
      <c r="AB99" s="398"/>
      <c r="AC99" s="398"/>
      <c r="AD99" s="398"/>
      <c r="AE99" s="398"/>
      <c r="AF99" s="398"/>
      <c r="AG99" s="398"/>
      <c r="AH99" s="348"/>
      <c r="AI99" s="348"/>
      <c r="AJ99" s="348"/>
      <c r="AK99" s="348"/>
      <c r="AL99" s="348"/>
      <c r="AM99" s="348"/>
      <c r="AN99" s="348"/>
      <c r="AO99" s="348"/>
      <c r="AP99" s="348"/>
      <c r="AQ99" s="348"/>
      <c r="AR99" s="348"/>
      <c r="AS99" s="348"/>
      <c r="AT99" s="348"/>
      <c r="AU99" s="348"/>
      <c r="AV99" s="348"/>
      <c r="AW99" s="348"/>
      <c r="AX99" s="348"/>
      <c r="AY99" s="348"/>
      <c r="AZ99" s="348"/>
      <c r="BA99" s="348"/>
      <c r="BB99" s="348"/>
      <c r="BC99" s="348"/>
      <c r="BD99" s="348"/>
      <c r="BE99" s="348"/>
      <c r="BF99" s="348"/>
      <c r="BG99" s="348"/>
      <c r="BH99" s="353"/>
      <c r="BI99" s="353"/>
      <c r="BJ99" s="353"/>
      <c r="BK99" s="353"/>
      <c r="BL99" s="735"/>
      <c r="BM99" s="735"/>
      <c r="BN99" s="735"/>
      <c r="BO99" s="735"/>
      <c r="BP99" s="735"/>
      <c r="BQ99" s="735"/>
      <c r="BR99" s="388"/>
      <c r="BS99" s="388"/>
      <c r="BT99" s="388"/>
      <c r="BU99" s="388"/>
      <c r="CC99" s="792">
        <v>125</v>
      </c>
      <c r="CD99" s="793">
        <v>0.954</v>
      </c>
      <c r="CE99" s="794"/>
      <c r="CF99" s="790" t="s">
        <v>670</v>
      </c>
      <c r="CG99" s="790"/>
      <c r="CH99" s="790"/>
      <c r="CI99" s="790"/>
      <c r="CJ99" s="790"/>
      <c r="CK99" s="790" t="s">
        <v>624</v>
      </c>
      <c r="CL99" s="790"/>
      <c r="CM99" s="790" t="s">
        <v>625</v>
      </c>
      <c r="CN99" s="790"/>
      <c r="CX99" s="388"/>
      <c r="CY99" s="735"/>
      <c r="CZ99" s="735"/>
      <c r="DA99" s="735"/>
      <c r="DB99" s="735"/>
      <c r="DC99" s="735"/>
      <c r="DD99" s="735"/>
      <c r="DE99" s="735"/>
      <c r="DF99" s="735"/>
      <c r="DG99" s="735"/>
      <c r="DH99" s="735"/>
      <c r="DI99" s="399"/>
      <c r="DJ99" s="399"/>
      <c r="DK99" s="399"/>
      <c r="DL99" s="399"/>
      <c r="DM99" s="399"/>
      <c r="DN99" s="350"/>
      <c r="DO99" s="350"/>
      <c r="DP99" s="350"/>
      <c r="DQ99" s="350"/>
      <c r="DR99" s="350"/>
    </row>
    <row r="100" spans="1:122" ht="12.75">
      <c r="A100" s="607"/>
      <c r="B100" s="398"/>
      <c r="C100" s="440">
        <f t="shared" si="7"/>
        <v>0.49</v>
      </c>
      <c r="D100" s="440">
        <f t="shared" si="7"/>
        <v>0.8368</v>
      </c>
      <c r="E100" s="398"/>
      <c r="F100" s="398"/>
      <c r="G100" s="440">
        <f t="shared" si="8"/>
        <v>0.49</v>
      </c>
      <c r="H100" s="440">
        <f t="shared" si="8"/>
        <v>0.5076999999999999</v>
      </c>
      <c r="I100" s="398"/>
      <c r="J100" s="398"/>
      <c r="K100" s="398"/>
      <c r="L100" s="398"/>
      <c r="M100" s="398"/>
      <c r="N100" s="398"/>
      <c r="O100" s="398"/>
      <c r="P100" s="398"/>
      <c r="Q100" s="615">
        <f t="shared" si="9"/>
        <v>0</v>
      </c>
      <c r="R100" s="398"/>
      <c r="S100" s="617" t="e">
        <f t="shared" si="10"/>
        <v>#N/A</v>
      </c>
      <c r="T100" s="398">
        <f t="shared" si="11"/>
        <v>0</v>
      </c>
      <c r="U100" s="617" t="e">
        <f t="shared" si="12"/>
        <v>#N/A</v>
      </c>
      <c r="V100" s="398"/>
      <c r="W100" s="398"/>
      <c r="X100" s="398"/>
      <c r="Y100" s="398"/>
      <c r="Z100" s="398"/>
      <c r="AA100" s="398"/>
      <c r="AB100" s="398"/>
      <c r="AC100" s="398"/>
      <c r="AD100" s="398"/>
      <c r="AE100" s="398"/>
      <c r="AF100" s="398"/>
      <c r="AG100" s="398"/>
      <c r="AH100" s="348"/>
      <c r="AI100" s="348"/>
      <c r="AJ100" s="348"/>
      <c r="AK100" s="348"/>
      <c r="AL100" s="348"/>
      <c r="AM100" s="348"/>
      <c r="AN100" s="348"/>
      <c r="AO100" s="348"/>
      <c r="AP100" s="348"/>
      <c r="AQ100" s="348"/>
      <c r="AR100" s="348"/>
      <c r="AS100" s="348"/>
      <c r="AT100" s="348"/>
      <c r="AU100" s="348"/>
      <c r="AV100" s="348"/>
      <c r="AW100" s="348"/>
      <c r="AX100" s="348"/>
      <c r="AY100" s="348"/>
      <c r="AZ100" s="348"/>
      <c r="BA100" s="348"/>
      <c r="BB100" s="348"/>
      <c r="BC100" s="348"/>
      <c r="BD100" s="348"/>
      <c r="BE100" s="348"/>
      <c r="BF100" s="348"/>
      <c r="BG100" s="348"/>
      <c r="BH100" s="353"/>
      <c r="BI100" s="353"/>
      <c r="BJ100" s="353"/>
      <c r="BK100" s="353"/>
      <c r="BL100" s="735"/>
      <c r="BM100" s="735"/>
      <c r="BN100" s="735"/>
      <c r="BO100" s="735"/>
      <c r="BP100" s="735"/>
      <c r="BQ100" s="735"/>
      <c r="BR100" s="388"/>
      <c r="BS100" s="388"/>
      <c r="BT100" s="388"/>
      <c r="BU100" s="388"/>
      <c r="CF100" s="789" t="s">
        <v>639</v>
      </c>
      <c r="CG100" s="355" t="s">
        <v>638</v>
      </c>
      <c r="CK100" s="789" t="s">
        <v>633</v>
      </c>
      <c r="CL100" s="789" t="s">
        <v>634</v>
      </c>
      <c r="CM100" s="789" t="s">
        <v>633</v>
      </c>
      <c r="CN100" s="789" t="s">
        <v>634</v>
      </c>
      <c r="CX100" s="388"/>
      <c r="CY100" s="735"/>
      <c r="CZ100" s="735"/>
      <c r="DA100" s="735"/>
      <c r="DB100" s="735"/>
      <c r="DC100" s="735"/>
      <c r="DD100" s="735"/>
      <c r="DE100" s="735"/>
      <c r="DF100" s="735"/>
      <c r="DG100" s="735"/>
      <c r="DH100" s="735"/>
      <c r="DI100" s="399"/>
      <c r="DJ100" s="399"/>
      <c r="DK100" s="399"/>
      <c r="DL100" s="399"/>
      <c r="DM100" s="399"/>
      <c r="DN100" s="350"/>
      <c r="DO100" s="350"/>
      <c r="DP100" s="350"/>
      <c r="DQ100" s="350"/>
      <c r="DR100" s="350"/>
    </row>
    <row r="101" spans="1:122" ht="12.75">
      <c r="A101" s="607"/>
      <c r="B101" s="398"/>
      <c r="C101" s="440">
        <f t="shared" si="7"/>
        <v>0.25</v>
      </c>
      <c r="D101" s="440">
        <f t="shared" si="7"/>
        <v>0.76</v>
      </c>
      <c r="E101" s="398"/>
      <c r="F101" s="398"/>
      <c r="G101" s="440">
        <f t="shared" si="8"/>
        <v>0.25</v>
      </c>
      <c r="H101" s="440">
        <f t="shared" si="8"/>
        <v>0.3325</v>
      </c>
      <c r="I101" s="398"/>
      <c r="J101" s="398"/>
      <c r="K101" s="398"/>
      <c r="L101" s="398"/>
      <c r="M101" s="398"/>
      <c r="N101" s="398"/>
      <c r="O101" s="398"/>
      <c r="P101" s="398"/>
      <c r="Q101" s="615">
        <f t="shared" si="9"/>
        <v>0</v>
      </c>
      <c r="R101" s="398"/>
      <c r="S101" s="617" t="e">
        <f t="shared" si="10"/>
        <v>#N/A</v>
      </c>
      <c r="T101" s="398">
        <f t="shared" si="11"/>
        <v>0</v>
      </c>
      <c r="U101" s="617" t="e">
        <f t="shared" si="12"/>
        <v>#N/A</v>
      </c>
      <c r="V101" s="398"/>
      <c r="W101" s="398"/>
      <c r="X101" s="398"/>
      <c r="Y101" s="398"/>
      <c r="Z101" s="398"/>
      <c r="AA101" s="398"/>
      <c r="AB101" s="398"/>
      <c r="AC101" s="398"/>
      <c r="AD101" s="398"/>
      <c r="AE101" s="398"/>
      <c r="AF101" s="398"/>
      <c r="AG101" s="398"/>
      <c r="AH101" s="348"/>
      <c r="AI101" s="348"/>
      <c r="AJ101" s="348"/>
      <c r="AK101" s="348"/>
      <c r="AL101" s="348"/>
      <c r="AM101" s="348"/>
      <c r="AN101" s="348"/>
      <c r="AO101" s="348"/>
      <c r="AP101" s="348"/>
      <c r="AQ101" s="348"/>
      <c r="AR101" s="348"/>
      <c r="AS101" s="348"/>
      <c r="AT101" s="348"/>
      <c r="AU101" s="348"/>
      <c r="AV101" s="348"/>
      <c r="AW101" s="348"/>
      <c r="AX101" s="348"/>
      <c r="AY101" s="348"/>
      <c r="AZ101" s="348"/>
      <c r="BA101" s="348"/>
      <c r="BB101" s="348"/>
      <c r="BC101" s="348"/>
      <c r="BD101" s="348"/>
      <c r="BE101" s="348"/>
      <c r="BF101" s="348"/>
      <c r="BG101" s="348"/>
      <c r="BH101" s="353"/>
      <c r="BI101" s="353"/>
      <c r="BJ101" s="353"/>
      <c r="BK101" s="353"/>
      <c r="BL101" s="735"/>
      <c r="BM101" s="735"/>
      <c r="BN101" s="735"/>
      <c r="BO101" s="735"/>
      <c r="BP101" s="735"/>
      <c r="BQ101" s="735"/>
      <c r="BR101" s="388"/>
      <c r="BS101" s="388"/>
      <c r="BT101" s="388"/>
      <c r="BU101" s="388"/>
      <c r="BW101" s="388" t="s">
        <v>842</v>
      </c>
      <c r="CD101" s="800" t="e">
        <f>J18*0.746/VLOOKUP(J18,$CC$87:$CD$99,2,TRUE)*1.1</f>
        <v>#N/A</v>
      </c>
      <c r="CF101" s="792">
        <v>1</v>
      </c>
      <c r="CG101" s="388" t="s">
        <v>746</v>
      </c>
      <c r="CK101" s="797">
        <v>0.68</v>
      </c>
      <c r="CL101" s="797">
        <v>0.32</v>
      </c>
      <c r="CM101" s="797">
        <v>0.68</v>
      </c>
      <c r="CN101" s="797">
        <v>0.32</v>
      </c>
      <c r="CT101" s="792"/>
      <c r="CU101" s="801"/>
      <c r="CX101" s="388"/>
      <c r="CY101" s="735"/>
      <c r="CZ101" s="735"/>
      <c r="DA101" s="735"/>
      <c r="DB101" s="735"/>
      <c r="DC101" s="735"/>
      <c r="DD101" s="735"/>
      <c r="DE101" s="735"/>
      <c r="DF101" s="735"/>
      <c r="DG101" s="735"/>
      <c r="DH101" s="735"/>
      <c r="DI101" s="399"/>
      <c r="DJ101" s="399"/>
      <c r="DK101" s="399"/>
      <c r="DL101" s="399"/>
      <c r="DM101" s="399"/>
      <c r="DN101" s="350"/>
      <c r="DO101" s="350"/>
      <c r="DP101" s="350"/>
      <c r="DQ101" s="350"/>
      <c r="DR101" s="350"/>
    </row>
    <row r="102" spans="1:122" ht="12.75">
      <c r="A102" s="607"/>
      <c r="B102" s="398"/>
      <c r="C102" s="440">
        <f t="shared" si="7"/>
        <v>0</v>
      </c>
      <c r="D102" s="440">
        <f t="shared" si="7"/>
        <v>0.68</v>
      </c>
      <c r="E102" s="398"/>
      <c r="F102" s="398"/>
      <c r="G102" s="440">
        <f t="shared" si="8"/>
        <v>0</v>
      </c>
      <c r="H102" s="440">
        <f t="shared" si="8"/>
        <v>0.15</v>
      </c>
      <c r="I102" s="398"/>
      <c r="J102" s="398"/>
      <c r="K102" s="398"/>
      <c r="L102" s="398"/>
      <c r="M102" s="398"/>
      <c r="N102" s="398"/>
      <c r="O102" s="398"/>
      <c r="P102" s="398"/>
      <c r="Q102" s="615">
        <f t="shared" si="9"/>
        <v>0</v>
      </c>
      <c r="R102" s="398"/>
      <c r="S102" s="617" t="e">
        <f t="shared" si="10"/>
        <v>#N/A</v>
      </c>
      <c r="T102" s="398">
        <f t="shared" si="11"/>
        <v>0</v>
      </c>
      <c r="U102" s="617" t="e">
        <f t="shared" si="12"/>
        <v>#N/A</v>
      </c>
      <c r="V102" s="398"/>
      <c r="W102" s="398"/>
      <c r="X102" s="398"/>
      <c r="Y102" s="398"/>
      <c r="Z102" s="398"/>
      <c r="AA102" s="398"/>
      <c r="AB102" s="398"/>
      <c r="AC102" s="398"/>
      <c r="AD102" s="398"/>
      <c r="AE102" s="398"/>
      <c r="AF102" s="398"/>
      <c r="AG102" s="398"/>
      <c r="AH102" s="348"/>
      <c r="AI102" s="348"/>
      <c r="AJ102" s="348"/>
      <c r="AK102" s="348"/>
      <c r="AL102" s="348"/>
      <c r="AM102" s="348"/>
      <c r="AN102" s="348"/>
      <c r="AO102" s="348"/>
      <c r="AP102" s="348"/>
      <c r="AQ102" s="348"/>
      <c r="AR102" s="348"/>
      <c r="AS102" s="348"/>
      <c r="AT102" s="348"/>
      <c r="AU102" s="348"/>
      <c r="AV102" s="348"/>
      <c r="AW102" s="348"/>
      <c r="AX102" s="348"/>
      <c r="AY102" s="348"/>
      <c r="AZ102" s="348"/>
      <c r="BA102" s="348"/>
      <c r="BB102" s="348"/>
      <c r="BC102" s="348"/>
      <c r="BD102" s="348"/>
      <c r="BE102" s="348"/>
      <c r="BF102" s="348"/>
      <c r="BG102" s="348"/>
      <c r="BH102" s="353"/>
      <c r="BI102" s="353"/>
      <c r="BJ102" s="353"/>
      <c r="BK102" s="353"/>
      <c r="BL102" s="735"/>
      <c r="BM102" s="735"/>
      <c r="BN102" s="735"/>
      <c r="BO102" s="735"/>
      <c r="BP102" s="735"/>
      <c r="BQ102" s="735"/>
      <c r="BR102" s="388"/>
      <c r="BS102" s="388"/>
      <c r="BT102" s="388"/>
      <c r="BU102" s="388"/>
      <c r="BW102" s="388" t="s">
        <v>843</v>
      </c>
      <c r="CD102" s="800" t="e">
        <f>P18*0.746/VLOOKUP(P18,$CC$87:$CD$99,2,TRUE)*1.1</f>
        <v>#N/A</v>
      </c>
      <c r="CF102" s="792">
        <v>2</v>
      </c>
      <c r="CG102" s="388" t="s">
        <v>629</v>
      </c>
      <c r="CK102" s="797">
        <v>0</v>
      </c>
      <c r="CL102" s="797">
        <v>1</v>
      </c>
      <c r="CM102" s="797">
        <v>0</v>
      </c>
      <c r="CN102" s="797">
        <v>1</v>
      </c>
      <c r="CT102" s="792"/>
      <c r="CU102" s="801"/>
      <c r="CX102" s="388"/>
      <c r="CY102" s="735"/>
      <c r="CZ102" s="735"/>
      <c r="DA102" s="735"/>
      <c r="DB102" s="735"/>
      <c r="DC102" s="735"/>
      <c r="DD102" s="735"/>
      <c r="DE102" s="735"/>
      <c r="DF102" s="735"/>
      <c r="DG102" s="735"/>
      <c r="DH102" s="735"/>
      <c r="DI102" s="399"/>
      <c r="DJ102" s="399"/>
      <c r="DK102" s="399"/>
      <c r="DL102" s="399"/>
      <c r="DM102" s="399"/>
      <c r="DN102" s="350"/>
      <c r="DO102" s="350"/>
      <c r="DP102" s="350"/>
      <c r="DQ102" s="350"/>
      <c r="DR102" s="350"/>
    </row>
    <row r="103" spans="1:122" ht="12.75">
      <c r="A103" s="348"/>
      <c r="B103" s="398"/>
      <c r="C103" s="398"/>
      <c r="D103" s="398"/>
      <c r="E103" s="398"/>
      <c r="F103" s="398"/>
      <c r="G103" s="398"/>
      <c r="H103" s="398"/>
      <c r="I103" s="398"/>
      <c r="J103" s="398"/>
      <c r="K103" s="398"/>
      <c r="L103" s="398"/>
      <c r="M103" s="398"/>
      <c r="N103" s="398"/>
      <c r="O103" s="398"/>
      <c r="P103" s="398"/>
      <c r="Q103" s="398"/>
      <c r="R103" s="398"/>
      <c r="S103" s="399"/>
      <c r="T103" s="399"/>
      <c r="U103" s="399"/>
      <c r="V103" s="399"/>
      <c r="W103" s="399"/>
      <c r="X103" s="399"/>
      <c r="Y103" s="399"/>
      <c r="Z103" s="398"/>
      <c r="AA103" s="398"/>
      <c r="AB103" s="398"/>
      <c r="AC103" s="398"/>
      <c r="AD103" s="398"/>
      <c r="AE103" s="398"/>
      <c r="AF103" s="398"/>
      <c r="AG103" s="398"/>
      <c r="AH103" s="348"/>
      <c r="AI103" s="348"/>
      <c r="AJ103" s="348"/>
      <c r="AK103" s="348"/>
      <c r="AL103" s="348"/>
      <c r="AM103" s="348"/>
      <c r="AN103" s="348"/>
      <c r="AO103" s="348"/>
      <c r="AP103" s="348"/>
      <c r="AQ103" s="348"/>
      <c r="AR103" s="348"/>
      <c r="AS103" s="348"/>
      <c r="AT103" s="348"/>
      <c r="AU103" s="348"/>
      <c r="AV103" s="348"/>
      <c r="AW103" s="348"/>
      <c r="AX103" s="348"/>
      <c r="AY103" s="348"/>
      <c r="AZ103" s="348"/>
      <c r="BA103" s="348"/>
      <c r="BB103" s="348"/>
      <c r="BC103" s="348"/>
      <c r="BD103" s="348"/>
      <c r="BE103" s="348"/>
      <c r="BF103" s="348"/>
      <c r="BG103" s="348"/>
      <c r="BH103" s="353"/>
      <c r="BI103" s="353"/>
      <c r="BJ103" s="353"/>
      <c r="BK103" s="353"/>
      <c r="BL103" s="735"/>
      <c r="BM103" s="735"/>
      <c r="BN103" s="735"/>
      <c r="BO103" s="735"/>
      <c r="BP103" s="735"/>
      <c r="BQ103" s="735"/>
      <c r="BR103" s="388"/>
      <c r="BS103" s="388"/>
      <c r="BT103" s="388"/>
      <c r="BU103" s="388"/>
      <c r="BW103" s="388" t="s">
        <v>844</v>
      </c>
      <c r="CA103" s="388" t="s">
        <v>846</v>
      </c>
      <c r="CD103" s="800" t="e">
        <f>IF(ISBLANK(J22),CD101,IF(AND(J22&gt;=0.9*J18,J22&lt;=1.18*J18),J22*0.746/VLOOKUP(J18,$CC$87:$CD$99,2,TRUE),"bhp entry is unrealistic"))</f>
        <v>#N/A</v>
      </c>
      <c r="CF103" s="792">
        <v>3</v>
      </c>
      <c r="CG103" s="388" t="s">
        <v>630</v>
      </c>
      <c r="CK103" s="797">
        <f>VLOOKUP(Q16,$CR$92:$CW$97,3,TRUE)</f>
        <v>0.3</v>
      </c>
      <c r="CL103" s="797">
        <f>VLOOKUP(Q16,$CR$92:$CW$97,4,TRUE)</f>
        <v>0.7</v>
      </c>
      <c r="CM103" s="797">
        <f>VLOOKUP(Q16,$CR$92:$CW$97,3,TRUE)</f>
        <v>0.3</v>
      </c>
      <c r="CN103" s="797">
        <f>VLOOKUP(Q16,$CR$92:$CW$97,4,TRUE)</f>
        <v>0.7</v>
      </c>
      <c r="CT103" s="792"/>
      <c r="CU103" s="801"/>
      <c r="CX103" s="388"/>
      <c r="CY103" s="735"/>
      <c r="CZ103" s="735"/>
      <c r="DA103" s="735"/>
      <c r="DB103" s="735"/>
      <c r="DC103" s="735"/>
      <c r="DD103" s="735"/>
      <c r="DE103" s="735"/>
      <c r="DF103" s="735"/>
      <c r="DG103" s="735"/>
      <c r="DH103" s="735"/>
      <c r="DI103" s="399"/>
      <c r="DJ103" s="399"/>
      <c r="DK103" s="399"/>
      <c r="DL103" s="399"/>
      <c r="DM103" s="399"/>
      <c r="DN103" s="350"/>
      <c r="DO103" s="350"/>
      <c r="DP103" s="350"/>
      <c r="DQ103" s="350"/>
      <c r="DR103" s="350"/>
    </row>
    <row r="104" spans="1:122" ht="12.75">
      <c r="A104" s="348"/>
      <c r="B104" s="398"/>
      <c r="C104" s="398"/>
      <c r="D104" s="399"/>
      <c r="E104" s="399"/>
      <c r="F104" s="399"/>
      <c r="G104" s="399"/>
      <c r="H104" s="399"/>
      <c r="I104" s="399"/>
      <c r="J104" s="399"/>
      <c r="K104" s="399"/>
      <c r="L104" s="398"/>
      <c r="M104" s="398"/>
      <c r="N104" s="398"/>
      <c r="O104" s="398"/>
      <c r="P104" s="398"/>
      <c r="Q104" s="398"/>
      <c r="R104" s="398"/>
      <c r="S104" s="399"/>
      <c r="T104" s="399"/>
      <c r="U104" s="399"/>
      <c r="V104" s="399"/>
      <c r="W104" s="399"/>
      <c r="X104" s="399"/>
      <c r="Y104" s="399"/>
      <c r="Z104" s="398"/>
      <c r="AA104" s="398"/>
      <c r="AB104" s="398"/>
      <c r="AC104" s="398"/>
      <c r="AD104" s="398"/>
      <c r="AE104" s="398"/>
      <c r="AF104" s="398"/>
      <c r="AG104" s="398"/>
      <c r="AH104" s="348"/>
      <c r="AI104" s="348"/>
      <c r="AJ104" s="348"/>
      <c r="AK104" s="348"/>
      <c r="AL104" s="348"/>
      <c r="AM104" s="348"/>
      <c r="AN104" s="348"/>
      <c r="AO104" s="348"/>
      <c r="AP104" s="348"/>
      <c r="AQ104" s="348"/>
      <c r="AR104" s="348"/>
      <c r="AS104" s="348"/>
      <c r="AT104" s="348"/>
      <c r="AU104" s="348"/>
      <c r="AV104" s="348"/>
      <c r="AW104" s="348"/>
      <c r="AX104" s="348"/>
      <c r="AY104" s="348"/>
      <c r="AZ104" s="348"/>
      <c r="BA104" s="348"/>
      <c r="BB104" s="348"/>
      <c r="BC104" s="348"/>
      <c r="BD104" s="348"/>
      <c r="BE104" s="348"/>
      <c r="BF104" s="348"/>
      <c r="BG104" s="348"/>
      <c r="BH104" s="353"/>
      <c r="BI104" s="353"/>
      <c r="BJ104" s="353"/>
      <c r="BK104" s="353"/>
      <c r="BL104" s="735"/>
      <c r="BM104" s="735"/>
      <c r="BN104" s="735"/>
      <c r="BO104" s="735"/>
      <c r="BP104" s="735"/>
      <c r="BQ104" s="735"/>
      <c r="BR104" s="388"/>
      <c r="BS104" s="388"/>
      <c r="BT104" s="388"/>
      <c r="BU104" s="388"/>
      <c r="BW104" s="388" t="s">
        <v>845</v>
      </c>
      <c r="CA104" s="388" t="s">
        <v>847</v>
      </c>
      <c r="CD104" s="800" t="e">
        <f>IF(ISBLANK(P22),CD102,IF(AND(P22&gt;=0.9*P18,P22&lt;=1.18*P18),P22*0.746/VLOOKUP(P18,$CC$87:$CD$99,2,TRUE),"bhp entry is unrealistic"))</f>
        <v>#N/A</v>
      </c>
      <c r="CF104" s="792">
        <v>4</v>
      </c>
      <c r="CG104" s="388" t="s">
        <v>620</v>
      </c>
      <c r="CK104" s="797">
        <v>0.15</v>
      </c>
      <c r="CL104" s="797">
        <v>0.73</v>
      </c>
      <c r="CM104" s="797">
        <v>0</v>
      </c>
      <c r="CN104" s="797">
        <v>1.03</v>
      </c>
      <c r="CX104" s="388"/>
      <c r="CY104" s="735"/>
      <c r="CZ104" s="735"/>
      <c r="DA104" s="735"/>
      <c r="DB104" s="735"/>
      <c r="DC104" s="735"/>
      <c r="DD104" s="735"/>
      <c r="DE104" s="735"/>
      <c r="DF104" s="735"/>
      <c r="DG104" s="735"/>
      <c r="DH104" s="735"/>
      <c r="DI104" s="399"/>
      <c r="DJ104" s="399"/>
      <c r="DK104" s="399"/>
      <c r="DL104" s="399"/>
      <c r="DM104" s="399"/>
      <c r="DN104" s="350"/>
      <c r="DO104" s="350"/>
      <c r="DP104" s="350"/>
      <c r="DQ104" s="350"/>
      <c r="DR104" s="350"/>
    </row>
    <row r="105" spans="1:122" ht="12.75">
      <c r="A105" s="348"/>
      <c r="B105" s="398"/>
      <c r="C105" s="398"/>
      <c r="D105" s="399"/>
      <c r="E105" s="399"/>
      <c r="F105" s="399"/>
      <c r="G105" s="399"/>
      <c r="H105" s="399"/>
      <c r="I105" s="399"/>
      <c r="J105" s="399"/>
      <c r="K105" s="399"/>
      <c r="L105" s="398"/>
      <c r="M105" s="398"/>
      <c r="N105" s="398"/>
      <c r="O105" s="398"/>
      <c r="P105" s="398"/>
      <c r="Q105" s="398"/>
      <c r="R105" s="398"/>
      <c r="S105" s="399"/>
      <c r="T105" s="399"/>
      <c r="U105" s="399"/>
      <c r="V105" s="399"/>
      <c r="W105" s="399"/>
      <c r="X105" s="399"/>
      <c r="Y105" s="399"/>
      <c r="Z105" s="398"/>
      <c r="AA105" s="398"/>
      <c r="AB105" s="398"/>
      <c r="AC105" s="398"/>
      <c r="AD105" s="398"/>
      <c r="AE105" s="398"/>
      <c r="AF105" s="398"/>
      <c r="AG105" s="398"/>
      <c r="AH105" s="348"/>
      <c r="AI105" s="348"/>
      <c r="AJ105" s="348"/>
      <c r="AK105" s="348"/>
      <c r="AL105" s="348"/>
      <c r="AM105" s="348"/>
      <c r="AN105" s="348"/>
      <c r="AO105" s="348"/>
      <c r="AP105" s="348"/>
      <c r="AQ105" s="348"/>
      <c r="AR105" s="348"/>
      <c r="AS105" s="348"/>
      <c r="AT105" s="348"/>
      <c r="AU105" s="348"/>
      <c r="AV105" s="348"/>
      <c r="AW105" s="348"/>
      <c r="AX105" s="348"/>
      <c r="AY105" s="348"/>
      <c r="AZ105" s="348"/>
      <c r="BA105" s="348"/>
      <c r="BB105" s="348"/>
      <c r="BC105" s="348"/>
      <c r="BD105" s="348"/>
      <c r="BE105" s="348"/>
      <c r="BF105" s="348"/>
      <c r="BG105" s="348"/>
      <c r="BH105" s="353"/>
      <c r="BI105" s="353"/>
      <c r="BJ105" s="353"/>
      <c r="BK105" s="353"/>
      <c r="BL105" s="735"/>
      <c r="BM105" s="735"/>
      <c r="BN105" s="735"/>
      <c r="BO105" s="735"/>
      <c r="BP105" s="735"/>
      <c r="BQ105" s="735"/>
      <c r="BR105" s="388"/>
      <c r="BS105" s="388"/>
      <c r="BT105" s="388"/>
      <c r="BU105" s="388"/>
      <c r="CF105" s="792">
        <v>5</v>
      </c>
      <c r="CG105" s="388" t="s">
        <v>698</v>
      </c>
      <c r="CK105" s="797">
        <f>VLOOKUP(Q16,$CR$92:$CW$97,5,TRUE)</f>
        <v>0.3</v>
      </c>
      <c r="CL105" s="797">
        <f>VLOOKUP(Q16,$CR$92:$CW$97,6,TRUE)</f>
        <v>0.8899999999999998</v>
      </c>
      <c r="CM105" s="797">
        <v>0.68</v>
      </c>
      <c r="CN105" s="797">
        <v>0.32</v>
      </c>
      <c r="CX105" s="388"/>
      <c r="CY105" s="735"/>
      <c r="CZ105" s="735"/>
      <c r="DA105" s="735"/>
      <c r="DB105" s="735"/>
      <c r="DC105" s="735"/>
      <c r="DD105" s="735"/>
      <c r="DE105" s="735"/>
      <c r="DF105" s="735"/>
      <c r="DG105" s="735"/>
      <c r="DH105" s="735"/>
      <c r="DI105" s="399"/>
      <c r="DJ105" s="399"/>
      <c r="DK105" s="399"/>
      <c r="DL105" s="399"/>
      <c r="DM105" s="399"/>
      <c r="DN105" s="350"/>
      <c r="DO105" s="350"/>
      <c r="DP105" s="350"/>
      <c r="DQ105" s="350"/>
      <c r="DR105" s="350"/>
    </row>
    <row r="106" spans="1:122" ht="12.75">
      <c r="A106" s="348"/>
      <c r="B106" s="398"/>
      <c r="C106" s="398"/>
      <c r="D106" s="399"/>
      <c r="E106" s="399"/>
      <c r="F106" s="399"/>
      <c r="G106" s="399"/>
      <c r="H106" s="399"/>
      <c r="I106" s="399"/>
      <c r="J106" s="399"/>
      <c r="K106" s="399"/>
      <c r="L106" s="398"/>
      <c r="M106" s="398"/>
      <c r="N106" s="398"/>
      <c r="O106" s="398"/>
      <c r="P106" s="398"/>
      <c r="Q106" s="398"/>
      <c r="R106" s="398"/>
      <c r="S106" s="399"/>
      <c r="T106" s="399"/>
      <c r="U106" s="399"/>
      <c r="V106" s="399"/>
      <c r="W106" s="399"/>
      <c r="X106" s="399"/>
      <c r="Y106" s="399"/>
      <c r="Z106" s="398"/>
      <c r="AA106" s="398"/>
      <c r="AB106" s="398"/>
      <c r="AC106" s="398"/>
      <c r="AD106" s="398"/>
      <c r="AE106" s="398"/>
      <c r="AF106" s="398"/>
      <c r="AG106" s="398"/>
      <c r="AH106" s="348"/>
      <c r="AI106" s="348"/>
      <c r="AJ106" s="348"/>
      <c r="AK106" s="348"/>
      <c r="AL106" s="348"/>
      <c r="AM106" s="348"/>
      <c r="AN106" s="348"/>
      <c r="AO106" s="348"/>
      <c r="AP106" s="348"/>
      <c r="AQ106" s="348"/>
      <c r="AR106" s="348"/>
      <c r="AS106" s="348"/>
      <c r="AT106" s="348"/>
      <c r="AU106" s="348"/>
      <c r="AV106" s="348"/>
      <c r="AW106" s="348"/>
      <c r="AX106" s="348"/>
      <c r="AY106" s="348"/>
      <c r="AZ106" s="348"/>
      <c r="BA106" s="348"/>
      <c r="BB106" s="348"/>
      <c r="BC106" s="348"/>
      <c r="BD106" s="348"/>
      <c r="BE106" s="348"/>
      <c r="BF106" s="348"/>
      <c r="BG106" s="348"/>
      <c r="BH106" s="353"/>
      <c r="BI106" s="353"/>
      <c r="BJ106" s="353"/>
      <c r="BK106" s="353"/>
      <c r="BL106" s="735"/>
      <c r="BM106" s="735"/>
      <c r="BN106" s="735"/>
      <c r="BO106" s="735"/>
      <c r="BP106" s="735"/>
      <c r="BQ106" s="735"/>
      <c r="BR106" s="388"/>
      <c r="BS106" s="388"/>
      <c r="BT106" s="388"/>
      <c r="BU106" s="388"/>
      <c r="CA106" s="388" t="s">
        <v>700</v>
      </c>
      <c r="CX106" s="388"/>
      <c r="CY106" s="735"/>
      <c r="CZ106" s="735"/>
      <c r="DA106" s="735"/>
      <c r="DB106" s="735"/>
      <c r="DC106" s="735"/>
      <c r="DD106" s="735"/>
      <c r="DE106" s="735"/>
      <c r="DF106" s="735"/>
      <c r="DG106" s="735"/>
      <c r="DH106" s="735"/>
      <c r="DI106" s="399"/>
      <c r="DJ106" s="399"/>
      <c r="DK106" s="399"/>
      <c r="DL106" s="399"/>
      <c r="DM106" s="399"/>
      <c r="DN106" s="350"/>
      <c r="DO106" s="350"/>
      <c r="DP106" s="350"/>
      <c r="DQ106" s="350"/>
      <c r="DR106" s="350"/>
    </row>
    <row r="107" spans="1:122" ht="12.75">
      <c r="A107" s="348"/>
      <c r="B107" s="398"/>
      <c r="C107" s="398"/>
      <c r="D107" s="399"/>
      <c r="E107" s="399"/>
      <c r="F107" s="399"/>
      <c r="G107" s="399"/>
      <c r="H107" s="399"/>
      <c r="I107" s="399"/>
      <c r="J107" s="399"/>
      <c r="K107" s="399"/>
      <c r="L107" s="398"/>
      <c r="M107" s="398"/>
      <c r="N107" s="398"/>
      <c r="O107" s="398"/>
      <c r="P107" s="398"/>
      <c r="Q107" s="398"/>
      <c r="R107" s="398"/>
      <c r="S107" s="399"/>
      <c r="T107" s="399"/>
      <c r="U107" s="399"/>
      <c r="V107" s="399"/>
      <c r="W107" s="399"/>
      <c r="X107" s="399"/>
      <c r="Y107" s="399"/>
      <c r="Z107" s="398"/>
      <c r="AA107" s="398"/>
      <c r="AB107" s="398"/>
      <c r="AC107" s="398"/>
      <c r="AD107" s="398"/>
      <c r="AE107" s="398"/>
      <c r="AF107" s="398"/>
      <c r="AG107" s="398"/>
      <c r="AH107" s="348"/>
      <c r="AI107" s="348"/>
      <c r="AJ107" s="348"/>
      <c r="AK107" s="348"/>
      <c r="AL107" s="348"/>
      <c r="AM107" s="348"/>
      <c r="AN107" s="348"/>
      <c r="AO107" s="348"/>
      <c r="AP107" s="348"/>
      <c r="AQ107" s="348"/>
      <c r="AR107" s="348"/>
      <c r="AS107" s="348"/>
      <c r="AT107" s="348"/>
      <c r="AU107" s="348"/>
      <c r="AV107" s="348"/>
      <c r="AW107" s="348"/>
      <c r="AX107" s="348"/>
      <c r="AY107" s="348"/>
      <c r="AZ107" s="348"/>
      <c r="BA107" s="348"/>
      <c r="BB107" s="348"/>
      <c r="BC107" s="348"/>
      <c r="BD107" s="348"/>
      <c r="BE107" s="348"/>
      <c r="BF107" s="348"/>
      <c r="BG107" s="348"/>
      <c r="BH107" s="353"/>
      <c r="BI107" s="353"/>
      <c r="BJ107" s="353"/>
      <c r="BK107" s="353"/>
      <c r="BL107" s="735"/>
      <c r="BM107" s="735"/>
      <c r="BN107" s="735"/>
      <c r="BO107" s="735"/>
      <c r="BP107" s="735"/>
      <c r="BQ107" s="735"/>
      <c r="BR107" s="388"/>
      <c r="BS107" s="388"/>
      <c r="BT107" s="388"/>
      <c r="BU107" s="388"/>
      <c r="CA107" s="388" t="s">
        <v>691</v>
      </c>
      <c r="CC107" s="790"/>
      <c r="CD107" s="790"/>
      <c r="CF107" s="1110" t="s">
        <v>635</v>
      </c>
      <c r="CG107" s="1110"/>
      <c r="CH107" s="1110"/>
      <c r="CI107" s="1110"/>
      <c r="CJ107" s="1110"/>
      <c r="CK107" s="1110"/>
      <c r="CL107" s="1110"/>
      <c r="CM107" s="1110"/>
      <c r="CN107" s="1110"/>
      <c r="CO107" s="1110"/>
      <c r="CX107" s="388"/>
      <c r="CY107" s="735"/>
      <c r="CZ107" s="735"/>
      <c r="DA107" s="735"/>
      <c r="DB107" s="735"/>
      <c r="DC107" s="735"/>
      <c r="DD107" s="735"/>
      <c r="DE107" s="735"/>
      <c r="DF107" s="735"/>
      <c r="DG107" s="735"/>
      <c r="DH107" s="735"/>
      <c r="DI107" s="399"/>
      <c r="DJ107" s="399"/>
      <c r="DK107" s="399"/>
      <c r="DL107" s="399"/>
      <c r="DM107" s="399"/>
      <c r="DN107" s="350"/>
      <c r="DO107" s="350"/>
      <c r="DP107" s="350"/>
      <c r="DQ107" s="350"/>
      <c r="DR107" s="350"/>
    </row>
    <row r="108" spans="1:122" ht="12.75">
      <c r="A108" s="348"/>
      <c r="B108" s="398"/>
      <c r="C108" s="398"/>
      <c r="D108" s="399"/>
      <c r="E108" s="399"/>
      <c r="F108" s="399"/>
      <c r="G108" s="399"/>
      <c r="H108" s="399"/>
      <c r="I108" s="399"/>
      <c r="J108" s="399"/>
      <c r="K108" s="399"/>
      <c r="L108" s="398"/>
      <c r="M108" s="398"/>
      <c r="N108" s="398"/>
      <c r="O108" s="398"/>
      <c r="P108" s="398"/>
      <c r="Q108" s="398"/>
      <c r="R108" s="398"/>
      <c r="S108" s="399"/>
      <c r="T108" s="399"/>
      <c r="U108" s="399"/>
      <c r="V108" s="399"/>
      <c r="W108" s="399"/>
      <c r="X108" s="399"/>
      <c r="Y108" s="399"/>
      <c r="Z108" s="398"/>
      <c r="AA108" s="398"/>
      <c r="AB108" s="398"/>
      <c r="AC108" s="398"/>
      <c r="AD108" s="398"/>
      <c r="AE108" s="398"/>
      <c r="AF108" s="398"/>
      <c r="AG108" s="398"/>
      <c r="AH108" s="348"/>
      <c r="AI108" s="348"/>
      <c r="AJ108" s="348"/>
      <c r="AK108" s="348"/>
      <c r="AL108" s="348"/>
      <c r="AM108" s="348"/>
      <c r="AN108" s="348"/>
      <c r="AO108" s="348"/>
      <c r="AP108" s="348"/>
      <c r="AQ108" s="348"/>
      <c r="AR108" s="348"/>
      <c r="AS108" s="348"/>
      <c r="AT108" s="348"/>
      <c r="AU108" s="348"/>
      <c r="AV108" s="348"/>
      <c r="AW108" s="348"/>
      <c r="AX108" s="348"/>
      <c r="AY108" s="348"/>
      <c r="AZ108" s="348"/>
      <c r="BA108" s="348"/>
      <c r="BB108" s="348"/>
      <c r="BC108" s="348"/>
      <c r="BD108" s="348"/>
      <c r="BE108" s="348"/>
      <c r="BF108" s="348"/>
      <c r="BG108" s="348"/>
      <c r="BH108" s="353"/>
      <c r="BI108" s="353"/>
      <c r="BJ108" s="353"/>
      <c r="BK108" s="353"/>
      <c r="BL108" s="735"/>
      <c r="BM108" s="735"/>
      <c r="BN108" s="735"/>
      <c r="BO108" s="735"/>
      <c r="BP108" s="735"/>
      <c r="BQ108" s="735"/>
      <c r="BR108" s="388"/>
      <c r="BS108" s="388"/>
      <c r="BT108" s="388"/>
      <c r="BU108" s="388"/>
      <c r="BZ108" s="792"/>
      <c r="CA108" s="792"/>
      <c r="CB108" s="789" t="s">
        <v>658</v>
      </c>
      <c r="CC108" s="789" t="s">
        <v>659</v>
      </c>
      <c r="CF108" s="802">
        <v>0</v>
      </c>
      <c r="CG108" s="803">
        <v>0.2</v>
      </c>
      <c r="CH108" s="803">
        <v>0.3</v>
      </c>
      <c r="CI108" s="803">
        <v>0.4</v>
      </c>
      <c r="CJ108" s="803">
        <v>0.5</v>
      </c>
      <c r="CK108" s="803">
        <v>0.6</v>
      </c>
      <c r="CL108" s="803">
        <v>0.7</v>
      </c>
      <c r="CM108" s="803">
        <v>0.8</v>
      </c>
      <c r="CN108" s="803">
        <v>0.9</v>
      </c>
      <c r="CO108" s="803">
        <v>1</v>
      </c>
      <c r="CP108" s="1110"/>
      <c r="CQ108" s="1110"/>
      <c r="CX108" s="388"/>
      <c r="CY108" s="735"/>
      <c r="CZ108" s="735"/>
      <c r="DA108" s="735"/>
      <c r="DB108" s="735"/>
      <c r="DC108" s="735"/>
      <c r="DD108" s="735"/>
      <c r="DE108" s="735"/>
      <c r="DF108" s="735"/>
      <c r="DG108" s="735"/>
      <c r="DH108" s="735"/>
      <c r="DI108" s="399"/>
      <c r="DJ108" s="399"/>
      <c r="DK108" s="399"/>
      <c r="DL108" s="399"/>
      <c r="DM108" s="399"/>
      <c r="DN108" s="350"/>
      <c r="DO108" s="350"/>
      <c r="DP108" s="350"/>
      <c r="DQ108" s="350"/>
      <c r="DR108" s="350"/>
    </row>
    <row r="109" spans="1:122" ht="12.75">
      <c r="A109" s="348"/>
      <c r="B109" s="398"/>
      <c r="C109" s="398"/>
      <c r="D109" s="399"/>
      <c r="E109" s="399"/>
      <c r="F109" s="399"/>
      <c r="G109" s="399"/>
      <c r="H109" s="399"/>
      <c r="I109" s="399"/>
      <c r="J109" s="399"/>
      <c r="K109" s="399"/>
      <c r="L109" s="398"/>
      <c r="M109" s="398"/>
      <c r="N109" s="398"/>
      <c r="O109" s="398"/>
      <c r="P109" s="398"/>
      <c r="Q109" s="398"/>
      <c r="R109" s="398"/>
      <c r="S109" s="399"/>
      <c r="T109" s="399"/>
      <c r="U109" s="399"/>
      <c r="V109" s="399"/>
      <c r="W109" s="399"/>
      <c r="X109" s="399"/>
      <c r="Y109" s="399"/>
      <c r="Z109" s="398"/>
      <c r="AA109" s="398"/>
      <c r="AB109" s="398"/>
      <c r="AC109" s="398"/>
      <c r="AD109" s="398"/>
      <c r="AE109" s="398"/>
      <c r="AF109" s="398"/>
      <c r="AG109" s="398"/>
      <c r="AH109" s="348"/>
      <c r="AI109" s="348"/>
      <c r="AJ109" s="348"/>
      <c r="AK109" s="348"/>
      <c r="AL109" s="348"/>
      <c r="AM109" s="348"/>
      <c r="AN109" s="348"/>
      <c r="AO109" s="348"/>
      <c r="AP109" s="348"/>
      <c r="AQ109" s="348"/>
      <c r="AR109" s="348"/>
      <c r="AS109" s="348"/>
      <c r="AT109" s="348"/>
      <c r="AU109" s="348"/>
      <c r="AV109" s="348"/>
      <c r="AW109" s="348"/>
      <c r="AX109" s="348"/>
      <c r="AY109" s="348"/>
      <c r="AZ109" s="348"/>
      <c r="BA109" s="348"/>
      <c r="BB109" s="348"/>
      <c r="BC109" s="348"/>
      <c r="BD109" s="348"/>
      <c r="BE109" s="348"/>
      <c r="BF109" s="348"/>
      <c r="BG109" s="348"/>
      <c r="BH109" s="353"/>
      <c r="BI109" s="353"/>
      <c r="BJ109" s="353"/>
      <c r="BK109" s="353"/>
      <c r="BL109" s="735"/>
      <c r="BM109" s="735"/>
      <c r="BN109" s="735"/>
      <c r="BO109" s="735"/>
      <c r="BP109" s="735"/>
      <c r="BQ109" s="735"/>
      <c r="BR109" s="388"/>
      <c r="BS109" s="388"/>
      <c r="BT109" s="388"/>
      <c r="BU109" s="388"/>
      <c r="BY109" s="388" t="s">
        <v>703</v>
      </c>
      <c r="BZ109" s="792"/>
      <c r="CA109" s="789" t="s">
        <v>633</v>
      </c>
      <c r="CB109" s="792">
        <f>VLOOKUP($L$15,$CF$93:$CN$97,6,TRUE)</f>
        <v>0.68</v>
      </c>
      <c r="CC109" s="792">
        <f>VLOOKUP($L$15,$CF$93:$CN$97,8,TRUE)</f>
        <v>0.68</v>
      </c>
      <c r="CF109" s="792">
        <v>10</v>
      </c>
      <c r="CG109" s="792">
        <v>2</v>
      </c>
      <c r="CH109" s="792">
        <v>3</v>
      </c>
      <c r="CI109" s="792">
        <v>4</v>
      </c>
      <c r="CJ109" s="792">
        <v>5</v>
      </c>
      <c r="CK109" s="792">
        <v>6</v>
      </c>
      <c r="CL109" s="792">
        <v>7</v>
      </c>
      <c r="CM109" s="792">
        <v>8</v>
      </c>
      <c r="CN109" s="792">
        <v>9</v>
      </c>
      <c r="CO109" s="792">
        <v>10</v>
      </c>
      <c r="CQ109" s="789"/>
      <c r="CX109" s="388"/>
      <c r="CY109" s="735"/>
      <c r="CZ109" s="735"/>
      <c r="DA109" s="735"/>
      <c r="DB109" s="735"/>
      <c r="DC109" s="735"/>
      <c r="DD109" s="735"/>
      <c r="DE109" s="735"/>
      <c r="DF109" s="735"/>
      <c r="DG109" s="735"/>
      <c r="DH109" s="735"/>
      <c r="DI109" s="399"/>
      <c r="DJ109" s="399"/>
      <c r="DK109" s="399"/>
      <c r="DL109" s="399"/>
      <c r="DM109" s="399"/>
      <c r="DN109" s="350"/>
      <c r="DO109" s="350"/>
      <c r="DP109" s="350"/>
      <c r="DQ109" s="350"/>
      <c r="DR109" s="350"/>
    </row>
    <row r="110" spans="1:122" ht="12.75">
      <c r="A110" s="348"/>
      <c r="B110" s="398"/>
      <c r="C110" s="398"/>
      <c r="D110" s="399"/>
      <c r="E110" s="399"/>
      <c r="F110" s="399"/>
      <c r="G110" s="399"/>
      <c r="H110" s="399"/>
      <c r="I110" s="399"/>
      <c r="J110" s="399"/>
      <c r="K110" s="399"/>
      <c r="L110" s="398"/>
      <c r="M110" s="398"/>
      <c r="N110" s="398"/>
      <c r="O110" s="398"/>
      <c r="P110" s="398"/>
      <c r="Q110" s="398"/>
      <c r="R110" s="398"/>
      <c r="S110" s="399"/>
      <c r="T110" s="399"/>
      <c r="U110" s="399"/>
      <c r="V110" s="399"/>
      <c r="W110" s="399"/>
      <c r="X110" s="399"/>
      <c r="Y110" s="399"/>
      <c r="Z110" s="398"/>
      <c r="AA110" s="398"/>
      <c r="AB110" s="398"/>
      <c r="AC110" s="398"/>
      <c r="AD110" s="398"/>
      <c r="AE110" s="398"/>
      <c r="AF110" s="398"/>
      <c r="AG110" s="398"/>
      <c r="AH110" s="348"/>
      <c r="AI110" s="348"/>
      <c r="AJ110" s="348"/>
      <c r="AK110" s="348"/>
      <c r="AL110" s="348"/>
      <c r="AM110" s="348"/>
      <c r="AN110" s="348"/>
      <c r="AO110" s="348"/>
      <c r="AP110" s="348"/>
      <c r="AQ110" s="348"/>
      <c r="AR110" s="348"/>
      <c r="AS110" s="348"/>
      <c r="AT110" s="348"/>
      <c r="AU110" s="348"/>
      <c r="AV110" s="348"/>
      <c r="AW110" s="348"/>
      <c r="AX110" s="348"/>
      <c r="AY110" s="348"/>
      <c r="AZ110" s="348"/>
      <c r="BA110" s="348"/>
      <c r="BB110" s="348"/>
      <c r="BC110" s="348"/>
      <c r="BD110" s="348"/>
      <c r="BE110" s="348"/>
      <c r="BF110" s="348"/>
      <c r="BG110" s="348"/>
      <c r="BH110" s="353"/>
      <c r="BI110" s="353"/>
      <c r="BJ110" s="353"/>
      <c r="BK110" s="353"/>
      <c r="BL110" s="735"/>
      <c r="BM110" s="735"/>
      <c r="BN110" s="735"/>
      <c r="BO110" s="735"/>
      <c r="BP110" s="735"/>
      <c r="BQ110" s="735"/>
      <c r="BR110" s="388"/>
      <c r="BS110" s="388"/>
      <c r="BT110" s="388"/>
      <c r="BU110" s="388"/>
      <c r="BY110" s="388" t="s">
        <v>704</v>
      </c>
      <c r="BZ110" s="792"/>
      <c r="CA110" s="789" t="s">
        <v>634</v>
      </c>
      <c r="CB110" s="792">
        <f>VLOOKUP($L$15,$CF$93:$CN$97,7,TRUE)</f>
        <v>0.32</v>
      </c>
      <c r="CC110" s="792">
        <f>VLOOKUP($L$15,$CF$93:$CN$97,9,TRUE)</f>
        <v>0.32</v>
      </c>
      <c r="CF110" s="792"/>
      <c r="CG110" s="1110" t="s">
        <v>636</v>
      </c>
      <c r="CH110" s="1110"/>
      <c r="CI110" s="1110"/>
      <c r="CJ110" s="1110"/>
      <c r="CK110" s="1110"/>
      <c r="CL110" s="1110"/>
      <c r="CM110" s="1110"/>
      <c r="CN110" s="1110"/>
      <c r="CO110" s="1110"/>
      <c r="CQ110" s="804"/>
      <c r="CX110" s="388"/>
      <c r="CY110" s="735"/>
      <c r="CZ110" s="735"/>
      <c r="DA110" s="735"/>
      <c r="DB110" s="735"/>
      <c r="DC110" s="735"/>
      <c r="DD110" s="735"/>
      <c r="DE110" s="735"/>
      <c r="DF110" s="735"/>
      <c r="DG110" s="735"/>
      <c r="DH110" s="735"/>
      <c r="DI110" s="399"/>
      <c r="DJ110" s="399"/>
      <c r="DK110" s="399"/>
      <c r="DL110" s="399"/>
      <c r="DM110" s="399"/>
      <c r="DN110" s="350"/>
      <c r="DO110" s="350"/>
      <c r="DP110" s="350"/>
      <c r="DQ110" s="350"/>
      <c r="DR110" s="350"/>
    </row>
    <row r="111" spans="1:122" ht="12.75">
      <c r="A111" s="348"/>
      <c r="B111" s="398"/>
      <c r="C111" s="398"/>
      <c r="D111" s="399"/>
      <c r="E111" s="399"/>
      <c r="F111" s="399"/>
      <c r="G111" s="399"/>
      <c r="H111" s="399"/>
      <c r="I111" s="399"/>
      <c r="J111" s="399"/>
      <c r="K111" s="399"/>
      <c r="L111" s="398"/>
      <c r="M111" s="398"/>
      <c r="N111" s="398"/>
      <c r="O111" s="398"/>
      <c r="P111" s="398"/>
      <c r="Q111" s="398"/>
      <c r="R111" s="398"/>
      <c r="S111" s="399"/>
      <c r="T111" s="399"/>
      <c r="U111" s="399"/>
      <c r="V111" s="399"/>
      <c r="W111" s="399"/>
      <c r="X111" s="399"/>
      <c r="Y111" s="399"/>
      <c r="Z111" s="398"/>
      <c r="AA111" s="398"/>
      <c r="AB111" s="398"/>
      <c r="AC111" s="398"/>
      <c r="AD111" s="398"/>
      <c r="AE111" s="398"/>
      <c r="AF111" s="398"/>
      <c r="AG111" s="398"/>
      <c r="AH111" s="348"/>
      <c r="AI111" s="348"/>
      <c r="AJ111" s="348"/>
      <c r="AK111" s="348"/>
      <c r="AL111" s="348"/>
      <c r="AM111" s="348"/>
      <c r="AN111" s="348"/>
      <c r="AO111" s="348"/>
      <c r="AP111" s="348"/>
      <c r="AQ111" s="348"/>
      <c r="AR111" s="348"/>
      <c r="AS111" s="348"/>
      <c r="AT111" s="348"/>
      <c r="AU111" s="348"/>
      <c r="AV111" s="348"/>
      <c r="AW111" s="348"/>
      <c r="AX111" s="348"/>
      <c r="AY111" s="348"/>
      <c r="AZ111" s="348"/>
      <c r="BA111" s="348"/>
      <c r="BB111" s="348"/>
      <c r="BC111" s="348"/>
      <c r="BD111" s="348"/>
      <c r="BE111" s="348"/>
      <c r="BF111" s="348"/>
      <c r="BG111" s="348"/>
      <c r="BH111" s="353"/>
      <c r="BI111" s="353"/>
      <c r="BJ111" s="353"/>
      <c r="BK111" s="353"/>
      <c r="BL111" s="735"/>
      <c r="BM111" s="735"/>
      <c r="BN111" s="735"/>
      <c r="BO111" s="735"/>
      <c r="BP111" s="735"/>
      <c r="BQ111" s="735"/>
      <c r="BR111" s="388"/>
      <c r="BS111" s="388"/>
      <c r="BT111" s="388"/>
      <c r="BU111" s="388"/>
      <c r="BZ111" s="792"/>
      <c r="CA111" s="802"/>
      <c r="CB111" s="802"/>
      <c r="CE111" s="1115" t="s">
        <v>637</v>
      </c>
      <c r="CF111" s="789">
        <v>0</v>
      </c>
      <c r="CG111" s="793">
        <v>0.1</v>
      </c>
      <c r="CH111" s="793">
        <v>0.11</v>
      </c>
      <c r="CI111" s="793">
        <v>0.11</v>
      </c>
      <c r="CJ111" s="793">
        <v>0.095</v>
      </c>
      <c r="CK111" s="793">
        <v>0.08</v>
      </c>
      <c r="CL111" s="793">
        <v>0.065</v>
      </c>
      <c r="CM111" s="793">
        <v>0.045</v>
      </c>
      <c r="CN111" s="793">
        <v>0.02</v>
      </c>
      <c r="CO111" s="793">
        <v>0</v>
      </c>
      <c r="CQ111" s="804"/>
      <c r="CV111" s="792"/>
      <c r="CW111" s="801"/>
      <c r="CX111" s="388"/>
      <c r="CY111" s="735"/>
      <c r="CZ111" s="735"/>
      <c r="DA111" s="735"/>
      <c r="DB111" s="735"/>
      <c r="DC111" s="735"/>
      <c r="DD111" s="735"/>
      <c r="DE111" s="735"/>
      <c r="DF111" s="735"/>
      <c r="DG111" s="735"/>
      <c r="DH111" s="735"/>
      <c r="DI111" s="399"/>
      <c r="DJ111" s="399"/>
      <c r="DK111" s="399"/>
      <c r="DL111" s="399"/>
      <c r="DM111" s="399"/>
      <c r="DN111" s="350"/>
      <c r="DO111" s="350"/>
      <c r="DP111" s="350"/>
      <c r="DQ111" s="350"/>
      <c r="DR111" s="350"/>
    </row>
    <row r="112" spans="1:122" ht="12.75">
      <c r="A112" s="348"/>
      <c r="B112" s="398"/>
      <c r="C112" s="398"/>
      <c r="D112" s="399"/>
      <c r="E112" s="399"/>
      <c r="F112" s="399"/>
      <c r="G112" s="399"/>
      <c r="H112" s="399"/>
      <c r="I112" s="399"/>
      <c r="J112" s="399"/>
      <c r="K112" s="399"/>
      <c r="L112" s="398"/>
      <c r="M112" s="398"/>
      <c r="N112" s="398"/>
      <c r="O112" s="398"/>
      <c r="P112" s="398"/>
      <c r="Q112" s="398"/>
      <c r="R112" s="398"/>
      <c r="S112" s="399"/>
      <c r="T112" s="399"/>
      <c r="U112" s="399"/>
      <c r="V112" s="399"/>
      <c r="W112" s="399"/>
      <c r="X112" s="399"/>
      <c r="Y112" s="399"/>
      <c r="Z112" s="398"/>
      <c r="AA112" s="398"/>
      <c r="AB112" s="398"/>
      <c r="AC112" s="398"/>
      <c r="AD112" s="398"/>
      <c r="AE112" s="398"/>
      <c r="AF112" s="398"/>
      <c r="AG112" s="398"/>
      <c r="AH112" s="348"/>
      <c r="AI112" s="348"/>
      <c r="AJ112" s="348"/>
      <c r="AK112" s="348"/>
      <c r="AL112" s="348"/>
      <c r="AM112" s="348"/>
      <c r="AN112" s="348"/>
      <c r="AO112" s="348"/>
      <c r="AP112" s="348"/>
      <c r="AQ112" s="348"/>
      <c r="AR112" s="348"/>
      <c r="AS112" s="348"/>
      <c r="AT112" s="348"/>
      <c r="AU112" s="348"/>
      <c r="AV112" s="348"/>
      <c r="AW112" s="348"/>
      <c r="AX112" s="348"/>
      <c r="AY112" s="348"/>
      <c r="AZ112" s="348"/>
      <c r="BA112" s="348"/>
      <c r="BB112" s="348"/>
      <c r="BC112" s="348"/>
      <c r="BD112" s="348"/>
      <c r="BE112" s="348"/>
      <c r="BF112" s="348"/>
      <c r="BG112" s="348"/>
      <c r="BH112" s="353"/>
      <c r="BI112" s="353"/>
      <c r="BJ112" s="353"/>
      <c r="BK112" s="353"/>
      <c r="BL112" s="735"/>
      <c r="BM112" s="735"/>
      <c r="BN112" s="735"/>
      <c r="BO112" s="735"/>
      <c r="BP112" s="735"/>
      <c r="BQ112" s="735"/>
      <c r="BR112" s="388"/>
      <c r="BS112" s="388"/>
      <c r="BT112" s="388"/>
      <c r="BU112" s="388"/>
      <c r="BZ112" s="792"/>
      <c r="CA112" s="802"/>
      <c r="CB112" s="802"/>
      <c r="CE112" s="1115"/>
      <c r="CF112" s="789">
        <v>1</v>
      </c>
      <c r="CG112" s="793">
        <v>0.1</v>
      </c>
      <c r="CH112" s="793">
        <v>0.11</v>
      </c>
      <c r="CI112" s="793">
        <v>0.11</v>
      </c>
      <c r="CJ112" s="793">
        <v>0.095</v>
      </c>
      <c r="CK112" s="793">
        <v>0.08</v>
      </c>
      <c r="CL112" s="793">
        <v>0.065</v>
      </c>
      <c r="CM112" s="793">
        <v>0.045</v>
      </c>
      <c r="CN112" s="793">
        <v>0.02</v>
      </c>
      <c r="CO112" s="793">
        <v>0</v>
      </c>
      <c r="CQ112" s="804"/>
      <c r="CX112" s="388"/>
      <c r="CY112" s="735"/>
      <c r="CZ112" s="735"/>
      <c r="DA112" s="735"/>
      <c r="DB112" s="735"/>
      <c r="DC112" s="735"/>
      <c r="DD112" s="735"/>
      <c r="DE112" s="735"/>
      <c r="DF112" s="735"/>
      <c r="DG112" s="735"/>
      <c r="DH112" s="735"/>
      <c r="DI112" s="399"/>
      <c r="DJ112" s="399"/>
      <c r="DK112" s="399"/>
      <c r="DL112" s="399"/>
      <c r="DM112" s="399"/>
      <c r="DN112" s="350"/>
      <c r="DO112" s="350"/>
      <c r="DP112" s="350"/>
      <c r="DQ112" s="350"/>
      <c r="DR112" s="350"/>
    </row>
    <row r="113" spans="1:122" ht="12.75">
      <c r="A113" s="348"/>
      <c r="B113" s="398"/>
      <c r="C113" s="398"/>
      <c r="D113" s="399"/>
      <c r="E113" s="399"/>
      <c r="F113" s="399"/>
      <c r="G113" s="399"/>
      <c r="H113" s="399"/>
      <c r="I113" s="399"/>
      <c r="J113" s="399"/>
      <c r="K113" s="399"/>
      <c r="L113" s="398"/>
      <c r="M113" s="398"/>
      <c r="N113" s="398"/>
      <c r="O113" s="398"/>
      <c r="P113" s="398"/>
      <c r="Q113" s="398"/>
      <c r="R113" s="398"/>
      <c r="S113" s="399"/>
      <c r="T113" s="399"/>
      <c r="U113" s="399"/>
      <c r="V113" s="399"/>
      <c r="W113" s="399"/>
      <c r="X113" s="399"/>
      <c r="Y113" s="399"/>
      <c r="Z113" s="398"/>
      <c r="AA113" s="398"/>
      <c r="AB113" s="398"/>
      <c r="AC113" s="398"/>
      <c r="AD113" s="398"/>
      <c r="AE113" s="398"/>
      <c r="AF113" s="398"/>
      <c r="AG113" s="398"/>
      <c r="AH113" s="348"/>
      <c r="AI113" s="348"/>
      <c r="AJ113" s="348"/>
      <c r="AK113" s="348"/>
      <c r="AL113" s="348"/>
      <c r="AM113" s="348"/>
      <c r="AN113" s="348"/>
      <c r="AO113" s="348"/>
      <c r="AP113" s="348"/>
      <c r="AQ113" s="348"/>
      <c r="AR113" s="348"/>
      <c r="AS113" s="348"/>
      <c r="AT113" s="348"/>
      <c r="AU113" s="348"/>
      <c r="AV113" s="348"/>
      <c r="AW113" s="348"/>
      <c r="AX113" s="348"/>
      <c r="AY113" s="348"/>
      <c r="AZ113" s="348"/>
      <c r="BA113" s="348"/>
      <c r="BB113" s="348"/>
      <c r="BC113" s="348"/>
      <c r="BD113" s="348"/>
      <c r="BE113" s="348"/>
      <c r="BF113" s="348"/>
      <c r="BG113" s="348"/>
      <c r="BH113" s="353"/>
      <c r="BI113" s="353"/>
      <c r="BJ113" s="353"/>
      <c r="BK113" s="353"/>
      <c r="BL113" s="735"/>
      <c r="BM113" s="735"/>
      <c r="BN113" s="735"/>
      <c r="BO113" s="735"/>
      <c r="BP113" s="735"/>
      <c r="BQ113" s="735"/>
      <c r="BR113" s="388"/>
      <c r="BS113" s="388"/>
      <c r="BT113" s="388"/>
      <c r="BU113" s="388"/>
      <c r="BZ113" s="792"/>
      <c r="CA113" s="792"/>
      <c r="CB113" s="792"/>
      <c r="CE113" s="1115"/>
      <c r="CF113" s="789">
        <v>2</v>
      </c>
      <c r="CG113" s="793">
        <v>0.065</v>
      </c>
      <c r="CH113" s="793">
        <v>0.0725</v>
      </c>
      <c r="CI113" s="793">
        <v>0.075</v>
      </c>
      <c r="CJ113" s="793">
        <v>0.0675</v>
      </c>
      <c r="CK113" s="793">
        <v>0.0575</v>
      </c>
      <c r="CL113" s="793">
        <v>0.0475</v>
      </c>
      <c r="CM113" s="793">
        <v>0.035</v>
      </c>
      <c r="CN113" s="793">
        <v>0.015</v>
      </c>
      <c r="CO113" s="793">
        <v>0</v>
      </c>
      <c r="CQ113" s="804"/>
      <c r="CX113" s="388"/>
      <c r="CY113" s="735"/>
      <c r="CZ113" s="735"/>
      <c r="DA113" s="735"/>
      <c r="DB113" s="735"/>
      <c r="DC113" s="735"/>
      <c r="DD113" s="735"/>
      <c r="DE113" s="735"/>
      <c r="DF113" s="735"/>
      <c r="DG113" s="735"/>
      <c r="DH113" s="735"/>
      <c r="DI113" s="399"/>
      <c r="DJ113" s="399"/>
      <c r="DK113" s="399"/>
      <c r="DL113" s="399"/>
      <c r="DM113" s="399"/>
      <c r="DN113" s="350"/>
      <c r="DO113" s="350"/>
      <c r="DP113" s="350"/>
      <c r="DQ113" s="350"/>
      <c r="DR113" s="350"/>
    </row>
    <row r="114" spans="1:122" ht="12.75">
      <c r="A114" s="348"/>
      <c r="B114" s="398"/>
      <c r="C114" s="398"/>
      <c r="D114" s="399"/>
      <c r="E114" s="399"/>
      <c r="F114" s="399"/>
      <c r="G114" s="399"/>
      <c r="H114" s="399"/>
      <c r="I114" s="399"/>
      <c r="J114" s="399"/>
      <c r="K114" s="399"/>
      <c r="L114" s="398"/>
      <c r="M114" s="398"/>
      <c r="N114" s="398"/>
      <c r="O114" s="398"/>
      <c r="P114" s="398"/>
      <c r="Q114" s="398"/>
      <c r="R114" s="398"/>
      <c r="S114" s="399"/>
      <c r="T114" s="399"/>
      <c r="U114" s="399"/>
      <c r="V114" s="399"/>
      <c r="W114" s="399"/>
      <c r="X114" s="399"/>
      <c r="Y114" s="399"/>
      <c r="Z114" s="398"/>
      <c r="AA114" s="398"/>
      <c r="AB114" s="398"/>
      <c r="AC114" s="398"/>
      <c r="AD114" s="398"/>
      <c r="AE114" s="398"/>
      <c r="AF114" s="398"/>
      <c r="AG114" s="398"/>
      <c r="AH114" s="348"/>
      <c r="AI114" s="348"/>
      <c r="AJ114" s="348"/>
      <c r="AK114" s="348"/>
      <c r="AL114" s="348"/>
      <c r="AM114" s="348"/>
      <c r="AN114" s="348"/>
      <c r="AO114" s="348"/>
      <c r="AP114" s="348"/>
      <c r="AQ114" s="348"/>
      <c r="AR114" s="348"/>
      <c r="AS114" s="348"/>
      <c r="AT114" s="348"/>
      <c r="AU114" s="348"/>
      <c r="AV114" s="348"/>
      <c r="AW114" s="348"/>
      <c r="AX114" s="348"/>
      <c r="AY114" s="348"/>
      <c r="AZ114" s="348"/>
      <c r="BA114" s="348"/>
      <c r="BB114" s="348"/>
      <c r="BC114" s="348"/>
      <c r="BD114" s="348"/>
      <c r="BE114" s="348"/>
      <c r="BF114" s="348"/>
      <c r="BG114" s="348"/>
      <c r="BH114" s="353"/>
      <c r="BI114" s="353"/>
      <c r="BJ114" s="353"/>
      <c r="BK114" s="353"/>
      <c r="BL114" s="735"/>
      <c r="BM114" s="735"/>
      <c r="BN114" s="735"/>
      <c r="BO114" s="735"/>
      <c r="BP114" s="735"/>
      <c r="BQ114" s="735"/>
      <c r="BR114" s="388"/>
      <c r="BS114" s="388"/>
      <c r="BT114" s="388"/>
      <c r="BU114" s="388"/>
      <c r="BV114" s="1110" t="str">
        <f>VLOOKUP(L15,CF93:CG97,2)</f>
        <v>Inlet Modulation</v>
      </c>
      <c r="BW114" s="1110"/>
      <c r="BX114" s="1110" t="s">
        <v>660</v>
      </c>
      <c r="BY114" s="1110"/>
      <c r="BZ114" s="792"/>
      <c r="CA114" s="792"/>
      <c r="CB114" s="792"/>
      <c r="CE114" s="1115"/>
      <c r="CF114" s="789">
        <v>3</v>
      </c>
      <c r="CG114" s="793">
        <v>0.03</v>
      </c>
      <c r="CH114" s="793">
        <v>0.035</v>
      </c>
      <c r="CI114" s="793">
        <v>0.04</v>
      </c>
      <c r="CJ114" s="793">
        <v>0.04</v>
      </c>
      <c r="CK114" s="793">
        <v>0.035</v>
      </c>
      <c r="CL114" s="793">
        <v>0.03</v>
      </c>
      <c r="CM114" s="793">
        <v>0.025</v>
      </c>
      <c r="CN114" s="793">
        <v>0.01</v>
      </c>
      <c r="CO114" s="793">
        <v>0</v>
      </c>
      <c r="CS114" s="790"/>
      <c r="CT114" s="790"/>
      <c r="CX114" s="388"/>
      <c r="CY114" s="735"/>
      <c r="CZ114" s="735"/>
      <c r="DA114" s="735"/>
      <c r="DB114" s="735"/>
      <c r="DC114" s="735"/>
      <c r="DD114" s="735"/>
      <c r="DE114" s="735"/>
      <c r="DF114" s="735"/>
      <c r="DG114" s="735"/>
      <c r="DH114" s="735"/>
      <c r="DI114" s="399"/>
      <c r="DJ114" s="399"/>
      <c r="DK114" s="399"/>
      <c r="DL114" s="399"/>
      <c r="DM114" s="399"/>
      <c r="DN114" s="350"/>
      <c r="DO114" s="350"/>
      <c r="DP114" s="350"/>
      <c r="DQ114" s="350"/>
      <c r="DR114" s="350"/>
    </row>
    <row r="115" spans="1:122" ht="12.75">
      <c r="A115" s="348"/>
      <c r="B115" s="398"/>
      <c r="C115" s="398"/>
      <c r="D115" s="399"/>
      <c r="E115" s="399"/>
      <c r="F115" s="399"/>
      <c r="G115" s="399"/>
      <c r="H115" s="399"/>
      <c r="I115" s="399"/>
      <c r="J115" s="399"/>
      <c r="K115" s="399"/>
      <c r="L115" s="398"/>
      <c r="M115" s="398"/>
      <c r="N115" s="398"/>
      <c r="O115" s="398"/>
      <c r="P115" s="398"/>
      <c r="Q115" s="398"/>
      <c r="R115" s="398"/>
      <c r="S115" s="399"/>
      <c r="T115" s="399"/>
      <c r="U115" s="399"/>
      <c r="V115" s="399"/>
      <c r="W115" s="399"/>
      <c r="X115" s="399"/>
      <c r="Y115" s="399"/>
      <c r="Z115" s="398"/>
      <c r="AA115" s="398"/>
      <c r="AB115" s="398"/>
      <c r="AC115" s="398"/>
      <c r="AD115" s="398"/>
      <c r="AE115" s="398"/>
      <c r="AF115" s="398"/>
      <c r="AG115" s="398"/>
      <c r="AH115" s="348"/>
      <c r="AI115" s="348"/>
      <c r="AJ115" s="348"/>
      <c r="AK115" s="348"/>
      <c r="AL115" s="348"/>
      <c r="AM115" s="348"/>
      <c r="AN115" s="348"/>
      <c r="AO115" s="348"/>
      <c r="AP115" s="348"/>
      <c r="AQ115" s="348"/>
      <c r="AR115" s="348"/>
      <c r="AS115" s="348"/>
      <c r="AT115" s="348"/>
      <c r="AU115" s="348"/>
      <c r="AV115" s="348"/>
      <c r="AW115" s="348"/>
      <c r="AX115" s="348"/>
      <c r="AY115" s="348"/>
      <c r="AZ115" s="348"/>
      <c r="BA115" s="348"/>
      <c r="BB115" s="348"/>
      <c r="BC115" s="348"/>
      <c r="BD115" s="348"/>
      <c r="BE115" s="348"/>
      <c r="BF115" s="348"/>
      <c r="BG115" s="348"/>
      <c r="BH115" s="353"/>
      <c r="BI115" s="353"/>
      <c r="BJ115" s="353"/>
      <c r="BK115" s="353"/>
      <c r="BL115" s="735"/>
      <c r="BM115" s="735"/>
      <c r="BN115" s="735"/>
      <c r="BO115" s="735"/>
      <c r="BP115" s="735"/>
      <c r="BQ115" s="735"/>
      <c r="BR115" s="388"/>
      <c r="BS115" s="388"/>
      <c r="BT115" s="388"/>
      <c r="BU115" s="388"/>
      <c r="BV115" s="789" t="s">
        <v>618</v>
      </c>
      <c r="BW115" s="789" t="s">
        <v>619</v>
      </c>
      <c r="BX115" s="1110" t="s">
        <v>661</v>
      </c>
      <c r="BY115" s="1110"/>
      <c r="BZ115" s="792"/>
      <c r="CA115" s="792"/>
      <c r="CB115" s="792"/>
      <c r="CE115" s="1115"/>
      <c r="CF115" s="789">
        <v>4</v>
      </c>
      <c r="CG115" s="793">
        <v>0.0225</v>
      </c>
      <c r="CH115" s="793">
        <v>0.0275</v>
      </c>
      <c r="CI115" s="793">
        <v>0.03</v>
      </c>
      <c r="CJ115" s="793">
        <v>0.03</v>
      </c>
      <c r="CK115" s="793">
        <v>0.0275</v>
      </c>
      <c r="CL115" s="793">
        <v>0.0225</v>
      </c>
      <c r="CM115" s="793">
        <v>0.02</v>
      </c>
      <c r="CN115" s="793">
        <v>0.01</v>
      </c>
      <c r="CO115" s="793">
        <v>0</v>
      </c>
      <c r="CX115" s="388"/>
      <c r="CY115" s="735"/>
      <c r="CZ115" s="735"/>
      <c r="DA115" s="735"/>
      <c r="DB115" s="735"/>
      <c r="DC115" s="735"/>
      <c r="DD115" s="735"/>
      <c r="DE115" s="735"/>
      <c r="DF115" s="735"/>
      <c r="DG115" s="735"/>
      <c r="DH115" s="735"/>
      <c r="DI115" s="399"/>
      <c r="DJ115" s="399"/>
      <c r="DK115" s="399"/>
      <c r="DL115" s="399"/>
      <c r="DM115" s="399"/>
      <c r="DN115" s="350"/>
      <c r="DO115" s="350"/>
      <c r="DP115" s="350"/>
      <c r="DQ115" s="350"/>
      <c r="DR115" s="350"/>
    </row>
    <row r="116" spans="1:122" ht="12.75">
      <c r="A116" s="348"/>
      <c r="B116" s="398"/>
      <c r="C116" s="398"/>
      <c r="D116" s="399"/>
      <c r="E116" s="399"/>
      <c r="F116" s="399"/>
      <c r="G116" s="399"/>
      <c r="H116" s="399"/>
      <c r="I116" s="399"/>
      <c r="J116" s="399"/>
      <c r="K116" s="399"/>
      <c r="L116" s="398"/>
      <c r="M116" s="398"/>
      <c r="N116" s="398"/>
      <c r="O116" s="398"/>
      <c r="P116" s="398"/>
      <c r="Q116" s="398"/>
      <c r="R116" s="398"/>
      <c r="S116" s="399"/>
      <c r="T116" s="399"/>
      <c r="U116" s="399"/>
      <c r="V116" s="399"/>
      <c r="W116" s="399"/>
      <c r="X116" s="399"/>
      <c r="Y116" s="399"/>
      <c r="Z116" s="398"/>
      <c r="AA116" s="398"/>
      <c r="AB116" s="398"/>
      <c r="AC116" s="398"/>
      <c r="AD116" s="398"/>
      <c r="AE116" s="398"/>
      <c r="AF116" s="398"/>
      <c r="AG116" s="398"/>
      <c r="AH116" s="348"/>
      <c r="AI116" s="348"/>
      <c r="AJ116" s="348"/>
      <c r="AK116" s="348"/>
      <c r="AL116" s="348"/>
      <c r="AM116" s="348"/>
      <c r="AN116" s="348"/>
      <c r="AO116" s="348"/>
      <c r="AP116" s="348"/>
      <c r="AQ116" s="348"/>
      <c r="AR116" s="348"/>
      <c r="AS116" s="348"/>
      <c r="AT116" s="348"/>
      <c r="AU116" s="348"/>
      <c r="AV116" s="348"/>
      <c r="AW116" s="348"/>
      <c r="AX116" s="348"/>
      <c r="AY116" s="348"/>
      <c r="AZ116" s="348"/>
      <c r="BA116" s="348"/>
      <c r="BB116" s="348"/>
      <c r="BC116" s="348"/>
      <c r="BD116" s="348"/>
      <c r="BE116" s="348"/>
      <c r="BF116" s="348"/>
      <c r="BG116" s="348"/>
      <c r="BH116" s="353"/>
      <c r="BI116" s="353"/>
      <c r="BJ116" s="353"/>
      <c r="BK116" s="353"/>
      <c r="BL116" s="735"/>
      <c r="BM116" s="735"/>
      <c r="BN116" s="735"/>
      <c r="BO116" s="735"/>
      <c r="BP116" s="735"/>
      <c r="BQ116" s="735"/>
      <c r="BR116" s="388"/>
      <c r="BS116" s="388"/>
      <c r="BT116" s="388"/>
      <c r="BU116" s="388"/>
      <c r="BV116" s="802">
        <v>1</v>
      </c>
      <c r="BW116" s="803">
        <f aca="true" t="shared" si="13" ref="BW116:BW122">(IF(BV116&lt;0.5,$CB$109+$CB$110*BV116,$CC$109+$CC$110*BV116)+IF(OR($L$15=3,$L$15=5),VLOOKUP($J$25/$J$19*IF($L$15=5,2,1),$CF$111:$CO$121,HLOOKUP(BV116*IF($L$15=5,2,1),$CF$108:$CO$109,2,TRUE),TRUE),0))</f>
        <v>1</v>
      </c>
      <c r="BX116" s="802" t="e">
        <f>J42</f>
        <v>#DIV/0!</v>
      </c>
      <c r="BY116" s="803" t="e">
        <f aca="true" t="shared" si="14" ref="BY116:BY122">(IF(BX116&lt;0.5,$CB$109+$CB$110*BX116,$CC$109+$CC$110*BX116)+IF(OR($L$15=3,$L$15=5),VLOOKUP($J$25/$J$19*IF($L$15=5,2,1),$CF$111:$CO$121,HLOOKUP(BX116*IF($L$15=5,2,1),$CF$108:$CO$109,2,TRUE),TRUE),0))</f>
        <v>#DIV/0!</v>
      </c>
      <c r="BZ116" s="792"/>
      <c r="CA116" s="792"/>
      <c r="CB116" s="792"/>
      <c r="CE116" s="1115"/>
      <c r="CF116" s="789">
        <v>5</v>
      </c>
      <c r="CG116" s="793">
        <v>0.015</v>
      </c>
      <c r="CH116" s="793">
        <v>0.02</v>
      </c>
      <c r="CI116" s="793">
        <v>0.02</v>
      </c>
      <c r="CJ116" s="793">
        <v>0.02</v>
      </c>
      <c r="CK116" s="793">
        <v>0.02</v>
      </c>
      <c r="CL116" s="793">
        <v>0.015</v>
      </c>
      <c r="CM116" s="793">
        <v>0.015</v>
      </c>
      <c r="CN116" s="793">
        <v>0.01</v>
      </c>
      <c r="CO116" s="793">
        <v>0</v>
      </c>
      <c r="CS116" s="790"/>
      <c r="CT116" s="790"/>
      <c r="CX116" s="388"/>
      <c r="CY116" s="735"/>
      <c r="CZ116" s="735"/>
      <c r="DA116" s="735"/>
      <c r="DB116" s="735"/>
      <c r="DC116" s="735"/>
      <c r="DD116" s="735"/>
      <c r="DE116" s="735"/>
      <c r="DF116" s="735"/>
      <c r="DG116" s="735"/>
      <c r="DH116" s="735"/>
      <c r="DI116" s="399"/>
      <c r="DJ116" s="399"/>
      <c r="DK116" s="399"/>
      <c r="DL116" s="399"/>
      <c r="DM116" s="399"/>
      <c r="DN116" s="350"/>
      <c r="DO116" s="350"/>
      <c r="DP116" s="350"/>
      <c r="DQ116" s="350"/>
      <c r="DR116" s="350"/>
    </row>
    <row r="117" spans="1:122" ht="12.75">
      <c r="A117" s="348"/>
      <c r="B117" s="398"/>
      <c r="C117" s="398"/>
      <c r="D117" s="399"/>
      <c r="E117" s="399"/>
      <c r="F117" s="399"/>
      <c r="G117" s="399"/>
      <c r="H117" s="399"/>
      <c r="I117" s="399"/>
      <c r="J117" s="399"/>
      <c r="K117" s="399"/>
      <c r="L117" s="398"/>
      <c r="M117" s="398"/>
      <c r="N117" s="398"/>
      <c r="O117" s="398"/>
      <c r="P117" s="398"/>
      <c r="Q117" s="398"/>
      <c r="R117" s="398"/>
      <c r="S117" s="399"/>
      <c r="T117" s="399"/>
      <c r="U117" s="399"/>
      <c r="V117" s="399"/>
      <c r="W117" s="399"/>
      <c r="X117" s="399"/>
      <c r="Y117" s="399"/>
      <c r="Z117" s="398"/>
      <c r="AA117" s="398"/>
      <c r="AB117" s="398"/>
      <c r="AC117" s="398"/>
      <c r="AD117" s="398"/>
      <c r="AE117" s="398"/>
      <c r="AF117" s="398"/>
      <c r="AG117" s="398"/>
      <c r="AH117" s="348"/>
      <c r="AI117" s="348"/>
      <c r="AJ117" s="348"/>
      <c r="AK117" s="348"/>
      <c r="AL117" s="348"/>
      <c r="AM117" s="348"/>
      <c r="AN117" s="348"/>
      <c r="AO117" s="348"/>
      <c r="AP117" s="348"/>
      <c r="AQ117" s="348"/>
      <c r="AR117" s="348"/>
      <c r="AS117" s="348"/>
      <c r="AT117" s="348"/>
      <c r="AU117" s="348"/>
      <c r="AV117" s="348"/>
      <c r="AW117" s="348"/>
      <c r="AX117" s="348"/>
      <c r="AY117" s="348"/>
      <c r="AZ117" s="348"/>
      <c r="BA117" s="348"/>
      <c r="BB117" s="348"/>
      <c r="BC117" s="348"/>
      <c r="BD117" s="348"/>
      <c r="BE117" s="348"/>
      <c r="BF117" s="348"/>
      <c r="BG117" s="348"/>
      <c r="BH117" s="353"/>
      <c r="BI117" s="353"/>
      <c r="BJ117" s="353"/>
      <c r="BK117" s="353"/>
      <c r="BL117" s="735"/>
      <c r="BM117" s="735"/>
      <c r="BN117" s="735"/>
      <c r="BO117" s="735"/>
      <c r="BP117" s="735"/>
      <c r="BQ117" s="735"/>
      <c r="BR117" s="388"/>
      <c r="BS117" s="388"/>
      <c r="BT117" s="388"/>
      <c r="BU117" s="388"/>
      <c r="BV117" s="803">
        <v>0.75</v>
      </c>
      <c r="BW117" s="803">
        <f t="shared" si="13"/>
        <v>0.92</v>
      </c>
      <c r="BX117" s="803" t="e">
        <f>J43</f>
        <v>#DIV/0!</v>
      </c>
      <c r="BY117" s="803" t="e">
        <f t="shared" si="14"/>
        <v>#DIV/0!</v>
      </c>
      <c r="CA117" s="388" t="s">
        <v>700</v>
      </c>
      <c r="CE117" s="1115"/>
      <c r="CF117" s="789">
        <v>6</v>
      </c>
      <c r="CG117" s="793">
        <v>0.015</v>
      </c>
      <c r="CH117" s="793">
        <v>0.02</v>
      </c>
      <c r="CI117" s="793">
        <v>0.02</v>
      </c>
      <c r="CJ117" s="793">
        <v>0.02</v>
      </c>
      <c r="CK117" s="793">
        <v>0.02</v>
      </c>
      <c r="CL117" s="793">
        <v>0.015</v>
      </c>
      <c r="CM117" s="793">
        <v>0.015</v>
      </c>
      <c r="CN117" s="793">
        <v>0.01</v>
      </c>
      <c r="CO117" s="793">
        <v>0</v>
      </c>
      <c r="CX117" s="388"/>
      <c r="CY117" s="1114"/>
      <c r="CZ117" s="1114"/>
      <c r="DA117" s="735"/>
      <c r="DB117" s="735"/>
      <c r="DC117" s="735"/>
      <c r="DD117" s="735"/>
      <c r="DE117" s="735"/>
      <c r="DF117" s="735"/>
      <c r="DG117" s="735"/>
      <c r="DH117" s="735"/>
      <c r="DI117" s="399"/>
      <c r="DJ117" s="399"/>
      <c r="DK117" s="399"/>
      <c r="DL117" s="399"/>
      <c r="DM117" s="399"/>
      <c r="DN117" s="350"/>
      <c r="DO117" s="350"/>
      <c r="DP117" s="350"/>
      <c r="DQ117" s="350"/>
      <c r="DR117" s="350"/>
    </row>
    <row r="118" spans="1:122" ht="12.75">
      <c r="A118" s="348"/>
      <c r="B118" s="398"/>
      <c r="C118" s="398"/>
      <c r="D118" s="399"/>
      <c r="E118" s="399"/>
      <c r="F118" s="399"/>
      <c r="G118" s="399"/>
      <c r="H118" s="399"/>
      <c r="I118" s="399"/>
      <c r="J118" s="399"/>
      <c r="K118" s="399"/>
      <c r="L118" s="398"/>
      <c r="M118" s="398"/>
      <c r="N118" s="398"/>
      <c r="O118" s="398"/>
      <c r="P118" s="398"/>
      <c r="Q118" s="398"/>
      <c r="R118" s="398"/>
      <c r="S118" s="399"/>
      <c r="T118" s="399"/>
      <c r="U118" s="399"/>
      <c r="V118" s="399"/>
      <c r="W118" s="399"/>
      <c r="X118" s="399"/>
      <c r="Y118" s="399"/>
      <c r="Z118" s="398"/>
      <c r="AA118" s="398"/>
      <c r="AB118" s="398"/>
      <c r="AC118" s="398"/>
      <c r="AD118" s="398"/>
      <c r="AE118" s="398"/>
      <c r="AF118" s="398"/>
      <c r="AG118" s="398"/>
      <c r="AH118" s="348"/>
      <c r="AI118" s="348"/>
      <c r="AJ118" s="348"/>
      <c r="AK118" s="348"/>
      <c r="AL118" s="348"/>
      <c r="AM118" s="348"/>
      <c r="AN118" s="348"/>
      <c r="AO118" s="348"/>
      <c r="AP118" s="348"/>
      <c r="AQ118" s="348"/>
      <c r="AR118" s="348"/>
      <c r="AS118" s="348"/>
      <c r="AT118" s="348"/>
      <c r="AU118" s="348"/>
      <c r="AV118" s="348"/>
      <c r="AW118" s="348"/>
      <c r="AX118" s="348"/>
      <c r="AY118" s="348"/>
      <c r="AZ118" s="348"/>
      <c r="BA118" s="348"/>
      <c r="BB118" s="348"/>
      <c r="BC118" s="348"/>
      <c r="BD118" s="348"/>
      <c r="BE118" s="348"/>
      <c r="BF118" s="348"/>
      <c r="BG118" s="348"/>
      <c r="BH118" s="353"/>
      <c r="BI118" s="353"/>
      <c r="BJ118" s="353"/>
      <c r="BK118" s="353"/>
      <c r="BL118" s="735"/>
      <c r="BM118" s="735"/>
      <c r="BN118" s="735"/>
      <c r="BO118" s="735"/>
      <c r="BP118" s="735"/>
      <c r="BQ118" s="735"/>
      <c r="BR118" s="388"/>
      <c r="BS118" s="388"/>
      <c r="BT118" s="388"/>
      <c r="BU118" s="388"/>
      <c r="BV118" s="803">
        <v>0.51</v>
      </c>
      <c r="BW118" s="803">
        <f t="shared" si="13"/>
        <v>0.8432000000000001</v>
      </c>
      <c r="BX118" s="803" t="e">
        <f>J44</f>
        <v>#DIV/0!</v>
      </c>
      <c r="BY118" s="803" t="e">
        <f t="shared" si="14"/>
        <v>#DIV/0!</v>
      </c>
      <c r="CA118" s="388" t="s">
        <v>692</v>
      </c>
      <c r="CE118" s="1115"/>
      <c r="CF118" s="789">
        <v>7</v>
      </c>
      <c r="CG118" s="793">
        <v>0.01</v>
      </c>
      <c r="CH118" s="793">
        <v>0.015</v>
      </c>
      <c r="CI118" s="793">
        <v>0.015</v>
      </c>
      <c r="CJ118" s="793">
        <v>0.015</v>
      </c>
      <c r="CK118" s="793">
        <v>0.015</v>
      </c>
      <c r="CL118" s="793">
        <v>0.01</v>
      </c>
      <c r="CM118" s="793">
        <v>0.01</v>
      </c>
      <c r="CN118" s="793">
        <v>0.005</v>
      </c>
      <c r="CO118" s="793">
        <v>0</v>
      </c>
      <c r="CX118" s="388"/>
      <c r="CY118" s="735"/>
      <c r="CZ118" s="735"/>
      <c r="DA118" s="735"/>
      <c r="DB118" s="735"/>
      <c r="DC118" s="735"/>
      <c r="DD118" s="735"/>
      <c r="DE118" s="735"/>
      <c r="DF118" s="735"/>
      <c r="DG118" s="735"/>
      <c r="DH118" s="735"/>
      <c r="DI118" s="399"/>
      <c r="DJ118" s="399"/>
      <c r="DK118" s="399"/>
      <c r="DL118" s="399"/>
      <c r="DM118" s="399"/>
      <c r="DN118" s="350"/>
      <c r="DO118" s="350"/>
      <c r="DP118" s="350"/>
      <c r="DQ118" s="350"/>
      <c r="DR118" s="350"/>
    </row>
    <row r="119" spans="1:122" ht="12.75">
      <c r="A119" s="348"/>
      <c r="B119" s="398"/>
      <c r="C119" s="398"/>
      <c r="D119" s="399"/>
      <c r="E119" s="399"/>
      <c r="F119" s="399"/>
      <c r="G119" s="399"/>
      <c r="H119" s="399"/>
      <c r="I119" s="399"/>
      <c r="J119" s="399"/>
      <c r="K119" s="399"/>
      <c r="L119" s="398"/>
      <c r="M119" s="398"/>
      <c r="N119" s="398"/>
      <c r="O119" s="398"/>
      <c r="P119" s="398"/>
      <c r="Q119" s="398"/>
      <c r="R119" s="398"/>
      <c r="S119" s="399"/>
      <c r="T119" s="399"/>
      <c r="U119" s="399"/>
      <c r="V119" s="399"/>
      <c r="W119" s="399"/>
      <c r="X119" s="399"/>
      <c r="Y119" s="399"/>
      <c r="Z119" s="398"/>
      <c r="AA119" s="398"/>
      <c r="AB119" s="398"/>
      <c r="AC119" s="398"/>
      <c r="AD119" s="398"/>
      <c r="AE119" s="398"/>
      <c r="AF119" s="398"/>
      <c r="AG119" s="398"/>
      <c r="AH119" s="348"/>
      <c r="AI119" s="348"/>
      <c r="AJ119" s="348"/>
      <c r="AK119" s="348"/>
      <c r="AL119" s="348"/>
      <c r="AM119" s="348"/>
      <c r="AN119" s="348"/>
      <c r="AO119" s="348"/>
      <c r="AP119" s="348"/>
      <c r="AQ119" s="348"/>
      <c r="AR119" s="348"/>
      <c r="AS119" s="348"/>
      <c r="AT119" s="348"/>
      <c r="AU119" s="348"/>
      <c r="AV119" s="348"/>
      <c r="AW119" s="348"/>
      <c r="AX119" s="348"/>
      <c r="AY119" s="348"/>
      <c r="AZ119" s="348"/>
      <c r="BA119" s="348"/>
      <c r="BB119" s="348"/>
      <c r="BC119" s="348"/>
      <c r="BD119" s="348"/>
      <c r="BE119" s="348"/>
      <c r="BF119" s="348"/>
      <c r="BG119" s="348"/>
      <c r="BH119" s="353"/>
      <c r="BI119" s="353"/>
      <c r="BJ119" s="353"/>
      <c r="BK119" s="353"/>
      <c r="BL119" s="735"/>
      <c r="BM119" s="735"/>
      <c r="BN119" s="735"/>
      <c r="BO119" s="735"/>
      <c r="BP119" s="735"/>
      <c r="BQ119" s="735"/>
      <c r="BR119" s="388"/>
      <c r="BS119" s="388"/>
      <c r="BT119" s="388"/>
      <c r="BU119" s="388"/>
      <c r="BV119" s="803">
        <v>0.5</v>
      </c>
      <c r="BW119" s="803">
        <f t="shared" si="13"/>
        <v>0.8400000000000001</v>
      </c>
      <c r="BX119" s="803" t="e">
        <f>J45</f>
        <v>#DIV/0!</v>
      </c>
      <c r="BY119" s="803" t="e">
        <f t="shared" si="14"/>
        <v>#DIV/0!</v>
      </c>
      <c r="CA119" s="792"/>
      <c r="CB119" s="789" t="s">
        <v>658</v>
      </c>
      <c r="CC119" s="789" t="s">
        <v>659</v>
      </c>
      <c r="CE119" s="1115"/>
      <c r="CF119" s="789">
        <v>8</v>
      </c>
      <c r="CG119" s="793">
        <v>0.01</v>
      </c>
      <c r="CH119" s="793">
        <v>0.01</v>
      </c>
      <c r="CI119" s="793">
        <v>0.01</v>
      </c>
      <c r="CJ119" s="793">
        <v>0.01</v>
      </c>
      <c r="CK119" s="793">
        <v>0.01</v>
      </c>
      <c r="CL119" s="793">
        <v>0.01</v>
      </c>
      <c r="CM119" s="793">
        <v>0.01</v>
      </c>
      <c r="CN119" s="793">
        <v>0.005</v>
      </c>
      <c r="CO119" s="793">
        <v>0</v>
      </c>
      <c r="CQ119" s="789"/>
      <c r="CX119" s="388"/>
      <c r="CY119" s="737"/>
      <c r="CZ119" s="1114"/>
      <c r="DA119" s="1114"/>
      <c r="DB119" s="1114"/>
      <c r="DC119" s="1114"/>
      <c r="DD119" s="1114"/>
      <c r="DE119" s="1114"/>
      <c r="DF119" s="1114"/>
      <c r="DG119" s="1114"/>
      <c r="DH119" s="1114"/>
      <c r="DI119" s="399"/>
      <c r="DJ119" s="399"/>
      <c r="DK119" s="399"/>
      <c r="DL119" s="399"/>
      <c r="DM119" s="399"/>
      <c r="DN119" s="350"/>
      <c r="DO119" s="350"/>
      <c r="DP119" s="350"/>
      <c r="DQ119" s="350"/>
      <c r="DR119" s="350"/>
    </row>
    <row r="120" spans="1:122" ht="12.75">
      <c r="A120" s="348"/>
      <c r="B120" s="398"/>
      <c r="C120" s="398"/>
      <c r="D120" s="399"/>
      <c r="E120" s="399"/>
      <c r="F120" s="399"/>
      <c r="G120" s="399"/>
      <c r="H120" s="399"/>
      <c r="I120" s="399"/>
      <c r="J120" s="399"/>
      <c r="K120" s="399"/>
      <c r="L120" s="398"/>
      <c r="M120" s="398"/>
      <c r="N120" s="398"/>
      <c r="O120" s="398"/>
      <c r="P120" s="398"/>
      <c r="Q120" s="398"/>
      <c r="R120" s="398"/>
      <c r="S120" s="399"/>
      <c r="T120" s="399"/>
      <c r="U120" s="399"/>
      <c r="V120" s="399"/>
      <c r="W120" s="399"/>
      <c r="X120" s="399"/>
      <c r="Y120" s="399"/>
      <c r="Z120" s="398"/>
      <c r="AA120" s="398"/>
      <c r="AB120" s="398"/>
      <c r="AC120" s="398"/>
      <c r="AD120" s="398"/>
      <c r="AE120" s="398"/>
      <c r="AF120" s="398"/>
      <c r="AG120" s="398"/>
      <c r="AH120" s="348"/>
      <c r="AI120" s="348"/>
      <c r="AJ120" s="348"/>
      <c r="AK120" s="348"/>
      <c r="AL120" s="348"/>
      <c r="AM120" s="348"/>
      <c r="AN120" s="348"/>
      <c r="AO120" s="348"/>
      <c r="AP120" s="348"/>
      <c r="AQ120" s="348"/>
      <c r="AR120" s="348"/>
      <c r="AS120" s="348"/>
      <c r="AT120" s="348"/>
      <c r="AU120" s="348"/>
      <c r="AV120" s="348"/>
      <c r="AW120" s="348"/>
      <c r="AX120" s="348"/>
      <c r="AY120" s="348"/>
      <c r="AZ120" s="348"/>
      <c r="BA120" s="348"/>
      <c r="BB120" s="348"/>
      <c r="BC120" s="348"/>
      <c r="BD120" s="348"/>
      <c r="BE120" s="348"/>
      <c r="BF120" s="348"/>
      <c r="BG120" s="348"/>
      <c r="BH120" s="353"/>
      <c r="BI120" s="353"/>
      <c r="BJ120" s="353"/>
      <c r="BK120" s="353"/>
      <c r="BL120" s="735"/>
      <c r="BM120" s="735"/>
      <c r="BN120" s="735"/>
      <c r="BO120" s="735"/>
      <c r="BP120" s="735"/>
      <c r="BQ120" s="735"/>
      <c r="BR120" s="388"/>
      <c r="BS120" s="388"/>
      <c r="BT120" s="388"/>
      <c r="BU120" s="388"/>
      <c r="BV120" s="803">
        <v>0.49</v>
      </c>
      <c r="BW120" s="803">
        <f t="shared" si="13"/>
        <v>0.8368</v>
      </c>
      <c r="BX120" s="803">
        <f>J46</f>
        <v>0</v>
      </c>
      <c r="BY120" s="803">
        <f t="shared" si="14"/>
        <v>0.68</v>
      </c>
      <c r="CA120" s="789" t="s">
        <v>633</v>
      </c>
      <c r="CB120" s="792">
        <f>VLOOKUP($Q$15,$CF$101:$CN$105,6,TRUE)</f>
        <v>0.15</v>
      </c>
      <c r="CC120" s="792">
        <f>VLOOKUP($Q$15,$CF$101:$CN$105,8,TRUE)</f>
        <v>0</v>
      </c>
      <c r="CE120" s="1115"/>
      <c r="CF120" s="789">
        <v>9</v>
      </c>
      <c r="CG120" s="793">
        <v>0.005</v>
      </c>
      <c r="CH120" s="793">
        <v>0.005</v>
      </c>
      <c r="CI120" s="793">
        <v>0.005</v>
      </c>
      <c r="CJ120" s="793">
        <v>0.005</v>
      </c>
      <c r="CK120" s="793">
        <v>0.005</v>
      </c>
      <c r="CL120" s="793">
        <v>0.005</v>
      </c>
      <c r="CM120" s="793">
        <v>0.005</v>
      </c>
      <c r="CN120" s="793">
        <v>0</v>
      </c>
      <c r="CO120" s="793">
        <v>0</v>
      </c>
      <c r="CQ120" s="799"/>
      <c r="CX120" s="388"/>
      <c r="CY120" s="737"/>
      <c r="CZ120" s="1114"/>
      <c r="DA120" s="1114"/>
      <c r="DB120" s="1114"/>
      <c r="DC120" s="1114"/>
      <c r="DD120" s="1114"/>
      <c r="DE120" s="1114"/>
      <c r="DF120" s="1114"/>
      <c r="DG120" s="1114"/>
      <c r="DH120" s="1114"/>
      <c r="DI120" s="399"/>
      <c r="DJ120" s="399"/>
      <c r="DK120" s="399"/>
      <c r="DL120" s="399"/>
      <c r="DM120" s="399"/>
      <c r="DN120" s="350"/>
      <c r="DO120" s="350"/>
      <c r="DP120" s="350"/>
      <c r="DQ120" s="350"/>
      <c r="DR120" s="350"/>
    </row>
    <row r="121" spans="1:122" ht="12.75">
      <c r="A121" s="348"/>
      <c r="B121" s="398"/>
      <c r="C121" s="398"/>
      <c r="D121" s="399"/>
      <c r="E121" s="399"/>
      <c r="F121" s="399"/>
      <c r="G121" s="399"/>
      <c r="H121" s="399"/>
      <c r="I121" s="399"/>
      <c r="J121" s="399"/>
      <c r="K121" s="399"/>
      <c r="L121" s="398"/>
      <c r="M121" s="398"/>
      <c r="N121" s="398"/>
      <c r="O121" s="398"/>
      <c r="P121" s="398"/>
      <c r="Q121" s="398"/>
      <c r="R121" s="398"/>
      <c r="S121" s="399"/>
      <c r="T121" s="399"/>
      <c r="U121" s="399"/>
      <c r="V121" s="399"/>
      <c r="W121" s="399"/>
      <c r="X121" s="399"/>
      <c r="Y121" s="399"/>
      <c r="Z121" s="398"/>
      <c r="AA121" s="398"/>
      <c r="AB121" s="398"/>
      <c r="AC121" s="398"/>
      <c r="AD121" s="398"/>
      <c r="AE121" s="398"/>
      <c r="AF121" s="398"/>
      <c r="AG121" s="398"/>
      <c r="AH121" s="348"/>
      <c r="AI121" s="348"/>
      <c r="AJ121" s="348"/>
      <c r="AK121" s="348"/>
      <c r="AL121" s="348"/>
      <c r="AM121" s="348"/>
      <c r="AN121" s="348"/>
      <c r="AO121" s="348"/>
      <c r="AP121" s="348"/>
      <c r="AQ121" s="348"/>
      <c r="AR121" s="348"/>
      <c r="AS121" s="348"/>
      <c r="AT121" s="348"/>
      <c r="AU121" s="348"/>
      <c r="AV121" s="348"/>
      <c r="AW121" s="348"/>
      <c r="AX121" s="348"/>
      <c r="AY121" s="348"/>
      <c r="AZ121" s="348"/>
      <c r="BA121" s="348"/>
      <c r="BB121" s="348"/>
      <c r="BC121" s="348"/>
      <c r="BD121" s="348"/>
      <c r="BE121" s="348"/>
      <c r="BF121" s="348"/>
      <c r="BG121" s="348"/>
      <c r="BH121" s="353"/>
      <c r="BI121" s="353"/>
      <c r="BJ121" s="353"/>
      <c r="BK121" s="353"/>
      <c r="BL121" s="735"/>
      <c r="BM121" s="735"/>
      <c r="BN121" s="735"/>
      <c r="BO121" s="735"/>
      <c r="BP121" s="735"/>
      <c r="BQ121" s="735"/>
      <c r="BR121" s="388"/>
      <c r="BS121" s="388"/>
      <c r="BT121" s="388"/>
      <c r="BU121" s="388"/>
      <c r="BV121" s="803">
        <v>0.25</v>
      </c>
      <c r="BW121" s="803">
        <f t="shared" si="13"/>
        <v>0.76</v>
      </c>
      <c r="BX121" s="803">
        <f>L47</f>
        <v>0</v>
      </c>
      <c r="BY121" s="803">
        <f t="shared" si="14"/>
        <v>0.68</v>
      </c>
      <c r="CA121" s="789" t="s">
        <v>634</v>
      </c>
      <c r="CB121" s="792">
        <f>VLOOKUP($Q$15,$CF$101:$CN$105,7,TRUE)</f>
        <v>0.73</v>
      </c>
      <c r="CC121" s="792">
        <f>VLOOKUP($Q$15,$CF$101:$CN$105,9,TRUE)</f>
        <v>1.03</v>
      </c>
      <c r="CE121" s="1115"/>
      <c r="CF121" s="789">
        <v>10</v>
      </c>
      <c r="CG121" s="793">
        <v>0</v>
      </c>
      <c r="CH121" s="793">
        <v>0</v>
      </c>
      <c r="CI121" s="793">
        <v>0</v>
      </c>
      <c r="CJ121" s="793">
        <v>0</v>
      </c>
      <c r="CK121" s="793">
        <v>0</v>
      </c>
      <c r="CL121" s="793">
        <v>0</v>
      </c>
      <c r="CM121" s="793">
        <v>0</v>
      </c>
      <c r="CN121" s="793">
        <v>0</v>
      </c>
      <c r="CO121" s="793">
        <v>0</v>
      </c>
      <c r="CQ121" s="799"/>
      <c r="CX121" s="388"/>
      <c r="CY121" s="735"/>
      <c r="CZ121" s="735"/>
      <c r="DA121" s="735"/>
      <c r="DB121" s="735"/>
      <c r="DC121" s="735"/>
      <c r="DD121" s="735"/>
      <c r="DE121" s="735"/>
      <c r="DF121" s="735"/>
      <c r="DG121" s="735"/>
      <c r="DH121" s="735"/>
      <c r="DI121" s="399"/>
      <c r="DJ121" s="399"/>
      <c r="DK121" s="399"/>
      <c r="DL121" s="399"/>
      <c r="DM121" s="399"/>
      <c r="DN121" s="350"/>
      <c r="DO121" s="350"/>
      <c r="DP121" s="350"/>
      <c r="DQ121" s="350"/>
      <c r="DR121" s="350"/>
    </row>
    <row r="122" spans="1:122" ht="12.75">
      <c r="A122" s="348"/>
      <c r="B122" s="398"/>
      <c r="C122" s="398"/>
      <c r="D122" s="399"/>
      <c r="E122" s="399"/>
      <c r="F122" s="399"/>
      <c r="G122" s="399"/>
      <c r="H122" s="399"/>
      <c r="I122" s="399"/>
      <c r="J122" s="399"/>
      <c r="K122" s="399"/>
      <c r="L122" s="398"/>
      <c r="M122" s="398"/>
      <c r="N122" s="398"/>
      <c r="O122" s="398"/>
      <c r="P122" s="398"/>
      <c r="Q122" s="398"/>
      <c r="R122" s="398"/>
      <c r="S122" s="399"/>
      <c r="T122" s="399"/>
      <c r="U122" s="399"/>
      <c r="V122" s="399"/>
      <c r="W122" s="399"/>
      <c r="X122" s="399"/>
      <c r="Y122" s="399"/>
      <c r="Z122" s="398"/>
      <c r="AA122" s="398"/>
      <c r="AB122" s="398"/>
      <c r="AC122" s="398"/>
      <c r="AD122" s="398"/>
      <c r="AE122" s="398"/>
      <c r="AF122" s="398"/>
      <c r="AG122" s="398"/>
      <c r="AH122" s="348"/>
      <c r="AI122" s="348"/>
      <c r="AJ122" s="348"/>
      <c r="AK122" s="348"/>
      <c r="AL122" s="348"/>
      <c r="AM122" s="348"/>
      <c r="AN122" s="348"/>
      <c r="AO122" s="348"/>
      <c r="AP122" s="348"/>
      <c r="AQ122" s="348"/>
      <c r="AR122" s="348"/>
      <c r="AS122" s="348"/>
      <c r="AT122" s="348"/>
      <c r="AU122" s="348"/>
      <c r="AV122" s="348"/>
      <c r="AW122" s="348"/>
      <c r="AX122" s="348"/>
      <c r="AY122" s="348"/>
      <c r="AZ122" s="348"/>
      <c r="BA122" s="348"/>
      <c r="BB122" s="348"/>
      <c r="BC122" s="348"/>
      <c r="BD122" s="348"/>
      <c r="BE122" s="348"/>
      <c r="BF122" s="348"/>
      <c r="BG122" s="348"/>
      <c r="BH122" s="353"/>
      <c r="BI122" s="353"/>
      <c r="BJ122" s="353"/>
      <c r="BK122" s="353"/>
      <c r="BL122" s="735"/>
      <c r="BM122" s="735"/>
      <c r="BN122" s="735"/>
      <c r="BO122" s="735"/>
      <c r="BP122" s="735"/>
      <c r="BQ122" s="735"/>
      <c r="BR122" s="388"/>
      <c r="BS122" s="388"/>
      <c r="BT122" s="388"/>
      <c r="BU122" s="388"/>
      <c r="BV122" s="805">
        <v>0</v>
      </c>
      <c r="BW122" s="803">
        <f t="shared" si="13"/>
        <v>0.68</v>
      </c>
      <c r="BX122" s="805">
        <f>L54</f>
        <v>0</v>
      </c>
      <c r="BY122" s="803">
        <f t="shared" si="14"/>
        <v>0.68</v>
      </c>
      <c r="CQ122" s="799"/>
      <c r="CX122" s="388"/>
      <c r="CY122" s="735"/>
      <c r="CZ122" s="735"/>
      <c r="DA122" s="735"/>
      <c r="DB122" s="735"/>
      <c r="DC122" s="735"/>
      <c r="DD122" s="735"/>
      <c r="DE122" s="735"/>
      <c r="DF122" s="735"/>
      <c r="DG122" s="735"/>
      <c r="DH122" s="735"/>
      <c r="DI122" s="399"/>
      <c r="DJ122" s="399"/>
      <c r="DK122" s="399"/>
      <c r="DL122" s="399"/>
      <c r="DM122" s="399"/>
      <c r="DN122" s="350"/>
      <c r="DO122" s="350"/>
      <c r="DP122" s="350"/>
      <c r="DQ122" s="350"/>
      <c r="DR122" s="350"/>
    </row>
    <row r="123" spans="1:122" ht="12.75">
      <c r="A123" s="348"/>
      <c r="B123" s="398"/>
      <c r="C123" s="398"/>
      <c r="D123" s="399"/>
      <c r="E123" s="399"/>
      <c r="F123" s="399"/>
      <c r="G123" s="399"/>
      <c r="H123" s="399"/>
      <c r="I123" s="399"/>
      <c r="J123" s="399"/>
      <c r="K123" s="399"/>
      <c r="L123" s="398"/>
      <c r="M123" s="398"/>
      <c r="N123" s="398"/>
      <c r="O123" s="398"/>
      <c r="P123" s="398"/>
      <c r="Q123" s="398"/>
      <c r="R123" s="398"/>
      <c r="S123" s="399"/>
      <c r="T123" s="399"/>
      <c r="U123" s="399"/>
      <c r="V123" s="399"/>
      <c r="W123" s="399"/>
      <c r="X123" s="399"/>
      <c r="Y123" s="399"/>
      <c r="Z123" s="398"/>
      <c r="AA123" s="398"/>
      <c r="AB123" s="398"/>
      <c r="AC123" s="398"/>
      <c r="AD123" s="398"/>
      <c r="AE123" s="398"/>
      <c r="AF123" s="398"/>
      <c r="AG123" s="398"/>
      <c r="AH123" s="348"/>
      <c r="AI123" s="348"/>
      <c r="AJ123" s="348"/>
      <c r="AK123" s="348"/>
      <c r="AL123" s="348"/>
      <c r="AM123" s="348"/>
      <c r="AN123" s="348"/>
      <c r="AO123" s="348"/>
      <c r="AP123" s="348"/>
      <c r="AQ123" s="348"/>
      <c r="AR123" s="348"/>
      <c r="AS123" s="348"/>
      <c r="AT123" s="348"/>
      <c r="AU123" s="348"/>
      <c r="AV123" s="348"/>
      <c r="AW123" s="348"/>
      <c r="AX123" s="348"/>
      <c r="AY123" s="348"/>
      <c r="AZ123" s="348"/>
      <c r="BA123" s="348"/>
      <c r="BB123" s="348"/>
      <c r="BC123" s="348"/>
      <c r="BD123" s="348"/>
      <c r="BE123" s="348"/>
      <c r="BF123" s="348"/>
      <c r="BG123" s="348"/>
      <c r="BH123" s="353"/>
      <c r="BI123" s="353"/>
      <c r="BJ123" s="353"/>
      <c r="BK123" s="353"/>
      <c r="BL123" s="735"/>
      <c r="BM123" s="735"/>
      <c r="BN123" s="735"/>
      <c r="BO123" s="735"/>
      <c r="BP123" s="735"/>
      <c r="BQ123" s="735"/>
      <c r="BR123" s="388"/>
      <c r="BS123" s="388"/>
      <c r="BT123" s="388"/>
      <c r="BU123" s="388"/>
      <c r="CQ123" s="799"/>
      <c r="CX123" s="388"/>
      <c r="CY123" s="735"/>
      <c r="CZ123" s="735"/>
      <c r="DA123" s="735"/>
      <c r="DB123" s="735"/>
      <c r="DC123" s="735"/>
      <c r="DD123" s="735"/>
      <c r="DE123" s="735"/>
      <c r="DF123" s="735"/>
      <c r="DG123" s="735"/>
      <c r="DH123" s="735"/>
      <c r="DI123" s="399"/>
      <c r="DJ123" s="399"/>
      <c r="DK123" s="399"/>
      <c r="DL123" s="399"/>
      <c r="DM123" s="399"/>
      <c r="DN123" s="350"/>
      <c r="DO123" s="350"/>
      <c r="DP123" s="350"/>
      <c r="DQ123" s="350"/>
      <c r="DR123" s="350"/>
    </row>
    <row r="124" spans="1:122" ht="12.75">
      <c r="A124" s="348"/>
      <c r="B124" s="398"/>
      <c r="C124" s="398"/>
      <c r="D124" s="399"/>
      <c r="E124" s="399"/>
      <c r="F124" s="399"/>
      <c r="G124" s="399"/>
      <c r="H124" s="399"/>
      <c r="I124" s="399"/>
      <c r="J124" s="399"/>
      <c r="K124" s="399"/>
      <c r="L124" s="398"/>
      <c r="M124" s="398"/>
      <c r="N124" s="398"/>
      <c r="O124" s="398"/>
      <c r="P124" s="398"/>
      <c r="Q124" s="398"/>
      <c r="R124" s="398"/>
      <c r="S124" s="399"/>
      <c r="T124" s="399"/>
      <c r="U124" s="399"/>
      <c r="V124" s="399"/>
      <c r="W124" s="399"/>
      <c r="X124" s="399"/>
      <c r="Y124" s="399"/>
      <c r="Z124" s="398"/>
      <c r="AA124" s="398"/>
      <c r="AB124" s="398"/>
      <c r="AC124" s="398"/>
      <c r="AD124" s="398"/>
      <c r="AE124" s="398"/>
      <c r="AF124" s="398"/>
      <c r="AG124" s="398"/>
      <c r="AH124" s="348"/>
      <c r="AI124" s="348"/>
      <c r="AJ124" s="348"/>
      <c r="AK124" s="348"/>
      <c r="AL124" s="348"/>
      <c r="AM124" s="348"/>
      <c r="AN124" s="348"/>
      <c r="AO124" s="348"/>
      <c r="AP124" s="348"/>
      <c r="AQ124" s="348"/>
      <c r="AR124" s="348"/>
      <c r="AS124" s="348"/>
      <c r="AT124" s="348"/>
      <c r="AU124" s="348"/>
      <c r="AV124" s="348"/>
      <c r="AW124" s="348"/>
      <c r="AX124" s="348"/>
      <c r="AY124" s="348"/>
      <c r="AZ124" s="348"/>
      <c r="BA124" s="348"/>
      <c r="BB124" s="348"/>
      <c r="BC124" s="348"/>
      <c r="BD124" s="348"/>
      <c r="BE124" s="348"/>
      <c r="BF124" s="348"/>
      <c r="BG124" s="348"/>
      <c r="BH124" s="353"/>
      <c r="BI124" s="353"/>
      <c r="BJ124" s="353"/>
      <c r="BK124" s="353"/>
      <c r="BL124" s="735"/>
      <c r="BM124" s="735"/>
      <c r="BN124" s="735"/>
      <c r="BO124" s="735"/>
      <c r="BP124" s="735"/>
      <c r="BQ124" s="735"/>
      <c r="BR124" s="388"/>
      <c r="BS124" s="388"/>
      <c r="BT124" s="388"/>
      <c r="BU124" s="388"/>
      <c r="CX124" s="388"/>
      <c r="CY124" s="735"/>
      <c r="CZ124" s="735"/>
      <c r="DA124" s="735"/>
      <c r="DB124" s="735"/>
      <c r="DC124" s="735"/>
      <c r="DD124" s="735"/>
      <c r="DE124" s="735"/>
      <c r="DF124" s="735"/>
      <c r="DG124" s="735"/>
      <c r="DH124" s="735"/>
      <c r="DI124" s="399"/>
      <c r="DJ124" s="399"/>
      <c r="DK124" s="399"/>
      <c r="DL124" s="399"/>
      <c r="DM124" s="399"/>
      <c r="DN124" s="350"/>
      <c r="DO124" s="350"/>
      <c r="DP124" s="350"/>
      <c r="DQ124" s="350"/>
      <c r="DR124" s="350"/>
    </row>
    <row r="125" spans="1:122" ht="12.75">
      <c r="A125" s="348"/>
      <c r="B125" s="398"/>
      <c r="C125" s="398"/>
      <c r="D125" s="399"/>
      <c r="E125" s="399"/>
      <c r="F125" s="399"/>
      <c r="G125" s="399"/>
      <c r="H125" s="399"/>
      <c r="I125" s="399"/>
      <c r="J125" s="399"/>
      <c r="K125" s="399"/>
      <c r="L125" s="398"/>
      <c r="M125" s="398"/>
      <c r="N125" s="398"/>
      <c r="O125" s="398"/>
      <c r="P125" s="398"/>
      <c r="Q125" s="398"/>
      <c r="R125" s="398"/>
      <c r="S125" s="399"/>
      <c r="T125" s="399"/>
      <c r="U125" s="399"/>
      <c r="V125" s="399"/>
      <c r="W125" s="399"/>
      <c r="X125" s="399"/>
      <c r="Y125" s="399"/>
      <c r="Z125" s="398"/>
      <c r="AA125" s="398"/>
      <c r="AB125" s="398"/>
      <c r="AC125" s="398"/>
      <c r="AD125" s="398"/>
      <c r="AE125" s="398"/>
      <c r="AF125" s="398"/>
      <c r="AG125" s="398"/>
      <c r="AH125" s="348"/>
      <c r="AI125" s="348"/>
      <c r="AJ125" s="348"/>
      <c r="AK125" s="348"/>
      <c r="AL125" s="348"/>
      <c r="AM125" s="348"/>
      <c r="AN125" s="348"/>
      <c r="AO125" s="348"/>
      <c r="AP125" s="348"/>
      <c r="AQ125" s="348"/>
      <c r="AR125" s="348"/>
      <c r="AS125" s="348"/>
      <c r="AT125" s="348"/>
      <c r="AU125" s="348"/>
      <c r="AV125" s="348"/>
      <c r="AW125" s="348"/>
      <c r="AX125" s="348"/>
      <c r="AY125" s="348"/>
      <c r="AZ125" s="348"/>
      <c r="BA125" s="348"/>
      <c r="BB125" s="348"/>
      <c r="BC125" s="348"/>
      <c r="BD125" s="348"/>
      <c r="BE125" s="348"/>
      <c r="BF125" s="348"/>
      <c r="BG125" s="348"/>
      <c r="BH125" s="353"/>
      <c r="BI125" s="353"/>
      <c r="BJ125" s="353"/>
      <c r="BK125" s="353"/>
      <c r="BL125" s="735"/>
      <c r="BM125" s="735"/>
      <c r="BN125" s="735"/>
      <c r="BO125" s="735"/>
      <c r="BP125" s="735"/>
      <c r="BQ125" s="735"/>
      <c r="BR125" s="388"/>
      <c r="BS125" s="388"/>
      <c r="BT125" s="388"/>
      <c r="BU125" s="388"/>
      <c r="CX125" s="388"/>
      <c r="CY125" s="735"/>
      <c r="CZ125" s="735"/>
      <c r="DA125" s="735"/>
      <c r="DB125" s="735"/>
      <c r="DC125" s="735"/>
      <c r="DD125" s="735"/>
      <c r="DE125" s="735"/>
      <c r="DF125" s="735"/>
      <c r="DG125" s="735"/>
      <c r="DH125" s="735"/>
      <c r="DI125" s="399"/>
      <c r="DJ125" s="399"/>
      <c r="DK125" s="399"/>
      <c r="DL125" s="399"/>
      <c r="DM125" s="399"/>
      <c r="DN125" s="350"/>
      <c r="DO125" s="350"/>
      <c r="DP125" s="350"/>
      <c r="DQ125" s="350"/>
      <c r="DR125" s="350"/>
    </row>
    <row r="126" spans="1:122" ht="12.75">
      <c r="A126" s="348"/>
      <c r="B126" s="398"/>
      <c r="C126" s="398"/>
      <c r="D126" s="399"/>
      <c r="E126" s="399"/>
      <c r="F126" s="399"/>
      <c r="G126" s="399"/>
      <c r="H126" s="399"/>
      <c r="I126" s="399"/>
      <c r="J126" s="399"/>
      <c r="K126" s="399"/>
      <c r="L126" s="398"/>
      <c r="M126" s="398"/>
      <c r="N126" s="398"/>
      <c r="O126" s="398"/>
      <c r="P126" s="398"/>
      <c r="Q126" s="398"/>
      <c r="R126" s="398"/>
      <c r="S126" s="399"/>
      <c r="T126" s="399"/>
      <c r="U126" s="399"/>
      <c r="V126" s="399"/>
      <c r="W126" s="399"/>
      <c r="X126" s="399"/>
      <c r="Y126" s="399"/>
      <c r="Z126" s="398"/>
      <c r="AA126" s="398"/>
      <c r="AB126" s="398"/>
      <c r="AC126" s="398"/>
      <c r="AD126" s="398"/>
      <c r="AE126" s="398"/>
      <c r="AF126" s="398"/>
      <c r="AG126" s="398"/>
      <c r="AH126" s="348"/>
      <c r="AI126" s="348"/>
      <c r="AJ126" s="348"/>
      <c r="AK126" s="348"/>
      <c r="AL126" s="348"/>
      <c r="AM126" s="348"/>
      <c r="AN126" s="348"/>
      <c r="AO126" s="348"/>
      <c r="AP126" s="348"/>
      <c r="AQ126" s="348"/>
      <c r="AR126" s="348"/>
      <c r="AS126" s="348"/>
      <c r="AT126" s="348"/>
      <c r="AU126" s="348"/>
      <c r="AV126" s="348"/>
      <c r="AW126" s="348"/>
      <c r="AX126" s="348"/>
      <c r="AY126" s="348"/>
      <c r="AZ126" s="348"/>
      <c r="BA126" s="348"/>
      <c r="BB126" s="348"/>
      <c r="BC126" s="348"/>
      <c r="BD126" s="348"/>
      <c r="BE126" s="348"/>
      <c r="BF126" s="348"/>
      <c r="BG126" s="348"/>
      <c r="BH126" s="353"/>
      <c r="BI126" s="353"/>
      <c r="BJ126" s="353"/>
      <c r="BK126" s="353"/>
      <c r="BL126" s="735"/>
      <c r="BM126" s="735"/>
      <c r="BN126" s="735"/>
      <c r="BO126" s="735"/>
      <c r="BP126" s="735"/>
      <c r="BQ126" s="735"/>
      <c r="BR126" s="388"/>
      <c r="BS126" s="388"/>
      <c r="BT126" s="388"/>
      <c r="BU126" s="388"/>
      <c r="BV126" s="1110" t="str">
        <f>VLOOKUP(Q15,CF93:CG97,2)</f>
        <v>VFD</v>
      </c>
      <c r="BW126" s="1110"/>
      <c r="BX126" s="1110" t="s">
        <v>660</v>
      </c>
      <c r="BY126" s="1110"/>
      <c r="CX126" s="388"/>
      <c r="CY126" s="735"/>
      <c r="CZ126" s="735"/>
      <c r="DA126" s="735"/>
      <c r="DB126" s="735"/>
      <c r="DC126" s="735"/>
      <c r="DD126" s="735"/>
      <c r="DE126" s="735"/>
      <c r="DF126" s="735"/>
      <c r="DG126" s="735"/>
      <c r="DH126" s="735"/>
      <c r="DI126" s="399"/>
      <c r="DJ126" s="399"/>
      <c r="DK126" s="399"/>
      <c r="DL126" s="399"/>
      <c r="DM126" s="399"/>
      <c r="DN126" s="350"/>
      <c r="DO126" s="350"/>
      <c r="DP126" s="350"/>
      <c r="DQ126" s="350"/>
      <c r="DR126" s="350"/>
    </row>
    <row r="127" spans="1:122" ht="12.75">
      <c r="A127" s="348"/>
      <c r="B127" s="398"/>
      <c r="C127" s="398"/>
      <c r="D127" s="399"/>
      <c r="E127" s="399"/>
      <c r="F127" s="399"/>
      <c r="G127" s="399"/>
      <c r="H127" s="399"/>
      <c r="I127" s="399"/>
      <c r="J127" s="399"/>
      <c r="K127" s="399"/>
      <c r="L127" s="398"/>
      <c r="M127" s="398"/>
      <c r="N127" s="398"/>
      <c r="O127" s="398"/>
      <c r="P127" s="398"/>
      <c r="Q127" s="398"/>
      <c r="R127" s="398"/>
      <c r="S127" s="399"/>
      <c r="T127" s="399"/>
      <c r="U127" s="399"/>
      <c r="V127" s="399"/>
      <c r="W127" s="399"/>
      <c r="X127" s="399"/>
      <c r="Y127" s="399"/>
      <c r="Z127" s="398"/>
      <c r="AA127" s="398"/>
      <c r="AB127" s="398"/>
      <c r="AC127" s="398"/>
      <c r="AD127" s="398"/>
      <c r="AE127" s="398"/>
      <c r="AF127" s="398"/>
      <c r="AG127" s="398"/>
      <c r="AH127" s="348"/>
      <c r="AI127" s="348"/>
      <c r="AJ127" s="348"/>
      <c r="AK127" s="348"/>
      <c r="AL127" s="348"/>
      <c r="AM127" s="348"/>
      <c r="AN127" s="348"/>
      <c r="AO127" s="348"/>
      <c r="AP127" s="348"/>
      <c r="AQ127" s="348"/>
      <c r="AR127" s="348"/>
      <c r="AS127" s="348"/>
      <c r="AT127" s="348"/>
      <c r="AU127" s="348"/>
      <c r="AV127" s="348"/>
      <c r="AW127" s="348"/>
      <c r="AX127" s="348"/>
      <c r="AY127" s="348"/>
      <c r="AZ127" s="348"/>
      <c r="BA127" s="348"/>
      <c r="BB127" s="348"/>
      <c r="BC127" s="348"/>
      <c r="BD127" s="348"/>
      <c r="BE127" s="348"/>
      <c r="BF127" s="348"/>
      <c r="BG127" s="348"/>
      <c r="BH127" s="353"/>
      <c r="BI127" s="353"/>
      <c r="BJ127" s="353"/>
      <c r="BK127" s="353"/>
      <c r="BL127" s="735"/>
      <c r="BM127" s="735"/>
      <c r="BN127" s="735"/>
      <c r="BO127" s="735"/>
      <c r="BP127" s="735"/>
      <c r="BQ127" s="735"/>
      <c r="BR127" s="388"/>
      <c r="BS127" s="388"/>
      <c r="BT127" s="388"/>
      <c r="BU127" s="388"/>
      <c r="BV127" s="789" t="s">
        <v>618</v>
      </c>
      <c r="BW127" s="789" t="s">
        <v>619</v>
      </c>
      <c r="BX127" s="1110" t="s">
        <v>661</v>
      </c>
      <c r="BY127" s="1110"/>
      <c r="CF127" s="388" t="s">
        <v>608</v>
      </c>
      <c r="CH127" s="426" t="s">
        <v>612</v>
      </c>
      <c r="CI127" s="388">
        <f>8*5*52</f>
        <v>2080</v>
      </c>
      <c r="CJ127" s="806">
        <v>0.5138981567885967</v>
      </c>
      <c r="CK127" s="806">
        <v>0.5727134745729229</v>
      </c>
      <c r="CX127" s="388"/>
      <c r="CY127" s="735"/>
      <c r="CZ127" s="735"/>
      <c r="DA127" s="735"/>
      <c r="DB127" s="735"/>
      <c r="DC127" s="735"/>
      <c r="DD127" s="735"/>
      <c r="DE127" s="735"/>
      <c r="DF127" s="735"/>
      <c r="DG127" s="735"/>
      <c r="DH127" s="735"/>
      <c r="DI127" s="399"/>
      <c r="DJ127" s="399"/>
      <c r="DK127" s="399"/>
      <c r="DL127" s="399"/>
      <c r="DM127" s="399"/>
      <c r="DN127" s="350"/>
      <c r="DO127" s="350"/>
      <c r="DP127" s="350"/>
      <c r="DQ127" s="350"/>
      <c r="DR127" s="350"/>
    </row>
    <row r="128" spans="1:122" ht="12.75">
      <c r="A128" s="348"/>
      <c r="B128" s="398"/>
      <c r="C128" s="398"/>
      <c r="D128" s="399"/>
      <c r="E128" s="399"/>
      <c r="F128" s="399"/>
      <c r="G128" s="399"/>
      <c r="H128" s="399"/>
      <c r="I128" s="399"/>
      <c r="J128" s="399"/>
      <c r="K128" s="399"/>
      <c r="L128" s="398"/>
      <c r="M128" s="398"/>
      <c r="N128" s="398"/>
      <c r="O128" s="398"/>
      <c r="P128" s="398"/>
      <c r="Q128" s="398"/>
      <c r="R128" s="398"/>
      <c r="S128" s="399"/>
      <c r="T128" s="399"/>
      <c r="U128" s="399"/>
      <c r="V128" s="399"/>
      <c r="W128" s="399"/>
      <c r="X128" s="399"/>
      <c r="Y128" s="399"/>
      <c r="Z128" s="398"/>
      <c r="AA128" s="398"/>
      <c r="AB128" s="398"/>
      <c r="AC128" s="398"/>
      <c r="AD128" s="398"/>
      <c r="AE128" s="398"/>
      <c r="AF128" s="398"/>
      <c r="AG128" s="398"/>
      <c r="AH128" s="348"/>
      <c r="AI128" s="348"/>
      <c r="AJ128" s="348"/>
      <c r="AK128" s="348"/>
      <c r="AL128" s="348"/>
      <c r="AM128" s="348"/>
      <c r="AN128" s="348"/>
      <c r="AO128" s="348"/>
      <c r="AP128" s="348"/>
      <c r="AQ128" s="348"/>
      <c r="AR128" s="348"/>
      <c r="AS128" s="348"/>
      <c r="AT128" s="348"/>
      <c r="AU128" s="348"/>
      <c r="AV128" s="348"/>
      <c r="AW128" s="348"/>
      <c r="AX128" s="348"/>
      <c r="AY128" s="348"/>
      <c r="AZ128" s="348"/>
      <c r="BA128" s="348"/>
      <c r="BB128" s="348"/>
      <c r="BC128" s="348"/>
      <c r="BD128" s="348"/>
      <c r="BE128" s="348"/>
      <c r="BF128" s="348"/>
      <c r="BG128" s="348"/>
      <c r="BH128" s="353"/>
      <c r="BI128" s="353"/>
      <c r="BJ128" s="353"/>
      <c r="BK128" s="353"/>
      <c r="BL128" s="735"/>
      <c r="BM128" s="735"/>
      <c r="BN128" s="735"/>
      <c r="BO128" s="735"/>
      <c r="BP128" s="735"/>
      <c r="BQ128" s="735"/>
      <c r="BR128" s="388"/>
      <c r="BS128" s="388"/>
      <c r="BT128" s="388"/>
      <c r="BU128" s="388"/>
      <c r="BV128" s="802">
        <v>1</v>
      </c>
      <c r="BW128" s="803">
        <f aca="true" t="shared" si="15" ref="BW128:BW134">(IF(BV128&lt;0.5,$CB$120+$CB$121*BV128,$CC$120+$CC$121*BV128)+IF(OR($Q$15=3,$Q$15=5),VLOOKUP($P$25/$P$19*IF($Q$15=5,2,1),$CF$111:$CO$121,HLOOKUP(BV128*IF($Q$15=5,2,1),$CF$108:$CO$109,2,TRUE),TRUE),0))</f>
        <v>1.03</v>
      </c>
      <c r="BX128" s="802" t="e">
        <f aca="true" t="shared" si="16" ref="BX128:BX133">S42</f>
        <v>#DIV/0!</v>
      </c>
      <c r="BY128" s="803" t="e">
        <f aca="true" t="shared" si="17" ref="BY128:BY134">(IF(BX128&lt;0.5,$CB$120+$CB$121*BX128,$CC$120+$CC$121*BX128)+IF(OR($Q$15=3,$Q$15=5),VLOOKUP($P$25/$P$19*IF($Q$15=5,2,1),$CF$111:$CO$121,HLOOKUP(BX128*IF($Q$15=5,2,1),$CF$108:$CO$109,2,TRUE),TRUE),0))</f>
        <v>#DIV/0!</v>
      </c>
      <c r="CF128" s="388" t="s">
        <v>609</v>
      </c>
      <c r="CH128" s="426" t="s">
        <v>613</v>
      </c>
      <c r="CI128" s="388">
        <f>16*5*52</f>
        <v>4160</v>
      </c>
      <c r="CJ128" s="806">
        <v>0.49854018399431704</v>
      </c>
      <c r="CK128" s="806">
        <v>0.5573555017786431</v>
      </c>
      <c r="CX128" s="388"/>
      <c r="CY128" s="735"/>
      <c r="CZ128" s="735"/>
      <c r="DA128" s="735"/>
      <c r="DB128" s="735"/>
      <c r="DC128" s="735"/>
      <c r="DD128" s="735"/>
      <c r="DE128" s="735"/>
      <c r="DF128" s="735"/>
      <c r="DG128" s="735"/>
      <c r="DH128" s="735"/>
      <c r="DI128" s="399"/>
      <c r="DJ128" s="399"/>
      <c r="DK128" s="399"/>
      <c r="DL128" s="399"/>
      <c r="DM128" s="399"/>
      <c r="DN128" s="350"/>
      <c r="DO128" s="350"/>
      <c r="DP128" s="350"/>
      <c r="DQ128" s="350"/>
      <c r="DR128" s="350"/>
    </row>
    <row r="129" spans="1:122" ht="12.75">
      <c r="A129" s="348"/>
      <c r="B129" s="398"/>
      <c r="C129" s="398"/>
      <c r="D129" s="399"/>
      <c r="E129" s="399"/>
      <c r="F129" s="399"/>
      <c r="G129" s="399"/>
      <c r="H129" s="399"/>
      <c r="I129" s="399"/>
      <c r="J129" s="399"/>
      <c r="K129" s="399"/>
      <c r="L129" s="398"/>
      <c r="M129" s="398"/>
      <c r="N129" s="398"/>
      <c r="O129" s="398"/>
      <c r="P129" s="398"/>
      <c r="Q129" s="398"/>
      <c r="R129" s="398"/>
      <c r="S129" s="399"/>
      <c r="T129" s="399"/>
      <c r="U129" s="399"/>
      <c r="V129" s="399"/>
      <c r="W129" s="399"/>
      <c r="X129" s="399"/>
      <c r="Y129" s="399"/>
      <c r="Z129" s="398"/>
      <c r="AA129" s="398"/>
      <c r="AB129" s="398"/>
      <c r="AC129" s="398"/>
      <c r="AD129" s="398"/>
      <c r="AE129" s="398"/>
      <c r="AF129" s="398"/>
      <c r="AG129" s="398"/>
      <c r="AH129" s="348"/>
      <c r="AI129" s="348"/>
      <c r="AJ129" s="348"/>
      <c r="AK129" s="348"/>
      <c r="AL129" s="348"/>
      <c r="AM129" s="348"/>
      <c r="AN129" s="348"/>
      <c r="AO129" s="348"/>
      <c r="AP129" s="348"/>
      <c r="AQ129" s="348"/>
      <c r="AR129" s="348"/>
      <c r="AS129" s="348"/>
      <c r="AT129" s="348"/>
      <c r="AU129" s="348"/>
      <c r="AV129" s="348"/>
      <c r="AW129" s="348"/>
      <c r="AX129" s="348"/>
      <c r="AY129" s="348"/>
      <c r="AZ129" s="348"/>
      <c r="BA129" s="348"/>
      <c r="BB129" s="348"/>
      <c r="BC129" s="348"/>
      <c r="BD129" s="348"/>
      <c r="BE129" s="348"/>
      <c r="BF129" s="348"/>
      <c r="BG129" s="348"/>
      <c r="BH129" s="353"/>
      <c r="BI129" s="353"/>
      <c r="BJ129" s="353"/>
      <c r="BK129" s="353"/>
      <c r="BL129" s="735"/>
      <c r="BM129" s="735"/>
      <c r="BN129" s="735"/>
      <c r="BO129" s="735"/>
      <c r="BP129" s="735"/>
      <c r="BQ129" s="735"/>
      <c r="BR129" s="388"/>
      <c r="BS129" s="388"/>
      <c r="BT129" s="388"/>
      <c r="BU129" s="388"/>
      <c r="BV129" s="803">
        <v>0.75</v>
      </c>
      <c r="BW129" s="803">
        <f t="shared" si="15"/>
        <v>0.7725</v>
      </c>
      <c r="BX129" s="803" t="e">
        <f t="shared" si="16"/>
        <v>#DIV/0!</v>
      </c>
      <c r="BY129" s="803" t="e">
        <f t="shared" si="17"/>
        <v>#DIV/0!</v>
      </c>
      <c r="CF129" s="388" t="s">
        <v>610</v>
      </c>
      <c r="CH129" s="426" t="s">
        <v>614</v>
      </c>
      <c r="CI129" s="388">
        <f>24*5*52</f>
        <v>6240</v>
      </c>
      <c r="CJ129" s="806">
        <v>0.43906528706615056</v>
      </c>
      <c r="CK129" s="806">
        <v>0.49788060485047664</v>
      </c>
      <c r="CX129" s="388"/>
      <c r="CY129" s="735"/>
      <c r="CZ129" s="735"/>
      <c r="DA129" s="738"/>
      <c r="DB129" s="738"/>
      <c r="DC129" s="735"/>
      <c r="DD129" s="738"/>
      <c r="DE129" s="738"/>
      <c r="DF129" s="735"/>
      <c r="DG129" s="735"/>
      <c r="DH129" s="735"/>
      <c r="DI129" s="399"/>
      <c r="DJ129" s="399"/>
      <c r="DK129" s="399"/>
      <c r="DL129" s="399"/>
      <c r="DM129" s="399"/>
      <c r="DN129" s="350"/>
      <c r="DO129" s="350"/>
      <c r="DP129" s="350"/>
      <c r="DQ129" s="350"/>
      <c r="DR129" s="350"/>
    </row>
    <row r="130" spans="1:122" ht="12.75">
      <c r="A130" s="348"/>
      <c r="B130" s="398"/>
      <c r="C130" s="398"/>
      <c r="D130" s="399"/>
      <c r="E130" s="399"/>
      <c r="F130" s="399"/>
      <c r="G130" s="399"/>
      <c r="H130" s="399"/>
      <c r="I130" s="399"/>
      <c r="J130" s="399"/>
      <c r="K130" s="399"/>
      <c r="L130" s="398"/>
      <c r="M130" s="398"/>
      <c r="N130" s="398"/>
      <c r="O130" s="398"/>
      <c r="P130" s="398"/>
      <c r="Q130" s="398"/>
      <c r="R130" s="398"/>
      <c r="S130" s="399"/>
      <c r="T130" s="399"/>
      <c r="U130" s="399"/>
      <c r="V130" s="399"/>
      <c r="W130" s="399"/>
      <c r="X130" s="399"/>
      <c r="Y130" s="399"/>
      <c r="Z130" s="398"/>
      <c r="AA130" s="398"/>
      <c r="AB130" s="398"/>
      <c r="AC130" s="398"/>
      <c r="AD130" s="398"/>
      <c r="AE130" s="398"/>
      <c r="AF130" s="398"/>
      <c r="AG130" s="398"/>
      <c r="AH130" s="348"/>
      <c r="AI130" s="348"/>
      <c r="AJ130" s="348"/>
      <c r="AK130" s="348"/>
      <c r="AL130" s="348"/>
      <c r="AM130" s="348"/>
      <c r="AN130" s="348"/>
      <c r="AO130" s="348"/>
      <c r="AP130" s="348"/>
      <c r="AQ130" s="348"/>
      <c r="AR130" s="348"/>
      <c r="AS130" s="348"/>
      <c r="AT130" s="348"/>
      <c r="AU130" s="348"/>
      <c r="AV130" s="348"/>
      <c r="AW130" s="348"/>
      <c r="AX130" s="348"/>
      <c r="AY130" s="348"/>
      <c r="AZ130" s="348"/>
      <c r="BA130" s="348"/>
      <c r="BB130" s="348"/>
      <c r="BC130" s="348"/>
      <c r="BD130" s="348"/>
      <c r="BE130" s="348"/>
      <c r="BF130" s="348"/>
      <c r="BG130" s="348"/>
      <c r="BH130" s="353"/>
      <c r="BI130" s="353"/>
      <c r="BJ130" s="353"/>
      <c r="BK130" s="353"/>
      <c r="BL130" s="735"/>
      <c r="BM130" s="735"/>
      <c r="BN130" s="735"/>
      <c r="BO130" s="735"/>
      <c r="BP130" s="735"/>
      <c r="BQ130" s="735"/>
      <c r="BR130" s="388"/>
      <c r="BS130" s="388"/>
      <c r="BT130" s="388"/>
      <c r="BU130" s="388"/>
      <c r="BV130" s="803">
        <v>0.51</v>
      </c>
      <c r="BW130" s="803">
        <f t="shared" si="15"/>
        <v>0.5253</v>
      </c>
      <c r="BX130" s="803" t="e">
        <f t="shared" si="16"/>
        <v>#DIV/0!</v>
      </c>
      <c r="BY130" s="803" t="e">
        <f t="shared" si="17"/>
        <v>#DIV/0!</v>
      </c>
      <c r="CF130" s="388" t="s">
        <v>607</v>
      </c>
      <c r="CH130" s="388" t="s">
        <v>611</v>
      </c>
      <c r="CI130" s="388">
        <f>24*6*52</f>
        <v>7488</v>
      </c>
      <c r="CJ130" s="806">
        <v>0.41478197881029666</v>
      </c>
      <c r="CK130" s="806">
        <v>0.47359729659462274</v>
      </c>
      <c r="CX130" s="388"/>
      <c r="CY130" s="735"/>
      <c r="CZ130" s="735"/>
      <c r="DA130" s="738"/>
      <c r="DB130" s="738"/>
      <c r="DC130" s="735"/>
      <c r="DD130" s="738"/>
      <c r="DE130" s="738"/>
      <c r="DF130" s="735"/>
      <c r="DG130" s="735"/>
      <c r="DH130" s="735"/>
      <c r="DI130" s="399"/>
      <c r="DJ130" s="399"/>
      <c r="DK130" s="399"/>
      <c r="DL130" s="399"/>
      <c r="DM130" s="399"/>
      <c r="DN130" s="350"/>
      <c r="DO130" s="350"/>
      <c r="DP130" s="350"/>
      <c r="DQ130" s="350"/>
      <c r="DR130" s="350"/>
    </row>
    <row r="131" spans="1:122" ht="12.75">
      <c r="A131" s="348"/>
      <c r="B131" s="398"/>
      <c r="C131" s="398"/>
      <c r="D131" s="399"/>
      <c r="E131" s="399"/>
      <c r="F131" s="399"/>
      <c r="G131" s="399"/>
      <c r="H131" s="399"/>
      <c r="I131" s="399"/>
      <c r="J131" s="399"/>
      <c r="K131" s="399"/>
      <c r="L131" s="398"/>
      <c r="M131" s="398"/>
      <c r="N131" s="398"/>
      <c r="O131" s="398"/>
      <c r="P131" s="398"/>
      <c r="Q131" s="398"/>
      <c r="R131" s="398"/>
      <c r="S131" s="399"/>
      <c r="T131" s="399"/>
      <c r="U131" s="399"/>
      <c r="V131" s="399"/>
      <c r="W131" s="399"/>
      <c r="X131" s="399"/>
      <c r="Y131" s="399"/>
      <c r="Z131" s="398"/>
      <c r="AA131" s="398"/>
      <c r="AB131" s="398"/>
      <c r="AC131" s="398"/>
      <c r="AD131" s="398"/>
      <c r="AE131" s="398"/>
      <c r="AF131" s="398"/>
      <c r="AG131" s="398"/>
      <c r="AH131" s="348"/>
      <c r="AI131" s="348"/>
      <c r="AJ131" s="348"/>
      <c r="AK131" s="348"/>
      <c r="AL131" s="348"/>
      <c r="AM131" s="348"/>
      <c r="AN131" s="348"/>
      <c r="AO131" s="348"/>
      <c r="AP131" s="348"/>
      <c r="AQ131" s="348"/>
      <c r="AR131" s="348"/>
      <c r="AS131" s="348"/>
      <c r="AT131" s="348"/>
      <c r="AU131" s="348"/>
      <c r="AV131" s="348"/>
      <c r="AW131" s="348"/>
      <c r="AX131" s="348"/>
      <c r="AY131" s="348"/>
      <c r="AZ131" s="348"/>
      <c r="BA131" s="348"/>
      <c r="BB131" s="348"/>
      <c r="BC131" s="348"/>
      <c r="BD131" s="348"/>
      <c r="BE131" s="348"/>
      <c r="BF131" s="348"/>
      <c r="BG131" s="348"/>
      <c r="BH131" s="353"/>
      <c r="BI131" s="353"/>
      <c r="BJ131" s="353"/>
      <c r="BK131" s="353"/>
      <c r="BL131" s="735"/>
      <c r="BM131" s="735"/>
      <c r="BN131" s="735"/>
      <c r="BO131" s="735"/>
      <c r="BP131" s="735"/>
      <c r="BQ131" s="735"/>
      <c r="BR131" s="388"/>
      <c r="BS131" s="388"/>
      <c r="BT131" s="388"/>
      <c r="BU131" s="388"/>
      <c r="BV131" s="803">
        <v>0.5</v>
      </c>
      <c r="BW131" s="803">
        <f t="shared" si="15"/>
        <v>0.515</v>
      </c>
      <c r="BX131" s="803" t="e">
        <f t="shared" si="16"/>
        <v>#DIV/0!</v>
      </c>
      <c r="BY131" s="803" t="e">
        <f t="shared" si="17"/>
        <v>#DIV/0!</v>
      </c>
      <c r="CI131" s="789">
        <f>H38</f>
        <v>0</v>
      </c>
      <c r="CJ131" s="789" t="e">
        <f>VLOOKUP($H$38,$CI$127:$CK$130,2)</f>
        <v>#N/A</v>
      </c>
      <c r="CK131" s="789" t="e">
        <f>VLOOKUP($H$38,$CI$127:$CK$130,3)</f>
        <v>#N/A</v>
      </c>
      <c r="CX131" s="388"/>
      <c r="CY131" s="735"/>
      <c r="CZ131" s="735"/>
      <c r="DA131" s="738"/>
      <c r="DB131" s="738"/>
      <c r="DC131" s="735"/>
      <c r="DD131" s="738"/>
      <c r="DE131" s="738"/>
      <c r="DF131" s="735"/>
      <c r="DG131" s="735"/>
      <c r="DH131" s="735"/>
      <c r="DI131" s="399"/>
      <c r="DJ131" s="399"/>
      <c r="DK131" s="399"/>
      <c r="DL131" s="399"/>
      <c r="DM131" s="399"/>
      <c r="DN131" s="350"/>
      <c r="DO131" s="350"/>
      <c r="DP131" s="350"/>
      <c r="DQ131" s="350"/>
      <c r="DR131" s="350"/>
    </row>
    <row r="132" spans="1:122" ht="12.75">
      <c r="A132" s="348"/>
      <c r="B132" s="398"/>
      <c r="C132" s="398"/>
      <c r="D132" s="399"/>
      <c r="E132" s="399"/>
      <c r="F132" s="399"/>
      <c r="G132" s="399"/>
      <c r="H132" s="399"/>
      <c r="I132" s="399"/>
      <c r="J132" s="399"/>
      <c r="K132" s="399"/>
      <c r="L132" s="398"/>
      <c r="M132" s="398"/>
      <c r="N132" s="398"/>
      <c r="O132" s="398"/>
      <c r="P132" s="398"/>
      <c r="Q132" s="398"/>
      <c r="R132" s="398"/>
      <c r="S132" s="399"/>
      <c r="T132" s="399"/>
      <c r="U132" s="399"/>
      <c r="V132" s="399"/>
      <c r="W132" s="399"/>
      <c r="X132" s="399"/>
      <c r="Y132" s="399"/>
      <c r="Z132" s="398"/>
      <c r="AA132" s="398"/>
      <c r="AB132" s="398"/>
      <c r="AC132" s="398"/>
      <c r="AD132" s="398"/>
      <c r="AE132" s="398"/>
      <c r="AF132" s="398"/>
      <c r="AG132" s="398"/>
      <c r="AH132" s="348"/>
      <c r="AI132" s="348"/>
      <c r="AJ132" s="348"/>
      <c r="AK132" s="348"/>
      <c r="AL132" s="348"/>
      <c r="AM132" s="348"/>
      <c r="AN132" s="348"/>
      <c r="AO132" s="348"/>
      <c r="AP132" s="348"/>
      <c r="AQ132" s="348"/>
      <c r="AR132" s="348"/>
      <c r="AS132" s="348"/>
      <c r="AT132" s="348"/>
      <c r="AU132" s="348"/>
      <c r="AV132" s="348"/>
      <c r="AW132" s="348"/>
      <c r="AX132" s="348"/>
      <c r="AY132" s="348"/>
      <c r="AZ132" s="348"/>
      <c r="BA132" s="348"/>
      <c r="BB132" s="348"/>
      <c r="BC132" s="348"/>
      <c r="BD132" s="348"/>
      <c r="BE132" s="348"/>
      <c r="BF132" s="348"/>
      <c r="BG132" s="348"/>
      <c r="BH132" s="353"/>
      <c r="BI132" s="353"/>
      <c r="BJ132" s="353"/>
      <c r="BK132" s="353"/>
      <c r="BL132" s="735"/>
      <c r="BM132" s="735"/>
      <c r="BN132" s="735"/>
      <c r="BO132" s="735"/>
      <c r="BP132" s="735"/>
      <c r="BQ132" s="735"/>
      <c r="BR132" s="388"/>
      <c r="BS132" s="388"/>
      <c r="BT132" s="388"/>
      <c r="BU132" s="388"/>
      <c r="BV132" s="803">
        <v>0.49</v>
      </c>
      <c r="BW132" s="803">
        <f t="shared" si="15"/>
        <v>0.5076999999999999</v>
      </c>
      <c r="BX132" s="803">
        <f t="shared" si="16"/>
        <v>0</v>
      </c>
      <c r="BY132" s="803">
        <f t="shared" si="17"/>
        <v>0.15</v>
      </c>
      <c r="CJ132" s="807" t="e">
        <f>CJ131*H80/MIN(0.5*U80,0.15*H80)</f>
        <v>#N/A</v>
      </c>
      <c r="CK132" s="807" t="e">
        <f>(CK131*H80+PV(0.03,10,-P30))/U80</f>
        <v>#N/A</v>
      </c>
      <c r="CX132" s="388"/>
      <c r="CY132" s="735"/>
      <c r="CZ132" s="735"/>
      <c r="DA132" s="738"/>
      <c r="DB132" s="738"/>
      <c r="DC132" s="735"/>
      <c r="DD132" s="738"/>
      <c r="DE132" s="738"/>
      <c r="DF132" s="735"/>
      <c r="DG132" s="735"/>
      <c r="DH132" s="735"/>
      <c r="DI132" s="399"/>
      <c r="DJ132" s="399"/>
      <c r="DK132" s="399"/>
      <c r="DL132" s="399"/>
      <c r="DM132" s="399"/>
      <c r="DN132" s="350"/>
      <c r="DO132" s="350"/>
      <c r="DP132" s="350"/>
      <c r="DQ132" s="350"/>
      <c r="DR132" s="350"/>
    </row>
    <row r="133" spans="1:122" ht="12.75">
      <c r="A133" s="348"/>
      <c r="B133" s="398"/>
      <c r="C133" s="398"/>
      <c r="D133" s="399"/>
      <c r="E133" s="399"/>
      <c r="F133" s="399"/>
      <c r="G133" s="399"/>
      <c r="H133" s="399"/>
      <c r="I133" s="399"/>
      <c r="J133" s="399"/>
      <c r="K133" s="399"/>
      <c r="L133" s="398"/>
      <c r="M133" s="398"/>
      <c r="N133" s="398"/>
      <c r="O133" s="398"/>
      <c r="P133" s="398"/>
      <c r="Q133" s="398"/>
      <c r="R133" s="398"/>
      <c r="S133" s="399"/>
      <c r="T133" s="399"/>
      <c r="U133" s="399"/>
      <c r="V133" s="399"/>
      <c r="W133" s="399"/>
      <c r="X133" s="399"/>
      <c r="Y133" s="399"/>
      <c r="Z133" s="398"/>
      <c r="AA133" s="398"/>
      <c r="AB133" s="398"/>
      <c r="AC133" s="398"/>
      <c r="AD133" s="398"/>
      <c r="AE133" s="398"/>
      <c r="AF133" s="398"/>
      <c r="AG133" s="398"/>
      <c r="AH133" s="348"/>
      <c r="AI133" s="348"/>
      <c r="AJ133" s="348"/>
      <c r="AK133" s="348"/>
      <c r="AL133" s="348"/>
      <c r="AM133" s="348"/>
      <c r="AN133" s="348"/>
      <c r="AO133" s="348"/>
      <c r="AP133" s="348"/>
      <c r="AQ133" s="348"/>
      <c r="AR133" s="348"/>
      <c r="AS133" s="348"/>
      <c r="AT133" s="348"/>
      <c r="AU133" s="348"/>
      <c r="AV133" s="348"/>
      <c r="AW133" s="348"/>
      <c r="AX133" s="348"/>
      <c r="AY133" s="348"/>
      <c r="AZ133" s="348"/>
      <c r="BA133" s="348"/>
      <c r="BB133" s="348"/>
      <c r="BC133" s="348"/>
      <c r="BD133" s="348"/>
      <c r="BE133" s="348"/>
      <c r="BF133" s="348"/>
      <c r="BG133" s="348"/>
      <c r="BH133" s="353"/>
      <c r="BI133" s="353"/>
      <c r="BJ133" s="353"/>
      <c r="BK133" s="353"/>
      <c r="BL133" s="735"/>
      <c r="BM133" s="735"/>
      <c r="BN133" s="735"/>
      <c r="BO133" s="735"/>
      <c r="BP133" s="735"/>
      <c r="BQ133" s="735"/>
      <c r="BR133" s="388"/>
      <c r="BS133" s="388"/>
      <c r="BT133" s="388"/>
      <c r="BU133" s="388"/>
      <c r="BV133" s="803">
        <v>0.25</v>
      </c>
      <c r="BW133" s="803">
        <f t="shared" si="15"/>
        <v>0.3325</v>
      </c>
      <c r="BX133" s="803">
        <f t="shared" si="16"/>
        <v>0</v>
      </c>
      <c r="BY133" s="803">
        <f t="shared" si="17"/>
        <v>0.15</v>
      </c>
      <c r="CJ133" s="789" t="e">
        <f>IF(CJ132&gt;1,"Pass","Fail")</f>
        <v>#N/A</v>
      </c>
      <c r="CK133" s="789" t="e">
        <f>IF(CK132&gt;1,"Pass","Fail")</f>
        <v>#N/A</v>
      </c>
      <c r="CX133" s="799"/>
      <c r="CY133" s="735"/>
      <c r="CZ133" s="735"/>
      <c r="DA133" s="738"/>
      <c r="DB133" s="738"/>
      <c r="DC133" s="735"/>
      <c r="DD133" s="738"/>
      <c r="DE133" s="738"/>
      <c r="DF133" s="735"/>
      <c r="DG133" s="735"/>
      <c r="DH133" s="735"/>
      <c r="DI133" s="399"/>
      <c r="DJ133" s="399"/>
      <c r="DK133" s="399"/>
      <c r="DL133" s="399"/>
      <c r="DM133" s="399"/>
      <c r="DN133" s="350"/>
      <c r="DO133" s="350"/>
      <c r="DP133" s="350"/>
      <c r="DQ133" s="350"/>
      <c r="DR133" s="350"/>
    </row>
    <row r="134" spans="1:122" ht="12.75">
      <c r="A134" s="348"/>
      <c r="B134" s="398"/>
      <c r="C134" s="398"/>
      <c r="D134" s="399"/>
      <c r="E134" s="399"/>
      <c r="F134" s="399"/>
      <c r="G134" s="399"/>
      <c r="H134" s="399"/>
      <c r="I134" s="399"/>
      <c r="J134" s="399"/>
      <c r="K134" s="399"/>
      <c r="L134" s="398"/>
      <c r="M134" s="398"/>
      <c r="N134" s="398"/>
      <c r="O134" s="398"/>
      <c r="P134" s="398"/>
      <c r="Q134" s="398"/>
      <c r="R134" s="398"/>
      <c r="S134" s="399"/>
      <c r="T134" s="399"/>
      <c r="U134" s="399"/>
      <c r="V134" s="399"/>
      <c r="W134" s="399"/>
      <c r="X134" s="399"/>
      <c r="Y134" s="399"/>
      <c r="Z134" s="398"/>
      <c r="AA134" s="398"/>
      <c r="AB134" s="398"/>
      <c r="AC134" s="398"/>
      <c r="AD134" s="398"/>
      <c r="AE134" s="398"/>
      <c r="AF134" s="398"/>
      <c r="AG134" s="398"/>
      <c r="AH134" s="348"/>
      <c r="AI134" s="348"/>
      <c r="AJ134" s="348"/>
      <c r="AK134" s="348"/>
      <c r="AL134" s="348"/>
      <c r="AM134" s="348"/>
      <c r="AN134" s="348"/>
      <c r="AO134" s="348"/>
      <c r="AP134" s="348"/>
      <c r="AQ134" s="348"/>
      <c r="AR134" s="348"/>
      <c r="AS134" s="348"/>
      <c r="AT134" s="348"/>
      <c r="AU134" s="348"/>
      <c r="AV134" s="348"/>
      <c r="AW134" s="348"/>
      <c r="AX134" s="348"/>
      <c r="AY134" s="348"/>
      <c r="AZ134" s="348"/>
      <c r="BA134" s="348"/>
      <c r="BB134" s="348"/>
      <c r="BC134" s="348"/>
      <c r="BD134" s="348"/>
      <c r="BE134" s="348"/>
      <c r="BF134" s="348"/>
      <c r="BG134" s="348"/>
      <c r="BH134" s="353"/>
      <c r="BI134" s="353"/>
      <c r="BJ134" s="353"/>
      <c r="BK134" s="353"/>
      <c r="BL134" s="735"/>
      <c r="BM134" s="735"/>
      <c r="BN134" s="735"/>
      <c r="BO134" s="735"/>
      <c r="BP134" s="735"/>
      <c r="BQ134" s="735"/>
      <c r="BR134" s="388"/>
      <c r="BS134" s="388"/>
      <c r="BT134" s="388"/>
      <c r="BU134" s="388"/>
      <c r="BV134" s="805">
        <v>0</v>
      </c>
      <c r="BW134" s="803">
        <f t="shared" si="15"/>
        <v>0.15</v>
      </c>
      <c r="BX134" s="805">
        <f>S54</f>
        <v>0</v>
      </c>
      <c r="BY134" s="803">
        <f t="shared" si="17"/>
        <v>0.15</v>
      </c>
      <c r="CX134" s="388"/>
      <c r="CY134" s="735"/>
      <c r="CZ134" s="735"/>
      <c r="DA134" s="735"/>
      <c r="DB134" s="735"/>
      <c r="DC134" s="735"/>
      <c r="DD134" s="735"/>
      <c r="DE134" s="735"/>
      <c r="DF134" s="735"/>
      <c r="DG134" s="735"/>
      <c r="DH134" s="735"/>
      <c r="DI134" s="399"/>
      <c r="DJ134" s="399"/>
      <c r="DK134" s="399"/>
      <c r="DL134" s="399"/>
      <c r="DM134" s="399"/>
      <c r="DN134" s="350"/>
      <c r="DO134" s="350"/>
      <c r="DP134" s="350"/>
      <c r="DQ134" s="350"/>
      <c r="DR134" s="350"/>
    </row>
    <row r="135" spans="1:122" ht="15">
      <c r="A135" s="348"/>
      <c r="B135" s="398"/>
      <c r="C135" s="398"/>
      <c r="D135" s="399"/>
      <c r="E135" s="399"/>
      <c r="F135" s="399"/>
      <c r="G135" s="399"/>
      <c r="H135" s="399"/>
      <c r="I135" s="399"/>
      <c r="J135" s="399"/>
      <c r="K135" s="399"/>
      <c r="L135" s="398"/>
      <c r="M135" s="398"/>
      <c r="N135" s="398"/>
      <c r="O135" s="398"/>
      <c r="P135" s="398"/>
      <c r="Q135" s="398"/>
      <c r="R135" s="398"/>
      <c r="S135" s="399"/>
      <c r="T135" s="399"/>
      <c r="U135" s="399"/>
      <c r="V135" s="399"/>
      <c r="W135" s="399"/>
      <c r="X135" s="399"/>
      <c r="Y135" s="399"/>
      <c r="Z135" s="398"/>
      <c r="AA135" s="398"/>
      <c r="AB135" s="398"/>
      <c r="AC135" s="398"/>
      <c r="AD135" s="398"/>
      <c r="AE135" s="398"/>
      <c r="AF135" s="398"/>
      <c r="AG135" s="398"/>
      <c r="AH135" s="348"/>
      <c r="AI135" s="348"/>
      <c r="AJ135" s="348"/>
      <c r="AK135" s="348"/>
      <c r="AL135" s="348"/>
      <c r="AM135" s="348"/>
      <c r="AN135" s="348"/>
      <c r="AO135" s="348"/>
      <c r="AP135" s="348"/>
      <c r="AQ135" s="348"/>
      <c r="AR135" s="348"/>
      <c r="AS135" s="348"/>
      <c r="AT135" s="348"/>
      <c r="AU135" s="348"/>
      <c r="AV135" s="348"/>
      <c r="AW135" s="348"/>
      <c r="AX135" s="348"/>
      <c r="AY135" s="348"/>
      <c r="AZ135" s="348"/>
      <c r="BA135" s="348"/>
      <c r="BB135" s="348"/>
      <c r="BC135" s="348"/>
      <c r="BD135" s="348"/>
      <c r="BE135" s="348"/>
      <c r="BF135" s="348"/>
      <c r="BG135" s="348"/>
      <c r="BH135" s="353"/>
      <c r="BI135" s="353"/>
      <c r="BJ135" s="353"/>
      <c r="BK135" s="353"/>
      <c r="BL135" s="735"/>
      <c r="BM135" s="735"/>
      <c r="BN135" s="735"/>
      <c r="BO135" s="735"/>
      <c r="BP135" s="735"/>
      <c r="BQ135" s="735"/>
      <c r="BR135" s="388"/>
      <c r="BS135" s="388"/>
      <c r="BT135" s="388"/>
      <c r="BU135" s="388"/>
      <c r="CX135" s="388"/>
      <c r="CY135" s="735"/>
      <c r="CZ135" s="735"/>
      <c r="DA135" s="735"/>
      <c r="DB135" s="739"/>
      <c r="DC135" s="735"/>
      <c r="DD135" s="735"/>
      <c r="DE135" s="735"/>
      <c r="DF135" s="735"/>
      <c r="DG135" s="735"/>
      <c r="DH135" s="735"/>
      <c r="DI135" s="399"/>
      <c r="DJ135" s="399"/>
      <c r="DK135" s="399"/>
      <c r="DL135" s="399"/>
      <c r="DM135" s="399"/>
      <c r="DN135" s="350"/>
      <c r="DO135" s="350"/>
      <c r="DP135" s="350"/>
      <c r="DQ135" s="350"/>
      <c r="DR135" s="350"/>
    </row>
    <row r="136" spans="1:122" ht="14.25">
      <c r="A136" s="348"/>
      <c r="B136" s="398"/>
      <c r="C136" s="398"/>
      <c r="D136" s="399"/>
      <c r="E136" s="399"/>
      <c r="F136" s="399"/>
      <c r="G136" s="399"/>
      <c r="H136" s="399"/>
      <c r="I136" s="399"/>
      <c r="J136" s="399"/>
      <c r="K136" s="399"/>
      <c r="L136" s="398"/>
      <c r="M136" s="398"/>
      <c r="N136" s="398"/>
      <c r="O136" s="398"/>
      <c r="P136" s="398"/>
      <c r="Q136" s="398"/>
      <c r="R136" s="398"/>
      <c r="S136" s="399"/>
      <c r="T136" s="399"/>
      <c r="U136" s="399"/>
      <c r="V136" s="399"/>
      <c r="W136" s="399"/>
      <c r="X136" s="399"/>
      <c r="Y136" s="399"/>
      <c r="Z136" s="398"/>
      <c r="AA136" s="398"/>
      <c r="AB136" s="398"/>
      <c r="AC136" s="398"/>
      <c r="AD136" s="398"/>
      <c r="AE136" s="398"/>
      <c r="AF136" s="398"/>
      <c r="AG136" s="398"/>
      <c r="AH136" s="348"/>
      <c r="AI136" s="348"/>
      <c r="AJ136" s="348"/>
      <c r="AK136" s="348"/>
      <c r="AL136" s="348"/>
      <c r="AM136" s="348"/>
      <c r="AN136" s="348"/>
      <c r="AO136" s="348"/>
      <c r="AP136" s="348"/>
      <c r="AQ136" s="348"/>
      <c r="AR136" s="348"/>
      <c r="AS136" s="348"/>
      <c r="AT136" s="348"/>
      <c r="AU136" s="348"/>
      <c r="AV136" s="348"/>
      <c r="AW136" s="348"/>
      <c r="AX136" s="348"/>
      <c r="AY136" s="348"/>
      <c r="AZ136" s="348"/>
      <c r="BA136" s="348"/>
      <c r="BB136" s="348"/>
      <c r="BC136" s="348"/>
      <c r="BD136" s="348"/>
      <c r="BE136" s="348"/>
      <c r="BF136" s="348"/>
      <c r="BG136" s="348"/>
      <c r="BH136" s="353"/>
      <c r="BI136" s="353"/>
      <c r="BJ136" s="353"/>
      <c r="BK136" s="353"/>
      <c r="BL136" s="735"/>
      <c r="BM136" s="735"/>
      <c r="BN136" s="735"/>
      <c r="BO136" s="735"/>
      <c r="BP136" s="735"/>
      <c r="BQ136" s="735"/>
      <c r="BR136" s="388"/>
      <c r="BS136" s="388"/>
      <c r="BT136" s="388"/>
      <c r="BU136" s="388"/>
      <c r="CX136" s="388"/>
      <c r="CY136" s="740"/>
      <c r="CZ136" s="741"/>
      <c r="DA136" s="735"/>
      <c r="DB136" s="735"/>
      <c r="DC136" s="735"/>
      <c r="DD136" s="742"/>
      <c r="DE136" s="735"/>
      <c r="DF136" s="735"/>
      <c r="DG136" s="735"/>
      <c r="DH136" s="735"/>
      <c r="DI136" s="399"/>
      <c r="DJ136" s="399"/>
      <c r="DK136" s="399"/>
      <c r="DL136" s="399"/>
      <c r="DM136" s="399"/>
      <c r="DN136" s="350"/>
      <c r="DO136" s="350"/>
      <c r="DP136" s="350"/>
      <c r="DQ136" s="350"/>
      <c r="DR136" s="350"/>
    </row>
    <row r="137" spans="1:122" ht="14.25">
      <c r="A137" s="348"/>
      <c r="B137" s="398"/>
      <c r="C137" s="398"/>
      <c r="D137" s="399"/>
      <c r="E137" s="399"/>
      <c r="F137" s="399"/>
      <c r="G137" s="399"/>
      <c r="H137" s="399"/>
      <c r="I137" s="399"/>
      <c r="J137" s="399"/>
      <c r="K137" s="399"/>
      <c r="L137" s="398"/>
      <c r="M137" s="398"/>
      <c r="N137" s="398"/>
      <c r="O137" s="398"/>
      <c r="P137" s="398"/>
      <c r="Q137" s="398"/>
      <c r="R137" s="398"/>
      <c r="S137" s="399"/>
      <c r="T137" s="399"/>
      <c r="U137" s="399"/>
      <c r="V137" s="399"/>
      <c r="W137" s="399"/>
      <c r="X137" s="399"/>
      <c r="Y137" s="399"/>
      <c r="Z137" s="398"/>
      <c r="AA137" s="398"/>
      <c r="AB137" s="398"/>
      <c r="AC137" s="398"/>
      <c r="AD137" s="398"/>
      <c r="AE137" s="398"/>
      <c r="AF137" s="398"/>
      <c r="AG137" s="398"/>
      <c r="AH137" s="348"/>
      <c r="AI137" s="348"/>
      <c r="AJ137" s="348"/>
      <c r="AK137" s="348"/>
      <c r="AL137" s="348"/>
      <c r="AM137" s="348"/>
      <c r="AN137" s="348"/>
      <c r="AO137" s="348"/>
      <c r="AP137" s="348"/>
      <c r="AQ137" s="348"/>
      <c r="AR137" s="348"/>
      <c r="AS137" s="348"/>
      <c r="AT137" s="348"/>
      <c r="AU137" s="348"/>
      <c r="AV137" s="348"/>
      <c r="AW137" s="348"/>
      <c r="AX137" s="348"/>
      <c r="AY137" s="348"/>
      <c r="AZ137" s="348"/>
      <c r="BA137" s="348"/>
      <c r="BB137" s="348"/>
      <c r="BC137" s="348"/>
      <c r="BD137" s="348"/>
      <c r="BE137" s="348"/>
      <c r="BF137" s="348"/>
      <c r="BG137" s="348"/>
      <c r="BH137" s="353"/>
      <c r="BI137" s="353"/>
      <c r="BJ137" s="353"/>
      <c r="BK137" s="353"/>
      <c r="BL137" s="735"/>
      <c r="BM137" s="735"/>
      <c r="BN137" s="735"/>
      <c r="BO137" s="735"/>
      <c r="BP137" s="735"/>
      <c r="BQ137" s="735"/>
      <c r="BR137" s="388"/>
      <c r="BS137" s="388"/>
      <c r="BT137" s="388"/>
      <c r="BU137" s="388"/>
      <c r="BW137" s="388" t="s">
        <v>849</v>
      </c>
      <c r="CX137" s="388"/>
      <c r="CY137" s="743"/>
      <c r="CZ137" s="742"/>
      <c r="DA137" s="735"/>
      <c r="DB137" s="735"/>
      <c r="DC137" s="735"/>
      <c r="DD137" s="742"/>
      <c r="DE137" s="735"/>
      <c r="DF137" s="735"/>
      <c r="DG137" s="735"/>
      <c r="DH137" s="735"/>
      <c r="DI137" s="399"/>
      <c r="DJ137" s="399"/>
      <c r="DK137" s="399"/>
      <c r="DL137" s="399"/>
      <c r="DM137" s="399"/>
      <c r="DN137" s="350"/>
      <c r="DO137" s="350"/>
      <c r="DP137" s="350"/>
      <c r="DQ137" s="350"/>
      <c r="DR137" s="350"/>
    </row>
    <row r="138" spans="1:122" ht="12.75">
      <c r="A138" s="348"/>
      <c r="B138" s="398"/>
      <c r="C138" s="398"/>
      <c r="D138" s="399"/>
      <c r="E138" s="399"/>
      <c r="F138" s="399"/>
      <c r="G138" s="399"/>
      <c r="H138" s="399"/>
      <c r="I138" s="399"/>
      <c r="J138" s="399"/>
      <c r="K138" s="399"/>
      <c r="L138" s="398"/>
      <c r="M138" s="398"/>
      <c r="N138" s="398"/>
      <c r="O138" s="398"/>
      <c r="P138" s="398"/>
      <c r="Q138" s="398"/>
      <c r="R138" s="398"/>
      <c r="S138" s="399"/>
      <c r="T138" s="399"/>
      <c r="U138" s="399"/>
      <c r="V138" s="399"/>
      <c r="W138" s="399"/>
      <c r="X138" s="399"/>
      <c r="Y138" s="399"/>
      <c r="Z138" s="398"/>
      <c r="AA138" s="398"/>
      <c r="AB138" s="398"/>
      <c r="AC138" s="398"/>
      <c r="AD138" s="398"/>
      <c r="AE138" s="398"/>
      <c r="AF138" s="398"/>
      <c r="AG138" s="398"/>
      <c r="AH138" s="348"/>
      <c r="AI138" s="348"/>
      <c r="AJ138" s="348"/>
      <c r="AK138" s="348"/>
      <c r="AL138" s="348"/>
      <c r="AM138" s="348"/>
      <c r="AN138" s="348"/>
      <c r="AO138" s="348"/>
      <c r="AP138" s="348"/>
      <c r="AQ138" s="348"/>
      <c r="AR138" s="348"/>
      <c r="AS138" s="348"/>
      <c r="AT138" s="348"/>
      <c r="AU138" s="348"/>
      <c r="AV138" s="348"/>
      <c r="AW138" s="348"/>
      <c r="AX138" s="348"/>
      <c r="AY138" s="348"/>
      <c r="AZ138" s="348"/>
      <c r="BA138" s="348"/>
      <c r="BB138" s="348"/>
      <c r="BC138" s="348"/>
      <c r="BD138" s="348"/>
      <c r="BE138" s="348"/>
      <c r="BF138" s="348"/>
      <c r="BG138" s="348"/>
      <c r="BH138" s="353"/>
      <c r="BI138" s="353"/>
      <c r="BJ138" s="353"/>
      <c r="BK138" s="353"/>
      <c r="BL138" s="735"/>
      <c r="BM138" s="735"/>
      <c r="BN138" s="735"/>
      <c r="BO138" s="735"/>
      <c r="BP138" s="735"/>
      <c r="BQ138" s="735"/>
      <c r="BR138" s="388"/>
      <c r="BS138" s="388"/>
      <c r="BT138" s="388"/>
      <c r="BU138" s="388"/>
      <c r="BW138" s="388" t="s">
        <v>850</v>
      </c>
      <c r="CX138" s="388"/>
      <c r="CY138" s="735"/>
      <c r="CZ138" s="735"/>
      <c r="DA138" s="735"/>
      <c r="DB138" s="735"/>
      <c r="DC138" s="735"/>
      <c r="DD138" s="735"/>
      <c r="DE138" s="735"/>
      <c r="DF138" s="735"/>
      <c r="DG138" s="735"/>
      <c r="DH138" s="735"/>
      <c r="DI138" s="399"/>
      <c r="DJ138" s="399"/>
      <c r="DK138" s="399"/>
      <c r="DL138" s="399"/>
      <c r="DM138" s="399"/>
      <c r="DN138" s="350"/>
      <c r="DO138" s="350"/>
      <c r="DP138" s="350"/>
      <c r="DQ138" s="350"/>
      <c r="DR138" s="350"/>
    </row>
    <row r="139" spans="1:122" ht="12.75">
      <c r="A139" s="348"/>
      <c r="B139" s="398"/>
      <c r="C139" s="398"/>
      <c r="D139" s="399"/>
      <c r="E139" s="399"/>
      <c r="F139" s="399"/>
      <c r="G139" s="399"/>
      <c r="H139" s="399"/>
      <c r="I139" s="399"/>
      <c r="J139" s="399"/>
      <c r="K139" s="399"/>
      <c r="L139" s="398"/>
      <c r="M139" s="398"/>
      <c r="N139" s="398"/>
      <c r="O139" s="398"/>
      <c r="P139" s="398"/>
      <c r="Q139" s="398"/>
      <c r="R139" s="398"/>
      <c r="S139" s="399"/>
      <c r="T139" s="399"/>
      <c r="U139" s="399"/>
      <c r="V139" s="399"/>
      <c r="W139" s="399"/>
      <c r="X139" s="399"/>
      <c r="Y139" s="399"/>
      <c r="Z139" s="398"/>
      <c r="AA139" s="398"/>
      <c r="AB139" s="398"/>
      <c r="AC139" s="398"/>
      <c r="AD139" s="398"/>
      <c r="AE139" s="398"/>
      <c r="AF139" s="398"/>
      <c r="AG139" s="398"/>
      <c r="AH139" s="348"/>
      <c r="AI139" s="348"/>
      <c r="AJ139" s="348"/>
      <c r="AK139" s="348"/>
      <c r="AL139" s="348"/>
      <c r="AM139" s="348"/>
      <c r="AN139" s="348"/>
      <c r="AO139" s="348"/>
      <c r="AP139" s="348"/>
      <c r="AQ139" s="348"/>
      <c r="AR139" s="348"/>
      <c r="AS139" s="348"/>
      <c r="AT139" s="348"/>
      <c r="AU139" s="348"/>
      <c r="AV139" s="348"/>
      <c r="AW139" s="348"/>
      <c r="AX139" s="348"/>
      <c r="AY139" s="348"/>
      <c r="AZ139" s="348"/>
      <c r="BA139" s="348"/>
      <c r="BB139" s="348"/>
      <c r="BC139" s="348"/>
      <c r="BD139" s="348"/>
      <c r="BE139" s="348"/>
      <c r="BF139" s="348"/>
      <c r="BG139" s="348"/>
      <c r="BH139" s="353"/>
      <c r="BI139" s="353"/>
      <c r="BJ139" s="353"/>
      <c r="BK139" s="353"/>
      <c r="BL139" s="735"/>
      <c r="BM139" s="735"/>
      <c r="BN139" s="735"/>
      <c r="BO139" s="735"/>
      <c r="BP139" s="735"/>
      <c r="BQ139" s="735"/>
      <c r="BR139" s="388"/>
      <c r="BS139" s="388"/>
      <c r="BT139" s="388"/>
      <c r="BU139" s="388"/>
      <c r="BW139" s="388" t="s">
        <v>851</v>
      </c>
      <c r="CX139" s="388"/>
      <c r="CY139" s="735"/>
      <c r="CZ139" s="735"/>
      <c r="DA139" s="735"/>
      <c r="DB139" s="735"/>
      <c r="DC139" s="735"/>
      <c r="DD139" s="735"/>
      <c r="DE139" s="735"/>
      <c r="DF139" s="735"/>
      <c r="DG139" s="735"/>
      <c r="DH139" s="735"/>
      <c r="DI139" s="399"/>
      <c r="DJ139" s="399"/>
      <c r="DK139" s="399"/>
      <c r="DL139" s="399"/>
      <c r="DM139" s="399"/>
      <c r="DN139" s="350"/>
      <c r="DO139" s="350"/>
      <c r="DP139" s="350"/>
      <c r="DQ139" s="350"/>
      <c r="DR139" s="350"/>
    </row>
    <row r="140" spans="1:122" ht="12.75">
      <c r="A140" s="348"/>
      <c r="B140" s="398"/>
      <c r="C140" s="398"/>
      <c r="D140" s="399"/>
      <c r="E140" s="399"/>
      <c r="F140" s="399"/>
      <c r="G140" s="399"/>
      <c r="H140" s="399"/>
      <c r="I140" s="399"/>
      <c r="J140" s="399"/>
      <c r="K140" s="399"/>
      <c r="L140" s="398"/>
      <c r="M140" s="398"/>
      <c r="N140" s="398"/>
      <c r="O140" s="398"/>
      <c r="P140" s="398"/>
      <c r="Q140" s="398"/>
      <c r="R140" s="398"/>
      <c r="S140" s="399"/>
      <c r="T140" s="399"/>
      <c r="U140" s="399"/>
      <c r="V140" s="399"/>
      <c r="W140" s="399"/>
      <c r="X140" s="399"/>
      <c r="Y140" s="399"/>
      <c r="Z140" s="398"/>
      <c r="AA140" s="398"/>
      <c r="AB140" s="398"/>
      <c r="AC140" s="398"/>
      <c r="AD140" s="398"/>
      <c r="AE140" s="398"/>
      <c r="AF140" s="398"/>
      <c r="AG140" s="398"/>
      <c r="AH140" s="348"/>
      <c r="AI140" s="348"/>
      <c r="AJ140" s="348"/>
      <c r="AK140" s="348"/>
      <c r="AL140" s="348"/>
      <c r="AM140" s="348"/>
      <c r="AN140" s="348"/>
      <c r="AO140" s="348"/>
      <c r="AP140" s="348"/>
      <c r="AQ140" s="348"/>
      <c r="AR140" s="348"/>
      <c r="AS140" s="348"/>
      <c r="AT140" s="348"/>
      <c r="AU140" s="348"/>
      <c r="AV140" s="348"/>
      <c r="AW140" s="348"/>
      <c r="AX140" s="348"/>
      <c r="AY140" s="348"/>
      <c r="AZ140" s="348"/>
      <c r="BA140" s="348"/>
      <c r="BB140" s="348"/>
      <c r="BC140" s="348"/>
      <c r="BD140" s="348"/>
      <c r="BE140" s="348"/>
      <c r="BF140" s="348"/>
      <c r="BG140" s="348"/>
      <c r="BH140" s="353"/>
      <c r="BI140" s="353"/>
      <c r="BJ140" s="353"/>
      <c r="BK140" s="353"/>
      <c r="BL140" s="735"/>
      <c r="BM140" s="735"/>
      <c r="BN140" s="735"/>
      <c r="BO140" s="735"/>
      <c r="BP140" s="735"/>
      <c r="BQ140" s="735"/>
      <c r="BR140" s="388"/>
      <c r="BS140" s="388"/>
      <c r="BT140" s="388"/>
      <c r="BU140" s="388"/>
      <c r="BW140" s="388" t="s">
        <v>853</v>
      </c>
      <c r="CX140" s="388"/>
      <c r="CY140" s="735"/>
      <c r="CZ140" s="735"/>
      <c r="DA140" s="735"/>
      <c r="DB140" s="735"/>
      <c r="DC140" s="735"/>
      <c r="DD140" s="735"/>
      <c r="DE140" s="735"/>
      <c r="DF140" s="735"/>
      <c r="DG140" s="735"/>
      <c r="DH140" s="735"/>
      <c r="DI140" s="399"/>
      <c r="DJ140" s="399"/>
      <c r="DK140" s="399"/>
      <c r="DL140" s="399"/>
      <c r="DM140" s="399"/>
      <c r="DN140" s="350"/>
      <c r="DO140" s="350"/>
      <c r="DP140" s="350"/>
      <c r="DQ140" s="350"/>
      <c r="DR140" s="350"/>
    </row>
    <row r="141" spans="1:122" ht="12.75">
      <c r="A141" s="348"/>
      <c r="B141" s="398"/>
      <c r="C141" s="398"/>
      <c r="D141" s="399"/>
      <c r="E141" s="399"/>
      <c r="F141" s="399"/>
      <c r="G141" s="399"/>
      <c r="H141" s="399"/>
      <c r="I141" s="399"/>
      <c r="J141" s="399"/>
      <c r="K141" s="399"/>
      <c r="L141" s="398"/>
      <c r="M141" s="398"/>
      <c r="N141" s="398"/>
      <c r="O141" s="398"/>
      <c r="P141" s="398"/>
      <c r="Q141" s="398"/>
      <c r="R141" s="398"/>
      <c r="S141" s="399"/>
      <c r="T141" s="399"/>
      <c r="U141" s="399"/>
      <c r="V141" s="399"/>
      <c r="W141" s="399"/>
      <c r="X141" s="399"/>
      <c r="Y141" s="399"/>
      <c r="Z141" s="398"/>
      <c r="AA141" s="398"/>
      <c r="AB141" s="398"/>
      <c r="AC141" s="398"/>
      <c r="AD141" s="398"/>
      <c r="AE141" s="398"/>
      <c r="AF141" s="398"/>
      <c r="AG141" s="398"/>
      <c r="AH141" s="348"/>
      <c r="AI141" s="348"/>
      <c r="AJ141" s="348"/>
      <c r="AK141" s="348"/>
      <c r="AL141" s="348"/>
      <c r="AM141" s="348"/>
      <c r="AN141" s="348"/>
      <c r="AO141" s="348"/>
      <c r="AP141" s="348"/>
      <c r="AQ141" s="348"/>
      <c r="AR141" s="348"/>
      <c r="AS141" s="348"/>
      <c r="AT141" s="348"/>
      <c r="AU141" s="348"/>
      <c r="AV141" s="348"/>
      <c r="AW141" s="348"/>
      <c r="AX141" s="348"/>
      <c r="AY141" s="348"/>
      <c r="AZ141" s="348"/>
      <c r="BA141" s="348"/>
      <c r="BB141" s="348"/>
      <c r="BC141" s="348"/>
      <c r="BD141" s="348"/>
      <c r="BE141" s="348"/>
      <c r="BF141" s="348"/>
      <c r="BG141" s="348"/>
      <c r="BH141" s="353"/>
      <c r="BI141" s="353"/>
      <c r="BJ141" s="353"/>
      <c r="BK141" s="353"/>
      <c r="BL141" s="735"/>
      <c r="BM141" s="735"/>
      <c r="BN141" s="735"/>
      <c r="BO141" s="735"/>
      <c r="BP141" s="735"/>
      <c r="BQ141" s="735"/>
      <c r="BR141" s="388"/>
      <c r="BS141" s="388"/>
      <c r="BT141" s="388"/>
      <c r="BU141" s="388"/>
      <c r="BW141" s="388" t="s">
        <v>852</v>
      </c>
      <c r="CX141" s="388"/>
      <c r="CY141" s="735"/>
      <c r="CZ141" s="735"/>
      <c r="DA141" s="735"/>
      <c r="DB141" s="735"/>
      <c r="DC141" s="735"/>
      <c r="DD141" s="735"/>
      <c r="DE141" s="735"/>
      <c r="DF141" s="735"/>
      <c r="DG141" s="735"/>
      <c r="DH141" s="735"/>
      <c r="DI141" s="399"/>
      <c r="DJ141" s="399"/>
      <c r="DK141" s="399"/>
      <c r="DL141" s="399"/>
      <c r="DM141" s="399"/>
      <c r="DN141" s="350"/>
      <c r="DO141" s="350"/>
      <c r="DP141" s="350"/>
      <c r="DQ141" s="350"/>
      <c r="DR141" s="350"/>
    </row>
    <row r="142" spans="1:122" ht="12.75">
      <c r="A142" s="348"/>
      <c r="B142" s="398"/>
      <c r="C142" s="398"/>
      <c r="D142" s="399"/>
      <c r="E142" s="399"/>
      <c r="F142" s="399"/>
      <c r="G142" s="399"/>
      <c r="H142" s="399"/>
      <c r="I142" s="399"/>
      <c r="J142" s="399"/>
      <c r="K142" s="399"/>
      <c r="L142" s="398"/>
      <c r="M142" s="398"/>
      <c r="N142" s="398"/>
      <c r="O142" s="398"/>
      <c r="P142" s="398"/>
      <c r="Q142" s="398"/>
      <c r="R142" s="398"/>
      <c r="S142" s="399"/>
      <c r="T142" s="399"/>
      <c r="U142" s="399"/>
      <c r="V142" s="399"/>
      <c r="W142" s="399"/>
      <c r="X142" s="399"/>
      <c r="Y142" s="399"/>
      <c r="Z142" s="398"/>
      <c r="AA142" s="398"/>
      <c r="AB142" s="398"/>
      <c r="AC142" s="398"/>
      <c r="AD142" s="398"/>
      <c r="AE142" s="398"/>
      <c r="AF142" s="398"/>
      <c r="AG142" s="398"/>
      <c r="AH142" s="348"/>
      <c r="AI142" s="348"/>
      <c r="AJ142" s="348"/>
      <c r="AK142" s="348"/>
      <c r="AL142" s="348"/>
      <c r="AM142" s="348"/>
      <c r="AN142" s="348"/>
      <c r="AO142" s="348"/>
      <c r="AP142" s="348"/>
      <c r="AQ142" s="348"/>
      <c r="AR142" s="348"/>
      <c r="AS142" s="348"/>
      <c r="AT142" s="348"/>
      <c r="AU142" s="348"/>
      <c r="AV142" s="348"/>
      <c r="AW142" s="348"/>
      <c r="AX142" s="348"/>
      <c r="AY142" s="348"/>
      <c r="AZ142" s="348"/>
      <c r="BA142" s="348"/>
      <c r="BB142" s="348"/>
      <c r="BC142" s="348"/>
      <c r="BD142" s="348"/>
      <c r="BE142" s="348"/>
      <c r="BF142" s="348"/>
      <c r="BG142" s="348"/>
      <c r="BH142" s="353"/>
      <c r="BI142" s="353"/>
      <c r="BJ142" s="353"/>
      <c r="BK142" s="353"/>
      <c r="BL142" s="735"/>
      <c r="BM142" s="735"/>
      <c r="BN142" s="735"/>
      <c r="BO142" s="735"/>
      <c r="BP142" s="735"/>
      <c r="BQ142" s="735"/>
      <c r="BR142" s="388"/>
      <c r="BS142" s="388"/>
      <c r="BT142" s="388"/>
      <c r="BU142" s="388"/>
      <c r="CX142" s="388"/>
      <c r="CY142" s="735"/>
      <c r="CZ142" s="735"/>
      <c r="DA142" s="735"/>
      <c r="DB142" s="735"/>
      <c r="DC142" s="735"/>
      <c r="DD142" s="735"/>
      <c r="DE142" s="735"/>
      <c r="DF142" s="735"/>
      <c r="DG142" s="735"/>
      <c r="DH142" s="735"/>
      <c r="DI142" s="399"/>
      <c r="DJ142" s="399"/>
      <c r="DK142" s="399"/>
      <c r="DL142" s="399"/>
      <c r="DM142" s="399"/>
      <c r="DN142" s="350"/>
      <c r="DO142" s="350"/>
      <c r="DP142" s="350"/>
      <c r="DQ142" s="350"/>
      <c r="DR142" s="350"/>
    </row>
    <row r="143" spans="1:122" ht="12.75">
      <c r="A143" s="348"/>
      <c r="B143" s="398"/>
      <c r="C143" s="398"/>
      <c r="D143" s="399"/>
      <c r="E143" s="399"/>
      <c r="F143" s="399"/>
      <c r="G143" s="399"/>
      <c r="H143" s="399"/>
      <c r="I143" s="399"/>
      <c r="J143" s="399"/>
      <c r="K143" s="399"/>
      <c r="L143" s="398"/>
      <c r="M143" s="398"/>
      <c r="N143" s="398"/>
      <c r="O143" s="398"/>
      <c r="P143" s="398"/>
      <c r="Q143" s="398"/>
      <c r="R143" s="398"/>
      <c r="S143" s="399"/>
      <c r="T143" s="399"/>
      <c r="U143" s="399"/>
      <c r="V143" s="399"/>
      <c r="W143" s="399"/>
      <c r="X143" s="399"/>
      <c r="Y143" s="399"/>
      <c r="Z143" s="398"/>
      <c r="AA143" s="398"/>
      <c r="AB143" s="398"/>
      <c r="AC143" s="398"/>
      <c r="AD143" s="398"/>
      <c r="AE143" s="398"/>
      <c r="AF143" s="398"/>
      <c r="AG143" s="398"/>
      <c r="AH143" s="348"/>
      <c r="AI143" s="348"/>
      <c r="AJ143" s="348"/>
      <c r="AK143" s="348"/>
      <c r="AL143" s="348"/>
      <c r="AM143" s="348"/>
      <c r="AN143" s="348"/>
      <c r="AO143" s="348"/>
      <c r="AP143" s="348"/>
      <c r="AQ143" s="348"/>
      <c r="AR143" s="348"/>
      <c r="AS143" s="348"/>
      <c r="AT143" s="348"/>
      <c r="AU143" s="348"/>
      <c r="AV143" s="348"/>
      <c r="AW143" s="348"/>
      <c r="AX143" s="348"/>
      <c r="AY143" s="348"/>
      <c r="AZ143" s="348"/>
      <c r="BA143" s="348"/>
      <c r="BB143" s="348"/>
      <c r="BC143" s="348"/>
      <c r="BD143" s="348"/>
      <c r="BE143" s="348"/>
      <c r="BF143" s="348"/>
      <c r="BG143" s="348"/>
      <c r="BH143" s="353"/>
      <c r="BI143" s="353"/>
      <c r="BJ143" s="353"/>
      <c r="BK143" s="353"/>
      <c r="BL143" s="735"/>
      <c r="BM143" s="735"/>
      <c r="BN143" s="735"/>
      <c r="BO143" s="735"/>
      <c r="BP143" s="735"/>
      <c r="BQ143" s="735"/>
      <c r="BR143" s="388"/>
      <c r="BS143" s="388"/>
      <c r="BT143" s="388"/>
      <c r="BU143" s="388"/>
      <c r="CX143" s="388"/>
      <c r="CY143" s="735"/>
      <c r="CZ143" s="735"/>
      <c r="DA143" s="735"/>
      <c r="DB143" s="735"/>
      <c r="DC143" s="735"/>
      <c r="DD143" s="735"/>
      <c r="DE143" s="735"/>
      <c r="DF143" s="735"/>
      <c r="DG143" s="735"/>
      <c r="DH143" s="735"/>
      <c r="DI143" s="399"/>
      <c r="DJ143" s="399"/>
      <c r="DK143" s="399"/>
      <c r="DL143" s="399"/>
      <c r="DM143" s="399"/>
      <c r="DN143" s="350"/>
      <c r="DO143" s="350"/>
      <c r="DP143" s="350"/>
      <c r="DQ143" s="350"/>
      <c r="DR143" s="350"/>
    </row>
    <row r="144" spans="1:122" ht="12.75">
      <c r="A144" s="348"/>
      <c r="B144" s="398"/>
      <c r="C144" s="398"/>
      <c r="D144" s="399"/>
      <c r="E144" s="399"/>
      <c r="F144" s="399"/>
      <c r="G144" s="399"/>
      <c r="H144" s="399"/>
      <c r="I144" s="399"/>
      <c r="J144" s="399"/>
      <c r="K144" s="399"/>
      <c r="L144" s="398"/>
      <c r="M144" s="398"/>
      <c r="N144" s="398"/>
      <c r="O144" s="398"/>
      <c r="P144" s="398"/>
      <c r="Q144" s="398"/>
      <c r="R144" s="398"/>
      <c r="S144" s="399"/>
      <c r="T144" s="399"/>
      <c r="U144" s="399"/>
      <c r="V144" s="399"/>
      <c r="W144" s="399"/>
      <c r="X144" s="399"/>
      <c r="Y144" s="399"/>
      <c r="Z144" s="398"/>
      <c r="AA144" s="398"/>
      <c r="AB144" s="398"/>
      <c r="AC144" s="398"/>
      <c r="AD144" s="398"/>
      <c r="AE144" s="398"/>
      <c r="AF144" s="398"/>
      <c r="AG144" s="398"/>
      <c r="AH144" s="348"/>
      <c r="AI144" s="348"/>
      <c r="AJ144" s="348"/>
      <c r="AK144" s="348"/>
      <c r="AL144" s="348"/>
      <c r="AM144" s="348"/>
      <c r="AN144" s="348"/>
      <c r="AO144" s="348"/>
      <c r="AP144" s="348"/>
      <c r="AQ144" s="348"/>
      <c r="AR144" s="348"/>
      <c r="AS144" s="348"/>
      <c r="AT144" s="348"/>
      <c r="AU144" s="348"/>
      <c r="AV144" s="348"/>
      <c r="AW144" s="348"/>
      <c r="AX144" s="348"/>
      <c r="AY144" s="348"/>
      <c r="AZ144" s="348"/>
      <c r="BA144" s="348"/>
      <c r="BB144" s="348"/>
      <c r="BC144" s="348"/>
      <c r="BD144" s="348"/>
      <c r="BE144" s="348"/>
      <c r="BF144" s="348"/>
      <c r="BG144" s="348"/>
      <c r="BH144" s="353"/>
      <c r="BI144" s="353"/>
      <c r="BJ144" s="353"/>
      <c r="BK144" s="353"/>
      <c r="BL144" s="735"/>
      <c r="BM144" s="735"/>
      <c r="BN144" s="735"/>
      <c r="BO144" s="735"/>
      <c r="BP144" s="735"/>
      <c r="BQ144" s="735"/>
      <c r="BR144" s="388"/>
      <c r="BS144" s="388"/>
      <c r="BT144" s="388"/>
      <c r="BU144" s="388"/>
      <c r="CX144" s="388"/>
      <c r="CY144" s="735"/>
      <c r="CZ144" s="735"/>
      <c r="DA144" s="735"/>
      <c r="DB144" s="735"/>
      <c r="DC144" s="735"/>
      <c r="DD144" s="735"/>
      <c r="DE144" s="735"/>
      <c r="DF144" s="735"/>
      <c r="DG144" s="735"/>
      <c r="DH144" s="735"/>
      <c r="DI144" s="399"/>
      <c r="DJ144" s="399"/>
      <c r="DK144" s="399"/>
      <c r="DL144" s="399"/>
      <c r="DM144" s="399"/>
      <c r="DN144" s="350"/>
      <c r="DO144" s="350"/>
      <c r="DP144" s="350"/>
      <c r="DQ144" s="350"/>
      <c r="DR144" s="350"/>
    </row>
    <row r="145" spans="1:122" ht="12.75">
      <c r="A145" s="348"/>
      <c r="B145" s="398"/>
      <c r="C145" s="398"/>
      <c r="D145" s="399"/>
      <c r="E145" s="399"/>
      <c r="F145" s="399"/>
      <c r="G145" s="399"/>
      <c r="H145" s="399"/>
      <c r="I145" s="399"/>
      <c r="J145" s="399"/>
      <c r="K145" s="399"/>
      <c r="L145" s="398"/>
      <c r="M145" s="398"/>
      <c r="N145" s="398"/>
      <c r="O145" s="398"/>
      <c r="P145" s="398"/>
      <c r="Q145" s="398"/>
      <c r="R145" s="398"/>
      <c r="S145" s="399"/>
      <c r="T145" s="399"/>
      <c r="U145" s="399"/>
      <c r="V145" s="399"/>
      <c r="W145" s="399"/>
      <c r="X145" s="399"/>
      <c r="Y145" s="399"/>
      <c r="Z145" s="398"/>
      <c r="AA145" s="398"/>
      <c r="AB145" s="398"/>
      <c r="AC145" s="398"/>
      <c r="AD145" s="398"/>
      <c r="AE145" s="398"/>
      <c r="AF145" s="398"/>
      <c r="AG145" s="398"/>
      <c r="AH145" s="348"/>
      <c r="AI145" s="348"/>
      <c r="AJ145" s="348"/>
      <c r="AK145" s="348"/>
      <c r="AL145" s="348"/>
      <c r="AM145" s="348"/>
      <c r="AN145" s="348"/>
      <c r="AO145" s="348"/>
      <c r="AP145" s="348"/>
      <c r="AQ145" s="348"/>
      <c r="AR145" s="348"/>
      <c r="AS145" s="348"/>
      <c r="AT145" s="348"/>
      <c r="AU145" s="348"/>
      <c r="AV145" s="348"/>
      <c r="AW145" s="348"/>
      <c r="AX145" s="348"/>
      <c r="AY145" s="348"/>
      <c r="AZ145" s="348"/>
      <c r="BA145" s="348"/>
      <c r="BB145" s="348"/>
      <c r="BC145" s="348"/>
      <c r="BD145" s="348"/>
      <c r="BE145" s="348"/>
      <c r="BF145" s="348"/>
      <c r="BG145" s="348"/>
      <c r="BH145" s="353"/>
      <c r="BI145" s="353"/>
      <c r="BJ145" s="353"/>
      <c r="BK145" s="353"/>
      <c r="BL145" s="735"/>
      <c r="BM145" s="735"/>
      <c r="BN145" s="735"/>
      <c r="BO145" s="735"/>
      <c r="BP145" s="735"/>
      <c r="BQ145" s="735"/>
      <c r="BR145" s="735"/>
      <c r="BS145" s="735"/>
      <c r="BT145" s="735"/>
      <c r="BU145" s="735"/>
      <c r="BV145" s="735"/>
      <c r="BW145" s="735"/>
      <c r="BX145" s="735"/>
      <c r="BY145" s="735"/>
      <c r="BZ145" s="735"/>
      <c r="CA145" s="735"/>
      <c r="CB145" s="735"/>
      <c r="CC145" s="735"/>
      <c r="CD145" s="735"/>
      <c r="CE145" s="735"/>
      <c r="CF145" s="735"/>
      <c r="CG145" s="735"/>
      <c r="CH145" s="735"/>
      <c r="CI145" s="735"/>
      <c r="CJ145" s="735"/>
      <c r="CK145" s="735"/>
      <c r="CL145" s="735"/>
      <c r="CM145" s="735"/>
      <c r="CN145" s="735"/>
      <c r="CO145" s="735"/>
      <c r="CP145" s="735"/>
      <c r="CQ145" s="735"/>
      <c r="CR145" s="735"/>
      <c r="CS145" s="735"/>
      <c r="CT145" s="735"/>
      <c r="CU145" s="735"/>
      <c r="CV145" s="735"/>
      <c r="CW145" s="735"/>
      <c r="CX145" s="735"/>
      <c r="CY145" s="735"/>
      <c r="CZ145" s="735"/>
      <c r="DA145" s="735"/>
      <c r="DB145" s="735"/>
      <c r="DC145" s="735"/>
      <c r="DD145" s="735"/>
      <c r="DE145" s="735"/>
      <c r="DF145" s="735"/>
      <c r="DG145" s="735"/>
      <c r="DH145" s="735"/>
      <c r="DI145" s="353"/>
      <c r="DJ145" s="353"/>
      <c r="DK145" s="353"/>
      <c r="DL145" s="353"/>
      <c r="DM145" s="353"/>
      <c r="DN145" s="353"/>
      <c r="DO145" s="353"/>
      <c r="DP145" s="353"/>
      <c r="DQ145" s="353"/>
      <c r="DR145" s="353"/>
    </row>
    <row r="146" spans="1:122" ht="12.75">
      <c r="A146" s="348"/>
      <c r="B146" s="398"/>
      <c r="C146" s="398"/>
      <c r="D146" s="399"/>
      <c r="E146" s="399"/>
      <c r="F146" s="399"/>
      <c r="G146" s="399"/>
      <c r="H146" s="399"/>
      <c r="I146" s="399"/>
      <c r="J146" s="399"/>
      <c r="K146" s="399"/>
      <c r="L146" s="398"/>
      <c r="M146" s="398"/>
      <c r="N146" s="398"/>
      <c r="O146" s="398"/>
      <c r="P146" s="398"/>
      <c r="Q146" s="398"/>
      <c r="R146" s="398"/>
      <c r="S146" s="399"/>
      <c r="T146" s="399"/>
      <c r="U146" s="399"/>
      <c r="V146" s="399"/>
      <c r="W146" s="399"/>
      <c r="X146" s="399"/>
      <c r="Y146" s="399"/>
      <c r="Z146" s="398"/>
      <c r="AA146" s="398"/>
      <c r="AB146" s="398"/>
      <c r="AC146" s="398"/>
      <c r="AD146" s="398"/>
      <c r="AE146" s="398"/>
      <c r="AF146" s="398"/>
      <c r="AG146" s="398"/>
      <c r="AH146" s="348"/>
      <c r="AI146" s="348"/>
      <c r="AJ146" s="348"/>
      <c r="AK146" s="348"/>
      <c r="AL146" s="348"/>
      <c r="AM146" s="348"/>
      <c r="AN146" s="348"/>
      <c r="AO146" s="348"/>
      <c r="AP146" s="348"/>
      <c r="AQ146" s="348"/>
      <c r="AR146" s="348"/>
      <c r="AS146" s="348"/>
      <c r="AT146" s="348"/>
      <c r="AU146" s="348"/>
      <c r="AV146" s="348"/>
      <c r="AW146" s="348"/>
      <c r="AX146" s="348"/>
      <c r="AY146" s="348"/>
      <c r="AZ146" s="348"/>
      <c r="BA146" s="348"/>
      <c r="BB146" s="348"/>
      <c r="BC146" s="348"/>
      <c r="BD146" s="348"/>
      <c r="BE146" s="348"/>
      <c r="BF146" s="348"/>
      <c r="BG146" s="348"/>
      <c r="BH146" s="353"/>
      <c r="BI146" s="353"/>
      <c r="BJ146" s="353"/>
      <c r="BK146" s="353"/>
      <c r="BL146" s="735"/>
      <c r="BM146" s="735"/>
      <c r="BN146" s="735"/>
      <c r="BO146" s="735"/>
      <c r="BP146" s="735"/>
      <c r="BQ146" s="735"/>
      <c r="BR146" s="735"/>
      <c r="BS146" s="735"/>
      <c r="BT146" s="735"/>
      <c r="BU146" s="735"/>
      <c r="BV146" s="735"/>
      <c r="BW146" s="735"/>
      <c r="BX146" s="735"/>
      <c r="BY146" s="735"/>
      <c r="BZ146" s="735"/>
      <c r="CA146" s="735"/>
      <c r="CB146" s="735"/>
      <c r="CC146" s="735"/>
      <c r="CD146" s="735"/>
      <c r="CE146" s="735"/>
      <c r="CF146" s="735"/>
      <c r="CG146" s="735"/>
      <c r="CH146" s="735"/>
      <c r="CI146" s="735"/>
      <c r="CJ146" s="735"/>
      <c r="CK146" s="735"/>
      <c r="CL146" s="735"/>
      <c r="CM146" s="735"/>
      <c r="CN146" s="735"/>
      <c r="CO146" s="735"/>
      <c r="CP146" s="735"/>
      <c r="CQ146" s="735"/>
      <c r="CR146" s="735"/>
      <c r="CS146" s="735"/>
      <c r="CT146" s="735"/>
      <c r="CU146" s="735"/>
      <c r="CV146" s="735"/>
      <c r="CW146" s="735"/>
      <c r="CX146" s="735"/>
      <c r="CY146" s="735"/>
      <c r="CZ146" s="735"/>
      <c r="DA146" s="735"/>
      <c r="DB146" s="735"/>
      <c r="DC146" s="735"/>
      <c r="DD146" s="735"/>
      <c r="DE146" s="735"/>
      <c r="DF146" s="735"/>
      <c r="DG146" s="735"/>
      <c r="DH146" s="735"/>
      <c r="DI146" s="353"/>
      <c r="DJ146" s="353"/>
      <c r="DK146" s="353"/>
      <c r="DL146" s="353"/>
      <c r="DM146" s="353"/>
      <c r="DN146" s="353"/>
      <c r="DO146" s="353"/>
      <c r="DP146" s="353"/>
      <c r="DQ146" s="353"/>
      <c r="DR146" s="353"/>
    </row>
    <row r="147" spans="1:122" ht="12.75">
      <c r="A147" s="348"/>
      <c r="B147" s="398"/>
      <c r="C147" s="398"/>
      <c r="D147" s="399"/>
      <c r="E147" s="399"/>
      <c r="F147" s="399"/>
      <c r="G147" s="399"/>
      <c r="H147" s="399"/>
      <c r="I147" s="399"/>
      <c r="J147" s="399"/>
      <c r="K147" s="399"/>
      <c r="L147" s="398"/>
      <c r="M147" s="398"/>
      <c r="N147" s="398"/>
      <c r="O147" s="398"/>
      <c r="P147" s="398"/>
      <c r="Q147" s="398"/>
      <c r="R147" s="398"/>
      <c r="S147" s="399"/>
      <c r="T147" s="399"/>
      <c r="U147" s="399"/>
      <c r="V147" s="399"/>
      <c r="W147" s="399"/>
      <c r="X147" s="399"/>
      <c r="Y147" s="399"/>
      <c r="Z147" s="398"/>
      <c r="AA147" s="398"/>
      <c r="AB147" s="398"/>
      <c r="AC147" s="398"/>
      <c r="AD147" s="398"/>
      <c r="AE147" s="398"/>
      <c r="AF147" s="398"/>
      <c r="AG147" s="398"/>
      <c r="AH147" s="348"/>
      <c r="AI147" s="348"/>
      <c r="AJ147" s="348"/>
      <c r="AK147" s="348"/>
      <c r="AL147" s="348"/>
      <c r="AM147" s="348"/>
      <c r="AN147" s="348"/>
      <c r="AO147" s="348"/>
      <c r="AP147" s="348"/>
      <c r="AQ147" s="348"/>
      <c r="AR147" s="348"/>
      <c r="AS147" s="348"/>
      <c r="AT147" s="348"/>
      <c r="AU147" s="348"/>
      <c r="AV147" s="348"/>
      <c r="AW147" s="348"/>
      <c r="AX147" s="348"/>
      <c r="AY147" s="348"/>
      <c r="AZ147" s="348"/>
      <c r="BA147" s="348"/>
      <c r="BB147" s="348"/>
      <c r="BC147" s="348"/>
      <c r="BD147" s="348"/>
      <c r="BE147" s="348"/>
      <c r="BF147" s="348"/>
      <c r="BG147" s="348"/>
      <c r="BH147" s="353"/>
      <c r="BI147" s="353"/>
      <c r="BJ147" s="353"/>
      <c r="BK147" s="353"/>
      <c r="BL147" s="353"/>
      <c r="BM147" s="353"/>
      <c r="BN147" s="353"/>
      <c r="BO147" s="353"/>
      <c r="BP147" s="353"/>
      <c r="BQ147" s="353"/>
      <c r="BR147" s="353"/>
      <c r="BS147" s="353"/>
      <c r="BT147" s="353"/>
      <c r="BU147" s="353"/>
      <c r="BV147" s="353"/>
      <c r="BW147" s="353"/>
      <c r="BX147" s="353"/>
      <c r="BY147" s="353"/>
      <c r="BZ147" s="353"/>
      <c r="CA147" s="353"/>
      <c r="CB147" s="353"/>
      <c r="CC147" s="353"/>
      <c r="CD147" s="353"/>
      <c r="CE147" s="353"/>
      <c r="CF147" s="353"/>
      <c r="CG147" s="353"/>
      <c r="CH147" s="353"/>
      <c r="CI147" s="353"/>
      <c r="CJ147" s="353"/>
      <c r="CK147" s="353"/>
      <c r="CL147" s="353"/>
      <c r="CM147" s="353"/>
      <c r="CN147" s="353"/>
      <c r="CO147" s="353"/>
      <c r="CP147" s="353"/>
      <c r="CQ147" s="353"/>
      <c r="CR147" s="353"/>
      <c r="CS147" s="353"/>
      <c r="CT147" s="353"/>
      <c r="CU147" s="353"/>
      <c r="CV147" s="353"/>
      <c r="CW147" s="353"/>
      <c r="CX147" s="353"/>
      <c r="CY147" s="353"/>
      <c r="CZ147" s="353"/>
      <c r="DA147" s="353"/>
      <c r="DB147" s="353"/>
      <c r="DC147" s="353"/>
      <c r="DD147" s="353"/>
      <c r="DE147" s="353"/>
      <c r="DF147" s="353"/>
      <c r="DG147" s="353"/>
      <c r="DH147" s="353"/>
      <c r="DI147" s="353"/>
      <c r="DJ147" s="353"/>
      <c r="DK147" s="353"/>
      <c r="DL147" s="353"/>
      <c r="DM147" s="353"/>
      <c r="DN147" s="353"/>
      <c r="DO147" s="353"/>
      <c r="DP147" s="353"/>
      <c r="DQ147" s="353"/>
      <c r="DR147" s="353"/>
    </row>
    <row r="148" spans="1:122" ht="12.75">
      <c r="A148" s="348"/>
      <c r="B148" s="398"/>
      <c r="C148" s="398"/>
      <c r="D148" s="399"/>
      <c r="E148" s="399"/>
      <c r="F148" s="399"/>
      <c r="G148" s="399"/>
      <c r="H148" s="399"/>
      <c r="I148" s="399"/>
      <c r="J148" s="399"/>
      <c r="K148" s="399"/>
      <c r="L148" s="398"/>
      <c r="M148" s="398"/>
      <c r="N148" s="398"/>
      <c r="O148" s="398"/>
      <c r="P148" s="398"/>
      <c r="Q148" s="398"/>
      <c r="R148" s="398"/>
      <c r="S148" s="399"/>
      <c r="T148" s="399"/>
      <c r="U148" s="399"/>
      <c r="V148" s="399"/>
      <c r="W148" s="399"/>
      <c r="X148" s="399"/>
      <c r="Y148" s="399"/>
      <c r="Z148" s="398"/>
      <c r="AA148" s="398"/>
      <c r="AB148" s="398"/>
      <c r="AC148" s="398"/>
      <c r="AD148" s="398"/>
      <c r="AE148" s="398"/>
      <c r="AF148" s="398"/>
      <c r="AG148" s="398"/>
      <c r="AH148" s="348"/>
      <c r="AI148" s="348"/>
      <c r="AJ148" s="348"/>
      <c r="AK148" s="348"/>
      <c r="AL148" s="348"/>
      <c r="AM148" s="348"/>
      <c r="AN148" s="348"/>
      <c r="AO148" s="348"/>
      <c r="AP148" s="348"/>
      <c r="AQ148" s="348"/>
      <c r="AR148" s="348"/>
      <c r="AS148" s="348"/>
      <c r="AT148" s="348"/>
      <c r="AU148" s="348"/>
      <c r="AV148" s="348"/>
      <c r="AW148" s="348"/>
      <c r="AX148" s="348"/>
      <c r="AY148" s="348"/>
      <c r="AZ148" s="348"/>
      <c r="BA148" s="348"/>
      <c r="BB148" s="348"/>
      <c r="BC148" s="348"/>
      <c r="BD148" s="348"/>
      <c r="BE148" s="348"/>
      <c r="BF148" s="348"/>
      <c r="BG148" s="348"/>
      <c r="BH148" s="353"/>
      <c r="BI148" s="353"/>
      <c r="BJ148" s="353"/>
      <c r="BK148" s="353"/>
      <c r="BL148" s="353"/>
      <c r="BM148" s="353"/>
      <c r="BN148" s="353"/>
      <c r="BO148" s="353"/>
      <c r="BP148" s="353"/>
      <c r="BQ148" s="353"/>
      <c r="BR148" s="353"/>
      <c r="BS148" s="353"/>
      <c r="BT148" s="353"/>
      <c r="BU148" s="353"/>
      <c r="BV148" s="353"/>
      <c r="BW148" s="353"/>
      <c r="BX148" s="353"/>
      <c r="BY148" s="353"/>
      <c r="BZ148" s="353"/>
      <c r="CA148" s="353"/>
      <c r="CB148" s="353"/>
      <c r="CC148" s="353"/>
      <c r="CD148" s="353"/>
      <c r="CE148" s="353"/>
      <c r="CF148" s="353"/>
      <c r="CG148" s="353"/>
      <c r="CH148" s="353"/>
      <c r="CI148" s="353"/>
      <c r="CJ148" s="353"/>
      <c r="CK148" s="353"/>
      <c r="CL148" s="353"/>
      <c r="CM148" s="353"/>
      <c r="CN148" s="353"/>
      <c r="CO148" s="353"/>
      <c r="CP148" s="353"/>
      <c r="CQ148" s="353"/>
      <c r="CR148" s="353"/>
      <c r="CS148" s="353"/>
      <c r="CT148" s="353"/>
      <c r="CU148" s="353"/>
      <c r="CV148" s="353"/>
      <c r="CW148" s="353"/>
      <c r="CX148" s="353"/>
      <c r="CY148" s="353"/>
      <c r="CZ148" s="353"/>
      <c r="DA148" s="353"/>
      <c r="DB148" s="353"/>
      <c r="DC148" s="353"/>
      <c r="DD148" s="353"/>
      <c r="DE148" s="353"/>
      <c r="DF148" s="353"/>
      <c r="DG148" s="353"/>
      <c r="DH148" s="353"/>
      <c r="DI148" s="353"/>
      <c r="DJ148" s="353"/>
      <c r="DK148" s="353"/>
      <c r="DL148" s="353"/>
      <c r="DM148" s="353"/>
      <c r="DN148" s="353"/>
      <c r="DO148" s="353"/>
      <c r="DP148" s="353"/>
      <c r="DQ148" s="353"/>
      <c r="DR148" s="353"/>
    </row>
    <row r="149" spans="1:122" ht="12.75">
      <c r="A149" s="348"/>
      <c r="B149" s="398"/>
      <c r="C149" s="398"/>
      <c r="D149" s="399"/>
      <c r="E149" s="399"/>
      <c r="F149" s="399"/>
      <c r="G149" s="399"/>
      <c r="H149" s="399"/>
      <c r="I149" s="399"/>
      <c r="J149" s="399"/>
      <c r="K149" s="399"/>
      <c r="L149" s="398"/>
      <c r="M149" s="398"/>
      <c r="N149" s="398"/>
      <c r="O149" s="398"/>
      <c r="P149" s="398"/>
      <c r="Q149" s="398"/>
      <c r="R149" s="398"/>
      <c r="S149" s="399"/>
      <c r="T149" s="399"/>
      <c r="U149" s="399"/>
      <c r="V149" s="399"/>
      <c r="W149" s="399"/>
      <c r="X149" s="399"/>
      <c r="Y149" s="399"/>
      <c r="Z149" s="398"/>
      <c r="AA149" s="398"/>
      <c r="AB149" s="398"/>
      <c r="AC149" s="398"/>
      <c r="AD149" s="398"/>
      <c r="AE149" s="398"/>
      <c r="AF149" s="398"/>
      <c r="AG149" s="398"/>
      <c r="AH149" s="348"/>
      <c r="AI149" s="348"/>
      <c r="AJ149" s="348"/>
      <c r="AK149" s="348"/>
      <c r="AL149" s="348"/>
      <c r="AM149" s="348"/>
      <c r="AN149" s="348"/>
      <c r="AO149" s="348"/>
      <c r="AP149" s="348"/>
      <c r="AQ149" s="348"/>
      <c r="AR149" s="348"/>
      <c r="AS149" s="348"/>
      <c r="AT149" s="348"/>
      <c r="AU149" s="348"/>
      <c r="AV149" s="348"/>
      <c r="AW149" s="348"/>
      <c r="AX149" s="348"/>
      <c r="AY149" s="348"/>
      <c r="AZ149" s="348"/>
      <c r="BA149" s="348"/>
      <c r="BB149" s="348"/>
      <c r="BC149" s="348"/>
      <c r="BD149" s="348"/>
      <c r="BE149" s="348"/>
      <c r="BF149" s="348"/>
      <c r="BG149" s="348"/>
      <c r="BH149" s="353"/>
      <c r="BI149" s="353"/>
      <c r="BJ149" s="353"/>
      <c r="BK149" s="353"/>
      <c r="BL149" s="353"/>
      <c r="BM149" s="353"/>
      <c r="BN149" s="353"/>
      <c r="BO149" s="353"/>
      <c r="BP149" s="353"/>
      <c r="BQ149" s="353"/>
      <c r="BR149" s="353"/>
      <c r="BS149" s="353"/>
      <c r="BT149" s="353"/>
      <c r="BU149" s="353"/>
      <c r="BV149" s="353"/>
      <c r="BW149" s="353"/>
      <c r="BX149" s="353"/>
      <c r="BY149" s="353"/>
      <c r="BZ149" s="353"/>
      <c r="CA149" s="353"/>
      <c r="CB149" s="353"/>
      <c r="CC149" s="353"/>
      <c r="CD149" s="353"/>
      <c r="CE149" s="353"/>
      <c r="CF149" s="353"/>
      <c r="CG149" s="353"/>
      <c r="CH149" s="353"/>
      <c r="CI149" s="353"/>
      <c r="CJ149" s="353"/>
      <c r="CK149" s="353"/>
      <c r="CL149" s="353"/>
      <c r="CM149" s="353"/>
      <c r="CN149" s="353"/>
      <c r="CO149" s="353"/>
      <c r="CP149" s="353"/>
      <c r="CQ149" s="353"/>
      <c r="CR149" s="353"/>
      <c r="CS149" s="353"/>
      <c r="CT149" s="353"/>
      <c r="CU149" s="353"/>
      <c r="CV149" s="353"/>
      <c r="CW149" s="353"/>
      <c r="CX149" s="353"/>
      <c r="CY149" s="353"/>
      <c r="CZ149" s="353"/>
      <c r="DA149" s="353"/>
      <c r="DB149" s="353"/>
      <c r="DC149" s="353"/>
      <c r="DD149" s="353"/>
      <c r="DE149" s="353"/>
      <c r="DF149" s="353"/>
      <c r="DG149" s="353"/>
      <c r="DH149" s="353"/>
      <c r="DI149" s="353"/>
      <c r="DJ149" s="353"/>
      <c r="DK149" s="353"/>
      <c r="DL149" s="353"/>
      <c r="DM149" s="353"/>
      <c r="DN149" s="353"/>
      <c r="DO149" s="353"/>
      <c r="DP149" s="353"/>
      <c r="DQ149" s="353"/>
      <c r="DR149" s="353"/>
    </row>
    <row r="150" spans="1:122" ht="12.75">
      <c r="A150" s="348"/>
      <c r="B150" s="398"/>
      <c r="C150" s="398"/>
      <c r="D150" s="399"/>
      <c r="E150" s="399"/>
      <c r="F150" s="399"/>
      <c r="G150" s="399"/>
      <c r="H150" s="399"/>
      <c r="I150" s="399"/>
      <c r="J150" s="399"/>
      <c r="K150" s="399"/>
      <c r="L150" s="398"/>
      <c r="M150" s="398"/>
      <c r="N150" s="398"/>
      <c r="O150" s="398"/>
      <c r="P150" s="398"/>
      <c r="Q150" s="398"/>
      <c r="R150" s="398"/>
      <c r="S150" s="399"/>
      <c r="T150" s="399"/>
      <c r="U150" s="399"/>
      <c r="V150" s="399"/>
      <c r="W150" s="399"/>
      <c r="X150" s="399"/>
      <c r="Y150" s="399"/>
      <c r="Z150" s="398"/>
      <c r="AA150" s="398"/>
      <c r="AB150" s="398"/>
      <c r="AC150" s="398"/>
      <c r="AD150" s="398"/>
      <c r="AE150" s="398"/>
      <c r="AF150" s="398"/>
      <c r="AG150" s="398"/>
      <c r="AH150" s="348"/>
      <c r="AI150" s="348"/>
      <c r="AJ150" s="348"/>
      <c r="AK150" s="348"/>
      <c r="AL150" s="348"/>
      <c r="AM150" s="348"/>
      <c r="AN150" s="348"/>
      <c r="AO150" s="348"/>
      <c r="AP150" s="348"/>
      <c r="AQ150" s="348"/>
      <c r="AR150" s="348"/>
      <c r="AS150" s="348"/>
      <c r="AT150" s="348"/>
      <c r="AU150" s="348"/>
      <c r="AV150" s="348"/>
      <c r="AW150" s="348"/>
      <c r="AX150" s="348"/>
      <c r="AY150" s="348"/>
      <c r="AZ150" s="348"/>
      <c r="BA150" s="348"/>
      <c r="BB150" s="348"/>
      <c r="BC150" s="348"/>
      <c r="BD150" s="348"/>
      <c r="BE150" s="348"/>
      <c r="BF150" s="348"/>
      <c r="BG150" s="348"/>
      <c r="BH150" s="353"/>
      <c r="BI150" s="353"/>
      <c r="BJ150" s="353"/>
      <c r="BK150" s="353"/>
      <c r="BL150" s="353"/>
      <c r="BM150" s="353"/>
      <c r="BN150" s="353"/>
      <c r="BO150" s="353"/>
      <c r="BP150" s="353"/>
      <c r="BQ150" s="353"/>
      <c r="BR150" s="353"/>
      <c r="BS150" s="353"/>
      <c r="BT150" s="353"/>
      <c r="BU150" s="353"/>
      <c r="BV150" s="353"/>
      <c r="BW150" s="353"/>
      <c r="BX150" s="353"/>
      <c r="BY150" s="353"/>
      <c r="BZ150" s="353"/>
      <c r="CA150" s="353"/>
      <c r="CB150" s="353"/>
      <c r="CC150" s="353"/>
      <c r="CD150" s="353"/>
      <c r="CE150" s="353"/>
      <c r="CF150" s="353"/>
      <c r="CG150" s="353"/>
      <c r="CH150" s="353"/>
      <c r="CI150" s="353"/>
      <c r="CJ150" s="353"/>
      <c r="CK150" s="353"/>
      <c r="CL150" s="353"/>
      <c r="CM150" s="353"/>
      <c r="CN150" s="353"/>
      <c r="CO150" s="353"/>
      <c r="CP150" s="353"/>
      <c r="CQ150" s="353"/>
      <c r="CR150" s="353"/>
      <c r="CS150" s="353"/>
      <c r="CT150" s="353"/>
      <c r="CU150" s="353"/>
      <c r="CV150" s="353"/>
      <c r="CW150" s="353"/>
      <c r="CX150" s="353"/>
      <c r="CY150" s="353"/>
      <c r="CZ150" s="353"/>
      <c r="DA150" s="353"/>
      <c r="DB150" s="353"/>
      <c r="DC150" s="353"/>
      <c r="DD150" s="353"/>
      <c r="DE150" s="353"/>
      <c r="DF150" s="353"/>
      <c r="DG150" s="353"/>
      <c r="DH150" s="353"/>
      <c r="DI150" s="353"/>
      <c r="DJ150" s="353"/>
      <c r="DK150" s="353"/>
      <c r="DL150" s="353"/>
      <c r="DM150" s="353"/>
      <c r="DN150" s="353"/>
      <c r="DO150" s="353"/>
      <c r="DP150" s="353"/>
      <c r="DQ150" s="353"/>
      <c r="DR150" s="353"/>
    </row>
    <row r="151" spans="1:122" ht="12.75">
      <c r="A151" s="348"/>
      <c r="B151" s="398"/>
      <c r="C151" s="398"/>
      <c r="D151" s="399"/>
      <c r="E151" s="399"/>
      <c r="F151" s="399"/>
      <c r="G151" s="399"/>
      <c r="H151" s="399"/>
      <c r="I151" s="399"/>
      <c r="J151" s="399"/>
      <c r="K151" s="399"/>
      <c r="L151" s="398"/>
      <c r="M151" s="398"/>
      <c r="N151" s="398"/>
      <c r="O151" s="398"/>
      <c r="P151" s="398"/>
      <c r="Q151" s="398"/>
      <c r="R151" s="398"/>
      <c r="S151" s="399"/>
      <c r="T151" s="399"/>
      <c r="U151" s="399"/>
      <c r="V151" s="399"/>
      <c r="W151" s="399"/>
      <c r="X151" s="399"/>
      <c r="Y151" s="399"/>
      <c r="Z151" s="398"/>
      <c r="AA151" s="398"/>
      <c r="AB151" s="398"/>
      <c r="AC151" s="398"/>
      <c r="AD151" s="398"/>
      <c r="AE151" s="398"/>
      <c r="AF151" s="398"/>
      <c r="AG151" s="398"/>
      <c r="AH151" s="348"/>
      <c r="AI151" s="348"/>
      <c r="AJ151" s="348"/>
      <c r="AK151" s="348"/>
      <c r="AL151" s="348"/>
      <c r="AM151" s="348"/>
      <c r="AN151" s="348"/>
      <c r="AO151" s="348"/>
      <c r="AP151" s="348"/>
      <c r="AQ151" s="348"/>
      <c r="AR151" s="348"/>
      <c r="AS151" s="348"/>
      <c r="AT151" s="348"/>
      <c r="AU151" s="348"/>
      <c r="AV151" s="348"/>
      <c r="AW151" s="348"/>
      <c r="AX151" s="348"/>
      <c r="AY151" s="348"/>
      <c r="AZ151" s="348"/>
      <c r="BA151" s="348"/>
      <c r="BB151" s="348"/>
      <c r="BC151" s="348"/>
      <c r="BD151" s="348"/>
      <c r="BE151" s="348"/>
      <c r="BF151" s="348"/>
      <c r="BG151" s="348"/>
      <c r="BH151" s="353"/>
      <c r="BI151" s="353"/>
      <c r="BJ151" s="353"/>
      <c r="BK151" s="353"/>
      <c r="BL151" s="353"/>
      <c r="BM151" s="353"/>
      <c r="BN151" s="353"/>
      <c r="BO151" s="353"/>
      <c r="BP151" s="353"/>
      <c r="BQ151" s="353"/>
      <c r="BR151" s="353"/>
      <c r="BS151" s="353"/>
      <c r="BT151" s="353"/>
      <c r="BU151" s="353"/>
      <c r="BV151" s="353"/>
      <c r="BW151" s="353"/>
      <c r="BX151" s="353"/>
      <c r="BY151" s="353"/>
      <c r="BZ151" s="353"/>
      <c r="CA151" s="353"/>
      <c r="CB151" s="353"/>
      <c r="CC151" s="353"/>
      <c r="CD151" s="353"/>
      <c r="CE151" s="353"/>
      <c r="CF151" s="353"/>
      <c r="CG151" s="353"/>
      <c r="CH151" s="353"/>
      <c r="CI151" s="353"/>
      <c r="CJ151" s="353"/>
      <c r="CK151" s="353"/>
      <c r="CL151" s="353"/>
      <c r="CM151" s="353"/>
      <c r="CN151" s="353"/>
      <c r="CO151" s="353"/>
      <c r="CP151" s="353"/>
      <c r="CQ151" s="353"/>
      <c r="CR151" s="353"/>
      <c r="CS151" s="353"/>
      <c r="CT151" s="353"/>
      <c r="CU151" s="353"/>
      <c r="CV151" s="353"/>
      <c r="CW151" s="353"/>
      <c r="CX151" s="353"/>
      <c r="CY151" s="353"/>
      <c r="CZ151" s="353"/>
      <c r="DA151" s="353"/>
      <c r="DB151" s="353"/>
      <c r="DC151" s="353"/>
      <c r="DD151" s="353"/>
      <c r="DE151" s="353"/>
      <c r="DF151" s="353"/>
      <c r="DG151" s="353"/>
      <c r="DH151" s="353"/>
      <c r="DI151" s="353"/>
      <c r="DJ151" s="353"/>
      <c r="DK151" s="353"/>
      <c r="DL151" s="353"/>
      <c r="DM151" s="353"/>
      <c r="DN151" s="353"/>
      <c r="DO151" s="353"/>
      <c r="DP151" s="353"/>
      <c r="DQ151" s="353"/>
      <c r="DR151" s="353"/>
    </row>
    <row r="152" spans="1:122" ht="12.75">
      <c r="A152" s="348"/>
      <c r="B152" s="398"/>
      <c r="C152" s="398"/>
      <c r="D152" s="399"/>
      <c r="E152" s="399"/>
      <c r="F152" s="399"/>
      <c r="G152" s="399"/>
      <c r="H152" s="399"/>
      <c r="I152" s="399"/>
      <c r="J152" s="399"/>
      <c r="K152" s="399"/>
      <c r="L152" s="398"/>
      <c r="M152" s="398"/>
      <c r="N152" s="398"/>
      <c r="O152" s="398"/>
      <c r="P152" s="398"/>
      <c r="Q152" s="398"/>
      <c r="R152" s="398"/>
      <c r="S152" s="399"/>
      <c r="T152" s="399"/>
      <c r="U152" s="399"/>
      <c r="V152" s="399"/>
      <c r="W152" s="399"/>
      <c r="X152" s="399"/>
      <c r="Y152" s="399"/>
      <c r="Z152" s="398"/>
      <c r="AA152" s="398"/>
      <c r="AB152" s="398"/>
      <c r="AC152" s="398"/>
      <c r="AD152" s="398"/>
      <c r="AE152" s="398"/>
      <c r="AF152" s="398"/>
      <c r="AG152" s="398"/>
      <c r="AH152" s="348"/>
      <c r="AI152" s="348"/>
      <c r="AJ152" s="348"/>
      <c r="AK152" s="348"/>
      <c r="AL152" s="348"/>
      <c r="AM152" s="348"/>
      <c r="AN152" s="348"/>
      <c r="AO152" s="348"/>
      <c r="AP152" s="348"/>
      <c r="AQ152" s="348"/>
      <c r="AR152" s="348"/>
      <c r="AS152" s="348"/>
      <c r="AT152" s="348"/>
      <c r="AU152" s="348"/>
      <c r="AV152" s="348"/>
      <c r="AW152" s="348"/>
      <c r="AX152" s="348"/>
      <c r="AY152" s="348"/>
      <c r="AZ152" s="348"/>
      <c r="BA152" s="348"/>
      <c r="BB152" s="348"/>
      <c r="BC152" s="348"/>
      <c r="BD152" s="348"/>
      <c r="BE152" s="348"/>
      <c r="BF152" s="348"/>
      <c r="BG152" s="348"/>
      <c r="BH152" s="353"/>
      <c r="BI152" s="353"/>
      <c r="BJ152" s="353"/>
      <c r="BK152" s="353"/>
      <c r="BL152" s="353"/>
      <c r="BM152" s="353"/>
      <c r="BN152" s="353"/>
      <c r="BO152" s="353"/>
      <c r="BP152" s="353"/>
      <c r="BQ152" s="353"/>
      <c r="BR152" s="353"/>
      <c r="BS152" s="353"/>
      <c r="BT152" s="353"/>
      <c r="BU152" s="353"/>
      <c r="BV152" s="353"/>
      <c r="BW152" s="353"/>
      <c r="BX152" s="353"/>
      <c r="BY152" s="353"/>
      <c r="BZ152" s="353"/>
      <c r="CA152" s="353"/>
      <c r="CB152" s="353"/>
      <c r="CC152" s="353"/>
      <c r="CD152" s="353"/>
      <c r="CE152" s="353"/>
      <c r="CF152" s="353"/>
      <c r="CG152" s="353"/>
      <c r="CH152" s="353"/>
      <c r="CI152" s="353"/>
      <c r="CJ152" s="353"/>
      <c r="CK152" s="353"/>
      <c r="CL152" s="353"/>
      <c r="CM152" s="353"/>
      <c r="CN152" s="353"/>
      <c r="CO152" s="353"/>
      <c r="CP152" s="353"/>
      <c r="CQ152" s="353"/>
      <c r="CR152" s="353"/>
      <c r="CS152" s="353"/>
      <c r="CT152" s="353"/>
      <c r="CU152" s="353"/>
      <c r="CV152" s="353"/>
      <c r="CW152" s="353"/>
      <c r="CX152" s="353"/>
      <c r="CY152" s="353"/>
      <c r="CZ152" s="353"/>
      <c r="DA152" s="353"/>
      <c r="DB152" s="353"/>
      <c r="DC152" s="353"/>
      <c r="DD152" s="353"/>
      <c r="DE152" s="353"/>
      <c r="DF152" s="353"/>
      <c r="DG152" s="353"/>
      <c r="DH152" s="353"/>
      <c r="DI152" s="353"/>
      <c r="DJ152" s="353"/>
      <c r="DK152" s="353"/>
      <c r="DL152" s="353"/>
      <c r="DM152" s="353"/>
      <c r="DN152" s="353"/>
      <c r="DO152" s="353"/>
      <c r="DP152" s="353"/>
      <c r="DQ152" s="353"/>
      <c r="DR152" s="353"/>
    </row>
    <row r="153" spans="1:122" ht="12.75">
      <c r="A153" s="348"/>
      <c r="B153" s="398"/>
      <c r="C153" s="398"/>
      <c r="D153" s="399"/>
      <c r="E153" s="399"/>
      <c r="F153" s="399"/>
      <c r="G153" s="399"/>
      <c r="H153" s="399"/>
      <c r="I153" s="399"/>
      <c r="J153" s="399"/>
      <c r="K153" s="399"/>
      <c r="L153" s="398"/>
      <c r="M153" s="398"/>
      <c r="N153" s="398"/>
      <c r="O153" s="398"/>
      <c r="P153" s="398"/>
      <c r="Q153" s="398"/>
      <c r="R153" s="398"/>
      <c r="S153" s="399"/>
      <c r="T153" s="399"/>
      <c r="U153" s="399"/>
      <c r="V153" s="399"/>
      <c r="W153" s="399"/>
      <c r="X153" s="399"/>
      <c r="Y153" s="399"/>
      <c r="Z153" s="398"/>
      <c r="AA153" s="398"/>
      <c r="AB153" s="398"/>
      <c r="AC153" s="398"/>
      <c r="AD153" s="398"/>
      <c r="AE153" s="398"/>
      <c r="AF153" s="398"/>
      <c r="AG153" s="398"/>
      <c r="AH153" s="348"/>
      <c r="AI153" s="348"/>
      <c r="AJ153" s="348"/>
      <c r="AK153" s="348"/>
      <c r="AL153" s="348"/>
      <c r="AM153" s="348"/>
      <c r="AN153" s="348"/>
      <c r="AO153" s="348"/>
      <c r="AP153" s="348"/>
      <c r="AQ153" s="348"/>
      <c r="AR153" s="348"/>
      <c r="AS153" s="348"/>
      <c r="AT153" s="348"/>
      <c r="AU153" s="348"/>
      <c r="AV153" s="348"/>
      <c r="AW153" s="348"/>
      <c r="AX153" s="348"/>
      <c r="AY153" s="348"/>
      <c r="AZ153" s="348"/>
      <c r="BA153" s="348"/>
      <c r="BB153" s="348"/>
      <c r="BC153" s="348"/>
      <c r="BD153" s="348"/>
      <c r="BE153" s="348"/>
      <c r="BF153" s="348"/>
      <c r="BG153" s="348"/>
      <c r="BH153" s="353"/>
      <c r="BI153" s="353"/>
      <c r="BJ153" s="353"/>
      <c r="BK153" s="353"/>
      <c r="BL153" s="353"/>
      <c r="BM153" s="353"/>
      <c r="BN153" s="353"/>
      <c r="BO153" s="353"/>
      <c r="BP153" s="353"/>
      <c r="BQ153" s="353"/>
      <c r="BR153" s="353"/>
      <c r="BS153" s="353"/>
      <c r="BT153" s="353"/>
      <c r="BU153" s="353"/>
      <c r="BV153" s="353"/>
      <c r="BW153" s="353"/>
      <c r="BX153" s="353"/>
      <c r="BY153" s="353"/>
      <c r="BZ153" s="353"/>
      <c r="CA153" s="353"/>
      <c r="CB153" s="353"/>
      <c r="CC153" s="353"/>
      <c r="CD153" s="353"/>
      <c r="CE153" s="353"/>
      <c r="CF153" s="353"/>
      <c r="CG153" s="353"/>
      <c r="CH153" s="353"/>
      <c r="CI153" s="353"/>
      <c r="CJ153" s="353"/>
      <c r="CK153" s="353"/>
      <c r="CL153" s="353"/>
      <c r="CM153" s="353"/>
      <c r="CN153" s="353"/>
      <c r="CO153" s="353"/>
      <c r="CP153" s="353"/>
      <c r="CQ153" s="353"/>
      <c r="CR153" s="353"/>
      <c r="CS153" s="353"/>
      <c r="CT153" s="353"/>
      <c r="CU153" s="353"/>
      <c r="CV153" s="353"/>
      <c r="CW153" s="353"/>
      <c r="CX153" s="353"/>
      <c r="CY153" s="353"/>
      <c r="CZ153" s="353"/>
      <c r="DA153" s="353"/>
      <c r="DB153" s="353"/>
      <c r="DC153" s="353"/>
      <c r="DD153" s="353"/>
      <c r="DE153" s="353"/>
      <c r="DF153" s="353"/>
      <c r="DG153" s="353"/>
      <c r="DH153" s="353"/>
      <c r="DI153" s="353"/>
      <c r="DJ153" s="353"/>
      <c r="DK153" s="353"/>
      <c r="DL153" s="353"/>
      <c r="DM153" s="353"/>
      <c r="DN153" s="353"/>
      <c r="DO153" s="353"/>
      <c r="DP153" s="353"/>
      <c r="DQ153" s="353"/>
      <c r="DR153" s="353"/>
    </row>
    <row r="154" spans="1:122" ht="12.75">
      <c r="A154" s="348"/>
      <c r="B154" s="398"/>
      <c r="C154" s="398"/>
      <c r="D154" s="399"/>
      <c r="E154" s="399"/>
      <c r="F154" s="399"/>
      <c r="G154" s="399"/>
      <c r="H154" s="399"/>
      <c r="I154" s="399"/>
      <c r="J154" s="399"/>
      <c r="K154" s="399"/>
      <c r="L154" s="398"/>
      <c r="M154" s="398"/>
      <c r="N154" s="398"/>
      <c r="O154" s="398"/>
      <c r="P154" s="398"/>
      <c r="Q154" s="398"/>
      <c r="R154" s="398"/>
      <c r="S154" s="399"/>
      <c r="T154" s="399"/>
      <c r="U154" s="399"/>
      <c r="V154" s="399"/>
      <c r="W154" s="399"/>
      <c r="X154" s="399"/>
      <c r="Y154" s="399"/>
      <c r="Z154" s="398"/>
      <c r="AA154" s="398"/>
      <c r="AB154" s="398"/>
      <c r="AC154" s="398"/>
      <c r="AD154" s="398"/>
      <c r="AE154" s="398"/>
      <c r="AF154" s="398"/>
      <c r="AG154" s="398"/>
      <c r="AH154" s="348"/>
      <c r="AI154" s="348"/>
      <c r="AJ154" s="348"/>
      <c r="AK154" s="348"/>
      <c r="AL154" s="348"/>
      <c r="AM154" s="348"/>
      <c r="AN154" s="348"/>
      <c r="AO154" s="348"/>
      <c r="AP154" s="348"/>
      <c r="AQ154" s="348"/>
      <c r="AR154" s="348"/>
      <c r="AS154" s="348"/>
      <c r="AT154" s="348"/>
      <c r="AU154" s="348"/>
      <c r="AV154" s="348"/>
      <c r="AW154" s="348"/>
      <c r="AX154" s="348"/>
      <c r="AY154" s="348"/>
      <c r="AZ154" s="348"/>
      <c r="BA154" s="348"/>
      <c r="BB154" s="348"/>
      <c r="BC154" s="348"/>
      <c r="BD154" s="348"/>
      <c r="BE154" s="348"/>
      <c r="BF154" s="348"/>
      <c r="BG154" s="348"/>
      <c r="BH154" s="353"/>
      <c r="BI154" s="353"/>
      <c r="BJ154" s="353"/>
      <c r="BK154" s="353"/>
      <c r="BL154" s="353"/>
      <c r="BM154" s="353"/>
      <c r="BN154" s="353"/>
      <c r="BO154" s="353"/>
      <c r="BP154" s="353"/>
      <c r="BQ154" s="353"/>
      <c r="BR154" s="353"/>
      <c r="BS154" s="353"/>
      <c r="BT154" s="353"/>
      <c r="BU154" s="353"/>
      <c r="BV154" s="353"/>
      <c r="BW154" s="353"/>
      <c r="BX154" s="353"/>
      <c r="BY154" s="353"/>
      <c r="BZ154" s="353"/>
      <c r="CA154" s="353"/>
      <c r="CB154" s="353"/>
      <c r="CC154" s="353"/>
      <c r="CD154" s="353"/>
      <c r="CE154" s="353"/>
      <c r="CF154" s="353"/>
      <c r="CG154" s="353"/>
      <c r="CH154" s="353"/>
      <c r="CI154" s="353"/>
      <c r="CJ154" s="353"/>
      <c r="CK154" s="353"/>
      <c r="CL154" s="353"/>
      <c r="CM154" s="353"/>
      <c r="CN154" s="353"/>
      <c r="CO154" s="353"/>
      <c r="CP154" s="353"/>
      <c r="CQ154" s="353"/>
      <c r="CR154" s="353"/>
      <c r="CS154" s="353"/>
      <c r="CT154" s="353"/>
      <c r="CU154" s="353"/>
      <c r="CV154" s="353"/>
      <c r="CW154" s="353"/>
      <c r="CX154" s="353"/>
      <c r="CY154" s="353"/>
      <c r="CZ154" s="353"/>
      <c r="DA154" s="353"/>
      <c r="DB154" s="353"/>
      <c r="DC154" s="353"/>
      <c r="DD154" s="353"/>
      <c r="DE154" s="353"/>
      <c r="DF154" s="353"/>
      <c r="DG154" s="353"/>
      <c r="DH154" s="353"/>
      <c r="DI154" s="353"/>
      <c r="DJ154" s="353"/>
      <c r="DK154" s="353"/>
      <c r="DL154" s="353"/>
      <c r="DM154" s="353"/>
      <c r="DN154" s="353"/>
      <c r="DO154" s="353"/>
      <c r="DP154" s="353"/>
      <c r="DQ154" s="353"/>
      <c r="DR154" s="353"/>
    </row>
    <row r="155" spans="1:122" ht="12.75">
      <c r="A155" s="348"/>
      <c r="B155" s="398"/>
      <c r="C155" s="398"/>
      <c r="D155" s="399"/>
      <c r="E155" s="399"/>
      <c r="F155" s="399"/>
      <c r="G155" s="399"/>
      <c r="H155" s="399"/>
      <c r="I155" s="399"/>
      <c r="J155" s="399"/>
      <c r="K155" s="399"/>
      <c r="L155" s="398"/>
      <c r="M155" s="398"/>
      <c r="N155" s="398"/>
      <c r="O155" s="398"/>
      <c r="P155" s="398"/>
      <c r="Q155" s="398"/>
      <c r="R155" s="398"/>
      <c r="S155" s="399"/>
      <c r="T155" s="399"/>
      <c r="U155" s="399"/>
      <c r="V155" s="399"/>
      <c r="W155" s="399"/>
      <c r="X155" s="399"/>
      <c r="Y155" s="399"/>
      <c r="Z155" s="398"/>
      <c r="AA155" s="398"/>
      <c r="AB155" s="398"/>
      <c r="AC155" s="398"/>
      <c r="AD155" s="398"/>
      <c r="AE155" s="398"/>
      <c r="AF155" s="398"/>
      <c r="AG155" s="398"/>
      <c r="AH155" s="348"/>
      <c r="AI155" s="348"/>
      <c r="AJ155" s="348"/>
      <c r="AK155" s="348"/>
      <c r="AL155" s="348"/>
      <c r="AM155" s="348"/>
      <c r="AN155" s="348"/>
      <c r="AO155" s="348"/>
      <c r="AP155" s="348"/>
      <c r="AQ155" s="348"/>
      <c r="AR155" s="348"/>
      <c r="AS155" s="348"/>
      <c r="AT155" s="348"/>
      <c r="AU155" s="348"/>
      <c r="AV155" s="348"/>
      <c r="AW155" s="348"/>
      <c r="AX155" s="348"/>
      <c r="AY155" s="348"/>
      <c r="AZ155" s="348"/>
      <c r="BA155" s="348"/>
      <c r="BB155" s="348"/>
      <c r="BC155" s="348"/>
      <c r="BD155" s="348"/>
      <c r="BE155" s="348"/>
      <c r="BF155" s="348"/>
      <c r="BG155" s="348"/>
      <c r="BH155" s="353"/>
      <c r="BI155" s="353"/>
      <c r="BJ155" s="353"/>
      <c r="BK155" s="353"/>
      <c r="BL155" s="353"/>
      <c r="BM155" s="353"/>
      <c r="BN155" s="353"/>
      <c r="BO155" s="353"/>
      <c r="BP155" s="353"/>
      <c r="BQ155" s="353"/>
      <c r="BR155" s="353"/>
      <c r="BS155" s="353"/>
      <c r="BT155" s="353"/>
      <c r="BU155" s="353"/>
      <c r="BV155" s="353"/>
      <c r="BW155" s="353"/>
      <c r="BX155" s="353"/>
      <c r="BY155" s="353"/>
      <c r="BZ155" s="353"/>
      <c r="CA155" s="353"/>
      <c r="CB155" s="353"/>
      <c r="CC155" s="353"/>
      <c r="CD155" s="353"/>
      <c r="CE155" s="353"/>
      <c r="CF155" s="353"/>
      <c r="CG155" s="353"/>
      <c r="CH155" s="353"/>
      <c r="CI155" s="353"/>
      <c r="CJ155" s="353"/>
      <c r="CK155" s="353"/>
      <c r="CL155" s="353"/>
      <c r="CM155" s="353"/>
      <c r="CN155" s="353"/>
      <c r="CO155" s="353"/>
      <c r="CP155" s="353"/>
      <c r="CQ155" s="353"/>
      <c r="CR155" s="353"/>
      <c r="CS155" s="353"/>
      <c r="CT155" s="353"/>
      <c r="CU155" s="353"/>
      <c r="CV155" s="353"/>
      <c r="CW155" s="353"/>
      <c r="CX155" s="353"/>
      <c r="CY155" s="353"/>
      <c r="CZ155" s="353"/>
      <c r="DA155" s="353"/>
      <c r="DB155" s="353"/>
      <c r="DC155" s="353"/>
      <c r="DD155" s="353"/>
      <c r="DE155" s="353"/>
      <c r="DF155" s="353"/>
      <c r="DG155" s="353"/>
      <c r="DH155" s="353"/>
      <c r="DI155" s="353"/>
      <c r="DJ155" s="353"/>
      <c r="DK155" s="353"/>
      <c r="DL155" s="353"/>
      <c r="DM155" s="353"/>
      <c r="DN155" s="353"/>
      <c r="DO155" s="353"/>
      <c r="DP155" s="353"/>
      <c r="DQ155" s="353"/>
      <c r="DR155" s="353"/>
    </row>
    <row r="156" spans="1:122" ht="12.75">
      <c r="A156" s="348"/>
      <c r="B156" s="398"/>
      <c r="C156" s="398"/>
      <c r="D156" s="399"/>
      <c r="E156" s="399"/>
      <c r="F156" s="399"/>
      <c r="G156" s="399"/>
      <c r="H156" s="399"/>
      <c r="I156" s="399"/>
      <c r="J156" s="399"/>
      <c r="K156" s="399"/>
      <c r="L156" s="398"/>
      <c r="M156" s="398"/>
      <c r="N156" s="398"/>
      <c r="O156" s="398"/>
      <c r="P156" s="398"/>
      <c r="Q156" s="398"/>
      <c r="R156" s="398"/>
      <c r="S156" s="399"/>
      <c r="T156" s="399"/>
      <c r="U156" s="399"/>
      <c r="V156" s="399"/>
      <c r="W156" s="399"/>
      <c r="X156" s="399"/>
      <c r="Y156" s="399"/>
      <c r="Z156" s="398"/>
      <c r="AA156" s="398"/>
      <c r="AB156" s="398"/>
      <c r="AC156" s="398"/>
      <c r="AD156" s="398"/>
      <c r="AE156" s="398"/>
      <c r="AF156" s="398"/>
      <c r="AG156" s="398"/>
      <c r="AH156" s="348"/>
      <c r="AI156" s="348"/>
      <c r="AJ156" s="348"/>
      <c r="AK156" s="348"/>
      <c r="AL156" s="348"/>
      <c r="AM156" s="348"/>
      <c r="AN156" s="348"/>
      <c r="AO156" s="348"/>
      <c r="AP156" s="348"/>
      <c r="AQ156" s="348"/>
      <c r="AR156" s="348"/>
      <c r="AS156" s="348"/>
      <c r="AT156" s="348"/>
      <c r="AU156" s="348"/>
      <c r="AV156" s="348"/>
      <c r="AW156" s="348"/>
      <c r="AX156" s="348"/>
      <c r="AY156" s="348"/>
      <c r="AZ156" s="348"/>
      <c r="BA156" s="348"/>
      <c r="BB156" s="348"/>
      <c r="BC156" s="348"/>
      <c r="BD156" s="348"/>
      <c r="BE156" s="348"/>
      <c r="BF156" s="348"/>
      <c r="BG156" s="348"/>
      <c r="BH156" s="353"/>
      <c r="BI156" s="353"/>
      <c r="BJ156" s="353"/>
      <c r="BK156" s="353"/>
      <c r="BL156" s="353"/>
      <c r="BM156" s="353"/>
      <c r="BN156" s="353"/>
      <c r="BO156" s="353"/>
      <c r="BP156" s="353"/>
      <c r="BQ156" s="353"/>
      <c r="BR156" s="353"/>
      <c r="BS156" s="353"/>
      <c r="BT156" s="353"/>
      <c r="BU156" s="353"/>
      <c r="BV156" s="353"/>
      <c r="BW156" s="353"/>
      <c r="BX156" s="353"/>
      <c r="BY156" s="353"/>
      <c r="BZ156" s="353"/>
      <c r="CA156" s="353"/>
      <c r="CB156" s="353"/>
      <c r="CC156" s="353"/>
      <c r="CD156" s="353"/>
      <c r="CE156" s="353"/>
      <c r="CF156" s="353"/>
      <c r="CG156" s="353"/>
      <c r="CH156" s="353"/>
      <c r="CI156" s="353"/>
      <c r="CJ156" s="353"/>
      <c r="CK156" s="353"/>
      <c r="CL156" s="353"/>
      <c r="CM156" s="353"/>
      <c r="CN156" s="353"/>
      <c r="CO156" s="353"/>
      <c r="CP156" s="353"/>
      <c r="CQ156" s="353"/>
      <c r="CR156" s="353"/>
      <c r="CS156" s="353"/>
      <c r="CT156" s="353"/>
      <c r="CU156" s="353"/>
      <c r="CV156" s="353"/>
      <c r="CW156" s="353"/>
      <c r="CX156" s="353"/>
      <c r="CY156" s="353"/>
      <c r="CZ156" s="353"/>
      <c r="DA156" s="353"/>
      <c r="DB156" s="353"/>
      <c r="DC156" s="353"/>
      <c r="DD156" s="353"/>
      <c r="DE156" s="353"/>
      <c r="DF156" s="353"/>
      <c r="DG156" s="353"/>
      <c r="DH156" s="353"/>
      <c r="DI156" s="353"/>
      <c r="DJ156" s="353"/>
      <c r="DK156" s="353"/>
      <c r="DL156" s="353"/>
      <c r="DM156" s="353"/>
      <c r="DN156" s="353"/>
      <c r="DO156" s="353"/>
      <c r="DP156" s="353"/>
      <c r="DQ156" s="353"/>
      <c r="DR156" s="353"/>
    </row>
    <row r="157" spans="1:122" ht="12.75">
      <c r="A157" s="348"/>
      <c r="B157" s="398"/>
      <c r="C157" s="398"/>
      <c r="D157" s="399"/>
      <c r="E157" s="399"/>
      <c r="F157" s="399"/>
      <c r="G157" s="399"/>
      <c r="H157" s="399"/>
      <c r="I157" s="399"/>
      <c r="J157" s="399"/>
      <c r="K157" s="399"/>
      <c r="L157" s="398"/>
      <c r="M157" s="398"/>
      <c r="N157" s="398"/>
      <c r="O157" s="398"/>
      <c r="P157" s="398"/>
      <c r="Q157" s="398"/>
      <c r="R157" s="398"/>
      <c r="S157" s="399"/>
      <c r="T157" s="399"/>
      <c r="U157" s="399"/>
      <c r="V157" s="399"/>
      <c r="W157" s="399"/>
      <c r="X157" s="399"/>
      <c r="Y157" s="399"/>
      <c r="Z157" s="398"/>
      <c r="AA157" s="398"/>
      <c r="AB157" s="398"/>
      <c r="AC157" s="398"/>
      <c r="AD157" s="398"/>
      <c r="AE157" s="398"/>
      <c r="AF157" s="398"/>
      <c r="AG157" s="398"/>
      <c r="AH157" s="348"/>
      <c r="AI157" s="348"/>
      <c r="AJ157" s="348"/>
      <c r="AK157" s="348"/>
      <c r="AL157" s="348"/>
      <c r="AM157" s="348"/>
      <c r="AN157" s="348"/>
      <c r="AO157" s="348"/>
      <c r="AP157" s="348"/>
      <c r="AQ157" s="348"/>
      <c r="AR157" s="348"/>
      <c r="AS157" s="348"/>
      <c r="AT157" s="348"/>
      <c r="AU157" s="348"/>
      <c r="AV157" s="348"/>
      <c r="AW157" s="348"/>
      <c r="AX157" s="348"/>
      <c r="AY157" s="348"/>
      <c r="AZ157" s="348"/>
      <c r="BA157" s="348"/>
      <c r="BB157" s="348"/>
      <c r="BC157" s="348"/>
      <c r="BD157" s="348"/>
      <c r="BE157" s="348"/>
      <c r="BF157" s="348"/>
      <c r="BG157" s="348"/>
      <c r="BH157" s="353"/>
      <c r="BI157" s="353"/>
      <c r="BJ157" s="353"/>
      <c r="BK157" s="353"/>
      <c r="BL157" s="353"/>
      <c r="BM157" s="353"/>
      <c r="BN157" s="353"/>
      <c r="BO157" s="353"/>
      <c r="BP157" s="353"/>
      <c r="BQ157" s="353"/>
      <c r="BR157" s="353"/>
      <c r="BS157" s="353"/>
      <c r="BT157" s="353"/>
      <c r="BU157" s="353"/>
      <c r="BV157" s="353"/>
      <c r="BW157" s="353"/>
      <c r="BX157" s="353"/>
      <c r="BY157" s="353"/>
      <c r="BZ157" s="353"/>
      <c r="CA157" s="353"/>
      <c r="CB157" s="353"/>
      <c r="CC157" s="353"/>
      <c r="CD157" s="353"/>
      <c r="CE157" s="353"/>
      <c r="CF157" s="353"/>
      <c r="CG157" s="353"/>
      <c r="CH157" s="353"/>
      <c r="CI157" s="353"/>
      <c r="CJ157" s="353"/>
      <c r="CK157" s="353"/>
      <c r="CL157" s="353"/>
      <c r="CM157" s="353"/>
      <c r="CN157" s="353"/>
      <c r="CO157" s="353"/>
      <c r="CP157" s="353"/>
      <c r="CQ157" s="353"/>
      <c r="CR157" s="353"/>
      <c r="CS157" s="353"/>
      <c r="CT157" s="353"/>
      <c r="CU157" s="353"/>
      <c r="CV157" s="353"/>
      <c r="CW157" s="353"/>
      <c r="CX157" s="353"/>
      <c r="CY157" s="353"/>
      <c r="CZ157" s="353"/>
      <c r="DA157" s="353"/>
      <c r="DB157" s="353"/>
      <c r="DC157" s="353"/>
      <c r="DD157" s="353"/>
      <c r="DE157" s="353"/>
      <c r="DF157" s="353"/>
      <c r="DG157" s="353"/>
      <c r="DH157" s="353"/>
      <c r="DI157" s="353"/>
      <c r="DJ157" s="353"/>
      <c r="DK157" s="353"/>
      <c r="DL157" s="353"/>
      <c r="DM157" s="353"/>
      <c r="DN157" s="353"/>
      <c r="DO157" s="353"/>
      <c r="DP157" s="353"/>
      <c r="DQ157" s="353"/>
      <c r="DR157" s="353"/>
    </row>
    <row r="158" spans="1:122" ht="12.75">
      <c r="A158" s="348"/>
      <c r="B158" s="398"/>
      <c r="C158" s="398"/>
      <c r="D158" s="399"/>
      <c r="E158" s="399"/>
      <c r="F158" s="399"/>
      <c r="G158" s="399"/>
      <c r="H158" s="399"/>
      <c r="I158" s="399"/>
      <c r="J158" s="399"/>
      <c r="K158" s="399"/>
      <c r="L158" s="398"/>
      <c r="M158" s="398"/>
      <c r="N158" s="398"/>
      <c r="O158" s="398"/>
      <c r="P158" s="398"/>
      <c r="Q158" s="398"/>
      <c r="R158" s="398"/>
      <c r="S158" s="399"/>
      <c r="T158" s="399"/>
      <c r="U158" s="399"/>
      <c r="V158" s="399"/>
      <c r="W158" s="399"/>
      <c r="X158" s="399"/>
      <c r="Y158" s="399"/>
      <c r="Z158" s="398"/>
      <c r="AA158" s="398"/>
      <c r="AB158" s="398"/>
      <c r="AC158" s="398"/>
      <c r="AD158" s="398"/>
      <c r="AE158" s="398"/>
      <c r="AF158" s="398"/>
      <c r="AG158" s="398"/>
      <c r="AH158" s="348"/>
      <c r="AI158" s="348"/>
      <c r="AJ158" s="348"/>
      <c r="AK158" s="348"/>
      <c r="AL158" s="348"/>
      <c r="AM158" s="348"/>
      <c r="AN158" s="348"/>
      <c r="AO158" s="348"/>
      <c r="AP158" s="348"/>
      <c r="AQ158" s="348"/>
      <c r="AR158" s="348"/>
      <c r="AS158" s="348"/>
      <c r="AT158" s="348"/>
      <c r="AU158" s="348"/>
      <c r="AV158" s="348"/>
      <c r="AW158" s="348"/>
      <c r="AX158" s="348"/>
      <c r="AY158" s="348"/>
      <c r="AZ158" s="348"/>
      <c r="BA158" s="348"/>
      <c r="BB158" s="348"/>
      <c r="BC158" s="348"/>
      <c r="BD158" s="348"/>
      <c r="BE158" s="348"/>
      <c r="BF158" s="348"/>
      <c r="BG158" s="348"/>
      <c r="BH158" s="353"/>
      <c r="BI158" s="353"/>
      <c r="BJ158" s="353"/>
      <c r="BK158" s="353"/>
      <c r="BL158" s="353"/>
      <c r="BM158" s="353"/>
      <c r="BN158" s="353"/>
      <c r="BO158" s="353"/>
      <c r="BP158" s="353"/>
      <c r="BQ158" s="353"/>
      <c r="BR158" s="353"/>
      <c r="BS158" s="353"/>
      <c r="BT158" s="353"/>
      <c r="BU158" s="353"/>
      <c r="BV158" s="353"/>
      <c r="BW158" s="353"/>
      <c r="BX158" s="353"/>
      <c r="BY158" s="353"/>
      <c r="BZ158" s="353"/>
      <c r="CA158" s="353"/>
      <c r="CB158" s="353"/>
      <c r="CC158" s="353"/>
      <c r="CD158" s="353"/>
      <c r="CE158" s="353"/>
      <c r="CF158" s="353"/>
      <c r="CG158" s="353"/>
      <c r="CH158" s="353"/>
      <c r="CI158" s="353"/>
      <c r="CJ158" s="353"/>
      <c r="CK158" s="353"/>
      <c r="CL158" s="353"/>
      <c r="CM158" s="353"/>
      <c r="CN158" s="353"/>
      <c r="CO158" s="353"/>
      <c r="CP158" s="353"/>
      <c r="CQ158" s="353"/>
      <c r="CR158" s="353"/>
      <c r="CS158" s="353"/>
      <c r="CT158" s="353"/>
      <c r="CU158" s="353"/>
      <c r="CV158" s="353"/>
      <c r="CW158" s="353"/>
      <c r="CX158" s="353"/>
      <c r="CY158" s="353"/>
      <c r="CZ158" s="353"/>
      <c r="DA158" s="353"/>
      <c r="DB158" s="353"/>
      <c r="DC158" s="353"/>
      <c r="DD158" s="353"/>
      <c r="DE158" s="353"/>
      <c r="DF158" s="353"/>
      <c r="DG158" s="353"/>
      <c r="DH158" s="353"/>
      <c r="DI158" s="353"/>
      <c r="DJ158" s="353"/>
      <c r="DK158" s="353"/>
      <c r="DL158" s="353"/>
      <c r="DM158" s="353"/>
      <c r="DN158" s="353"/>
      <c r="DO158" s="353"/>
      <c r="DP158" s="353"/>
      <c r="DQ158" s="353"/>
      <c r="DR158" s="353"/>
    </row>
    <row r="159" spans="1:122" ht="12.75">
      <c r="A159" s="348"/>
      <c r="B159" s="398"/>
      <c r="C159" s="398"/>
      <c r="D159" s="399"/>
      <c r="E159" s="399"/>
      <c r="F159" s="399"/>
      <c r="G159" s="399"/>
      <c r="H159" s="399"/>
      <c r="I159" s="399"/>
      <c r="J159" s="399"/>
      <c r="K159" s="399"/>
      <c r="L159" s="398"/>
      <c r="M159" s="398"/>
      <c r="N159" s="398"/>
      <c r="O159" s="398"/>
      <c r="P159" s="398"/>
      <c r="Q159" s="398"/>
      <c r="R159" s="398"/>
      <c r="S159" s="399"/>
      <c r="T159" s="399"/>
      <c r="U159" s="399"/>
      <c r="V159" s="399"/>
      <c r="W159" s="399"/>
      <c r="X159" s="399"/>
      <c r="Y159" s="399"/>
      <c r="Z159" s="398"/>
      <c r="AA159" s="398"/>
      <c r="AB159" s="398"/>
      <c r="AC159" s="398"/>
      <c r="AD159" s="398"/>
      <c r="AE159" s="398"/>
      <c r="AF159" s="398"/>
      <c r="AG159" s="398"/>
      <c r="AH159" s="348"/>
      <c r="AI159" s="348"/>
      <c r="AJ159" s="348"/>
      <c r="AK159" s="348"/>
      <c r="AL159" s="348"/>
      <c r="AM159" s="348"/>
      <c r="AN159" s="348"/>
      <c r="AO159" s="348"/>
      <c r="AP159" s="348"/>
      <c r="AQ159" s="348"/>
      <c r="AR159" s="348"/>
      <c r="AS159" s="348"/>
      <c r="AT159" s="348"/>
      <c r="AU159" s="348"/>
      <c r="AV159" s="348"/>
      <c r="AW159" s="348"/>
      <c r="AX159" s="348"/>
      <c r="AY159" s="348"/>
      <c r="AZ159" s="348"/>
      <c r="BA159" s="348"/>
      <c r="BB159" s="348"/>
      <c r="BC159" s="348"/>
      <c r="BD159" s="348"/>
      <c r="BE159" s="348"/>
      <c r="BF159" s="348"/>
      <c r="BG159" s="348"/>
      <c r="BH159" s="353"/>
      <c r="BI159" s="353"/>
      <c r="BJ159" s="353"/>
      <c r="BK159" s="353"/>
      <c r="BL159" s="353"/>
      <c r="BM159" s="353"/>
      <c r="BN159" s="353"/>
      <c r="BO159" s="353"/>
      <c r="BP159" s="353"/>
      <c r="BQ159" s="353"/>
      <c r="BR159" s="353"/>
      <c r="BS159" s="353"/>
      <c r="BT159" s="353"/>
      <c r="BU159" s="353"/>
      <c r="BV159" s="353"/>
      <c r="BW159" s="353"/>
      <c r="BX159" s="353"/>
      <c r="BY159" s="353"/>
      <c r="BZ159" s="353"/>
      <c r="CA159" s="353"/>
      <c r="CB159" s="353"/>
      <c r="CC159" s="353"/>
      <c r="CD159" s="353"/>
      <c r="CE159" s="353"/>
      <c r="CF159" s="353"/>
      <c r="CG159" s="353"/>
      <c r="CH159" s="353"/>
      <c r="CI159" s="353"/>
      <c r="CJ159" s="353"/>
      <c r="CK159" s="353"/>
      <c r="CL159" s="353"/>
      <c r="CM159" s="353"/>
      <c r="CN159" s="353"/>
      <c r="CO159" s="353"/>
      <c r="CP159" s="353"/>
      <c r="CQ159" s="353"/>
      <c r="CR159" s="353"/>
      <c r="CS159" s="353"/>
      <c r="CT159" s="353"/>
      <c r="CU159" s="353"/>
      <c r="CV159" s="353"/>
      <c r="CW159" s="353"/>
      <c r="CX159" s="353"/>
      <c r="CY159" s="353"/>
      <c r="CZ159" s="353"/>
      <c r="DA159" s="353"/>
      <c r="DB159" s="353"/>
      <c r="DC159" s="353"/>
      <c r="DD159" s="353"/>
      <c r="DE159" s="353"/>
      <c r="DF159" s="353"/>
      <c r="DG159" s="353"/>
      <c r="DH159" s="353"/>
      <c r="DI159" s="353"/>
      <c r="DJ159" s="353"/>
      <c r="DK159" s="353"/>
      <c r="DL159" s="353"/>
      <c r="DM159" s="353"/>
      <c r="DN159" s="353"/>
      <c r="DO159" s="353"/>
      <c r="DP159" s="353"/>
      <c r="DQ159" s="353"/>
      <c r="DR159" s="353"/>
    </row>
    <row r="160" spans="1:122" ht="12.75">
      <c r="A160" s="348"/>
      <c r="B160" s="398"/>
      <c r="C160" s="398"/>
      <c r="D160" s="399"/>
      <c r="E160" s="399"/>
      <c r="F160" s="399"/>
      <c r="G160" s="399"/>
      <c r="H160" s="399"/>
      <c r="I160" s="399"/>
      <c r="J160" s="399"/>
      <c r="K160" s="399"/>
      <c r="L160" s="398"/>
      <c r="M160" s="398"/>
      <c r="N160" s="398"/>
      <c r="O160" s="398"/>
      <c r="P160" s="398"/>
      <c r="Q160" s="398"/>
      <c r="R160" s="398"/>
      <c r="S160" s="399"/>
      <c r="T160" s="399"/>
      <c r="U160" s="399"/>
      <c r="V160" s="399"/>
      <c r="W160" s="399"/>
      <c r="X160" s="399"/>
      <c r="Y160" s="399"/>
      <c r="Z160" s="398"/>
      <c r="AA160" s="398"/>
      <c r="AB160" s="398"/>
      <c r="AC160" s="398"/>
      <c r="AD160" s="398"/>
      <c r="AE160" s="398"/>
      <c r="AF160" s="398"/>
      <c r="AG160" s="398"/>
      <c r="AH160" s="348"/>
      <c r="AI160" s="348"/>
      <c r="AJ160" s="348"/>
      <c r="AK160" s="348"/>
      <c r="AL160" s="348"/>
      <c r="AM160" s="348"/>
      <c r="AN160" s="348"/>
      <c r="AO160" s="348"/>
      <c r="AP160" s="348"/>
      <c r="AQ160" s="348"/>
      <c r="AR160" s="348"/>
      <c r="AS160" s="348"/>
      <c r="AT160" s="348"/>
      <c r="AU160" s="348"/>
      <c r="AV160" s="348"/>
      <c r="AW160" s="348"/>
      <c r="AX160" s="348"/>
      <c r="AY160" s="348"/>
      <c r="AZ160" s="348"/>
      <c r="BA160" s="348"/>
      <c r="BB160" s="348"/>
      <c r="BC160" s="348"/>
      <c r="BD160" s="348"/>
      <c r="BE160" s="348"/>
      <c r="BF160" s="348"/>
      <c r="BG160" s="348"/>
      <c r="BH160" s="353"/>
      <c r="BI160" s="353"/>
      <c r="BJ160" s="353"/>
      <c r="BK160" s="353"/>
      <c r="BL160" s="353"/>
      <c r="BM160" s="353"/>
      <c r="BN160" s="353"/>
      <c r="BO160" s="353"/>
      <c r="BP160" s="353"/>
      <c r="BQ160" s="353"/>
      <c r="BR160" s="353"/>
      <c r="BS160" s="353"/>
      <c r="BT160" s="353"/>
      <c r="BU160" s="353"/>
      <c r="BV160" s="353"/>
      <c r="BW160" s="353"/>
      <c r="BX160" s="353"/>
      <c r="BY160" s="353"/>
      <c r="BZ160" s="353"/>
      <c r="CA160" s="353"/>
      <c r="CB160" s="353"/>
      <c r="CC160" s="353"/>
      <c r="CD160" s="353"/>
      <c r="CE160" s="353"/>
      <c r="CF160" s="353"/>
      <c r="CG160" s="353"/>
      <c r="CH160" s="353"/>
      <c r="CI160" s="353"/>
      <c r="CJ160" s="353"/>
      <c r="CK160" s="353"/>
      <c r="CL160" s="353"/>
      <c r="CM160" s="353"/>
      <c r="CN160" s="353"/>
      <c r="CO160" s="353"/>
      <c r="CP160" s="353"/>
      <c r="CQ160" s="353"/>
      <c r="CR160" s="353"/>
      <c r="CS160" s="353"/>
      <c r="CT160" s="353"/>
      <c r="CU160" s="353"/>
      <c r="CV160" s="353"/>
      <c r="CW160" s="353"/>
      <c r="CX160" s="353"/>
      <c r="CY160" s="353"/>
      <c r="CZ160" s="353"/>
      <c r="DA160" s="353"/>
      <c r="DB160" s="353"/>
      <c r="DC160" s="353"/>
      <c r="DD160" s="353"/>
      <c r="DE160" s="353"/>
      <c r="DF160" s="353"/>
      <c r="DG160" s="353"/>
      <c r="DH160" s="353"/>
      <c r="DI160" s="353"/>
      <c r="DJ160" s="353"/>
      <c r="DK160" s="353"/>
      <c r="DL160" s="353"/>
      <c r="DM160" s="353"/>
      <c r="DN160" s="353"/>
      <c r="DO160" s="353"/>
      <c r="DP160" s="353"/>
      <c r="DQ160" s="353"/>
      <c r="DR160" s="353"/>
    </row>
    <row r="161" spans="1:122" ht="12.75">
      <c r="A161" s="348"/>
      <c r="B161" s="398"/>
      <c r="C161" s="398"/>
      <c r="D161" s="399"/>
      <c r="E161" s="399"/>
      <c r="F161" s="399"/>
      <c r="G161" s="399"/>
      <c r="H161" s="399"/>
      <c r="I161" s="399"/>
      <c r="J161" s="399"/>
      <c r="K161" s="399"/>
      <c r="L161" s="398"/>
      <c r="M161" s="398"/>
      <c r="N161" s="398"/>
      <c r="O161" s="398"/>
      <c r="P161" s="398"/>
      <c r="Q161" s="398"/>
      <c r="R161" s="398"/>
      <c r="S161" s="399"/>
      <c r="T161" s="399"/>
      <c r="U161" s="399"/>
      <c r="V161" s="399"/>
      <c r="W161" s="399"/>
      <c r="X161" s="399"/>
      <c r="Y161" s="399"/>
      <c r="Z161" s="398"/>
      <c r="AA161" s="398"/>
      <c r="AB161" s="398"/>
      <c r="AC161" s="398"/>
      <c r="AD161" s="398"/>
      <c r="AE161" s="398"/>
      <c r="AF161" s="398"/>
      <c r="AG161" s="398"/>
      <c r="AH161" s="348"/>
      <c r="AI161" s="348"/>
      <c r="AJ161" s="348"/>
      <c r="AK161" s="348"/>
      <c r="AL161" s="348"/>
      <c r="AM161" s="348"/>
      <c r="AN161" s="348"/>
      <c r="AO161" s="348"/>
      <c r="AP161" s="348"/>
      <c r="AQ161" s="348"/>
      <c r="AR161" s="348"/>
      <c r="AS161" s="348"/>
      <c r="AT161" s="348"/>
      <c r="AU161" s="348"/>
      <c r="AV161" s="348"/>
      <c r="AW161" s="348"/>
      <c r="AX161" s="348"/>
      <c r="AY161" s="348"/>
      <c r="AZ161" s="348"/>
      <c r="BA161" s="348"/>
      <c r="BB161" s="348"/>
      <c r="BC161" s="348"/>
      <c r="BD161" s="348"/>
      <c r="BE161" s="348"/>
      <c r="BF161" s="348"/>
      <c r="BG161" s="348"/>
      <c r="BH161" s="353"/>
      <c r="BI161" s="353"/>
      <c r="BJ161" s="353"/>
      <c r="BK161" s="353"/>
      <c r="BL161" s="353"/>
      <c r="BM161" s="353"/>
      <c r="BN161" s="353"/>
      <c r="BO161" s="353"/>
      <c r="BP161" s="353"/>
      <c r="BQ161" s="353"/>
      <c r="BR161" s="353"/>
      <c r="BS161" s="353"/>
      <c r="BT161" s="353"/>
      <c r="BU161" s="353"/>
      <c r="BV161" s="353"/>
      <c r="BW161" s="353"/>
      <c r="BX161" s="353"/>
      <c r="BY161" s="353"/>
      <c r="BZ161" s="353"/>
      <c r="CA161" s="353"/>
      <c r="CB161" s="353"/>
      <c r="CC161" s="353"/>
      <c r="CD161" s="353"/>
      <c r="CE161" s="353"/>
      <c r="CF161" s="353"/>
      <c r="CG161" s="353"/>
      <c r="CH161" s="353"/>
      <c r="CI161" s="353"/>
      <c r="CJ161" s="353"/>
      <c r="CK161" s="353"/>
      <c r="CL161" s="353"/>
      <c r="CM161" s="353"/>
      <c r="CN161" s="353"/>
      <c r="CO161" s="353"/>
      <c r="CP161" s="353"/>
      <c r="CQ161" s="353"/>
      <c r="CR161" s="353"/>
      <c r="CS161" s="353"/>
      <c r="CT161" s="353"/>
      <c r="CU161" s="353"/>
      <c r="CV161" s="353"/>
      <c r="CW161" s="353"/>
      <c r="CX161" s="353"/>
      <c r="CY161" s="353"/>
      <c r="CZ161" s="353"/>
      <c r="DA161" s="353"/>
      <c r="DB161" s="353"/>
      <c r="DC161" s="353"/>
      <c r="DD161" s="353"/>
      <c r="DE161" s="353"/>
      <c r="DF161" s="353"/>
      <c r="DG161" s="353"/>
      <c r="DH161" s="353"/>
      <c r="DI161" s="353"/>
      <c r="DJ161" s="353"/>
      <c r="DK161" s="353"/>
      <c r="DL161" s="353"/>
      <c r="DM161" s="353"/>
      <c r="DN161" s="353"/>
      <c r="DO161" s="353"/>
      <c r="DP161" s="353"/>
      <c r="DQ161" s="353"/>
      <c r="DR161" s="353"/>
    </row>
    <row r="162" spans="1:122" ht="12.75">
      <c r="A162" s="348"/>
      <c r="B162" s="398"/>
      <c r="C162" s="398"/>
      <c r="D162" s="399"/>
      <c r="E162" s="399"/>
      <c r="F162" s="399"/>
      <c r="G162" s="399"/>
      <c r="H162" s="399"/>
      <c r="I162" s="399"/>
      <c r="J162" s="399"/>
      <c r="K162" s="399"/>
      <c r="L162" s="398"/>
      <c r="M162" s="398"/>
      <c r="N162" s="398"/>
      <c r="O162" s="398"/>
      <c r="P162" s="398"/>
      <c r="Q162" s="398"/>
      <c r="R162" s="398"/>
      <c r="S162" s="399"/>
      <c r="T162" s="399"/>
      <c r="U162" s="399"/>
      <c r="V162" s="399"/>
      <c r="W162" s="399"/>
      <c r="X162" s="399"/>
      <c r="Y162" s="399"/>
      <c r="Z162" s="398"/>
      <c r="AA162" s="398"/>
      <c r="AB162" s="398"/>
      <c r="AC162" s="398"/>
      <c r="AD162" s="398"/>
      <c r="AE162" s="398"/>
      <c r="AF162" s="398"/>
      <c r="AG162" s="398"/>
      <c r="AH162" s="348"/>
      <c r="AI162" s="348"/>
      <c r="AJ162" s="348"/>
      <c r="AK162" s="348"/>
      <c r="AL162" s="348"/>
      <c r="AM162" s="348"/>
      <c r="AN162" s="348"/>
      <c r="AO162" s="348"/>
      <c r="AP162" s="348"/>
      <c r="AQ162" s="348"/>
      <c r="AR162" s="348"/>
      <c r="AS162" s="348"/>
      <c r="AT162" s="348"/>
      <c r="AU162" s="348"/>
      <c r="AV162" s="348"/>
      <c r="AW162" s="348"/>
      <c r="AX162" s="348"/>
      <c r="AY162" s="348"/>
      <c r="AZ162" s="348"/>
      <c r="BA162" s="348"/>
      <c r="BB162" s="348"/>
      <c r="BC162" s="348"/>
      <c r="BD162" s="348"/>
      <c r="BE162" s="348"/>
      <c r="BF162" s="348"/>
      <c r="BG162" s="348"/>
      <c r="BH162" s="353"/>
      <c r="BI162" s="353"/>
      <c r="BJ162" s="353"/>
      <c r="BK162" s="353"/>
      <c r="BL162" s="353"/>
      <c r="BM162" s="353"/>
      <c r="BN162" s="353"/>
      <c r="BO162" s="353"/>
      <c r="BP162" s="353"/>
      <c r="BQ162" s="353"/>
      <c r="BR162" s="353"/>
      <c r="BS162" s="353"/>
      <c r="BT162" s="353"/>
      <c r="BU162" s="353"/>
      <c r="BV162" s="353"/>
      <c r="BW162" s="353"/>
      <c r="BX162" s="353"/>
      <c r="BY162" s="353"/>
      <c r="BZ162" s="353"/>
      <c r="CA162" s="353"/>
      <c r="CB162" s="353"/>
      <c r="CC162" s="353"/>
      <c r="CD162" s="353"/>
      <c r="CE162" s="353"/>
      <c r="CF162" s="353"/>
      <c r="CG162" s="353"/>
      <c r="CH162" s="353"/>
      <c r="CI162" s="353"/>
      <c r="CJ162" s="353"/>
      <c r="CK162" s="353"/>
      <c r="CL162" s="353"/>
      <c r="CM162" s="353"/>
      <c r="CN162" s="353"/>
      <c r="CO162" s="353"/>
      <c r="CP162" s="353"/>
      <c r="CQ162" s="353"/>
      <c r="CR162" s="353"/>
      <c r="CS162" s="353"/>
      <c r="CT162" s="353"/>
      <c r="CU162" s="353"/>
      <c r="CV162" s="353"/>
      <c r="CW162" s="353"/>
      <c r="CX162" s="353"/>
      <c r="CY162" s="353"/>
      <c r="CZ162" s="353"/>
      <c r="DA162" s="353"/>
      <c r="DB162" s="353"/>
      <c r="DC162" s="353"/>
      <c r="DD162" s="353"/>
      <c r="DE162" s="353"/>
      <c r="DF162" s="353"/>
      <c r="DG162" s="353"/>
      <c r="DH162" s="353"/>
      <c r="DI162" s="353"/>
      <c r="DJ162" s="353"/>
      <c r="DK162" s="353"/>
      <c r="DL162" s="353"/>
      <c r="DM162" s="353"/>
      <c r="DN162" s="353"/>
      <c r="DO162" s="353"/>
      <c r="DP162" s="353"/>
      <c r="DQ162" s="353"/>
      <c r="DR162" s="353"/>
    </row>
    <row r="163" spans="1:122" ht="12.75">
      <c r="A163" s="348"/>
      <c r="B163" s="398"/>
      <c r="C163" s="398"/>
      <c r="D163" s="399"/>
      <c r="E163" s="399"/>
      <c r="F163" s="399"/>
      <c r="G163" s="399"/>
      <c r="H163" s="399"/>
      <c r="I163" s="399"/>
      <c r="J163" s="399"/>
      <c r="K163" s="399"/>
      <c r="L163" s="398"/>
      <c r="M163" s="398"/>
      <c r="N163" s="398"/>
      <c r="O163" s="398"/>
      <c r="P163" s="398"/>
      <c r="Q163" s="398"/>
      <c r="R163" s="398"/>
      <c r="S163" s="399"/>
      <c r="T163" s="399"/>
      <c r="U163" s="399"/>
      <c r="V163" s="399"/>
      <c r="W163" s="399"/>
      <c r="X163" s="399"/>
      <c r="Y163" s="399"/>
      <c r="Z163" s="398"/>
      <c r="AA163" s="398"/>
      <c r="AB163" s="398"/>
      <c r="AC163" s="398"/>
      <c r="AD163" s="398"/>
      <c r="AE163" s="398"/>
      <c r="AF163" s="398"/>
      <c r="AG163" s="398"/>
      <c r="AH163" s="348"/>
      <c r="AI163" s="348"/>
      <c r="AJ163" s="348"/>
      <c r="AK163" s="348"/>
      <c r="AL163" s="348"/>
      <c r="AM163" s="348"/>
      <c r="AN163" s="348"/>
      <c r="AO163" s="348"/>
      <c r="AP163" s="348"/>
      <c r="AQ163" s="348"/>
      <c r="AR163" s="348"/>
      <c r="AS163" s="348"/>
      <c r="AT163" s="348"/>
      <c r="AU163" s="348"/>
      <c r="AV163" s="348"/>
      <c r="AW163" s="348"/>
      <c r="AX163" s="348"/>
      <c r="AY163" s="348"/>
      <c r="AZ163" s="348"/>
      <c r="BA163" s="348"/>
      <c r="BB163" s="348"/>
      <c r="BC163" s="348"/>
      <c r="BD163" s="348"/>
      <c r="BE163" s="348"/>
      <c r="BF163" s="348"/>
      <c r="BG163" s="348"/>
      <c r="BH163" s="353"/>
      <c r="BI163" s="353"/>
      <c r="BJ163" s="353"/>
      <c r="BK163" s="353"/>
      <c r="BL163" s="353"/>
      <c r="BM163" s="353"/>
      <c r="BN163" s="353"/>
      <c r="BO163" s="353"/>
      <c r="BP163" s="353"/>
      <c r="BQ163" s="353"/>
      <c r="BR163" s="353"/>
      <c r="BS163" s="353"/>
      <c r="BT163" s="353"/>
      <c r="BU163" s="353"/>
      <c r="BV163" s="353"/>
      <c r="BW163" s="353"/>
      <c r="BX163" s="353"/>
      <c r="BY163" s="353"/>
      <c r="BZ163" s="353"/>
      <c r="CA163" s="353"/>
      <c r="CB163" s="353"/>
      <c r="CC163" s="353"/>
      <c r="CD163" s="353"/>
      <c r="CE163" s="353"/>
      <c r="CF163" s="353"/>
      <c r="CG163" s="353"/>
      <c r="CH163" s="353"/>
      <c r="CI163" s="353"/>
      <c r="CJ163" s="353"/>
      <c r="CK163" s="353"/>
      <c r="CL163" s="353"/>
      <c r="CM163" s="353"/>
      <c r="CN163" s="353"/>
      <c r="CO163" s="353"/>
      <c r="CP163" s="353"/>
      <c r="CQ163" s="353"/>
      <c r="CR163" s="353"/>
      <c r="CS163" s="353"/>
      <c r="CT163" s="353"/>
      <c r="CU163" s="353"/>
      <c r="CV163" s="353"/>
      <c r="CW163" s="353"/>
      <c r="CX163" s="353"/>
      <c r="CY163" s="353"/>
      <c r="CZ163" s="353"/>
      <c r="DA163" s="353"/>
      <c r="DB163" s="353"/>
      <c r="DC163" s="353"/>
      <c r="DD163" s="353"/>
      <c r="DE163" s="353"/>
      <c r="DF163" s="353"/>
      <c r="DG163" s="353"/>
      <c r="DH163" s="353"/>
      <c r="DI163" s="353"/>
      <c r="DJ163" s="353"/>
      <c r="DK163" s="353"/>
      <c r="DL163" s="353"/>
      <c r="DM163" s="353"/>
      <c r="DN163" s="353"/>
      <c r="DO163" s="353"/>
      <c r="DP163" s="353"/>
      <c r="DQ163" s="353"/>
      <c r="DR163" s="353"/>
    </row>
    <row r="164" spans="1:122" ht="12.75">
      <c r="A164" s="348"/>
      <c r="B164" s="398"/>
      <c r="C164" s="398"/>
      <c r="D164" s="399"/>
      <c r="E164" s="399"/>
      <c r="F164" s="399"/>
      <c r="G164" s="399"/>
      <c r="H164" s="399"/>
      <c r="I164" s="399"/>
      <c r="J164" s="399"/>
      <c r="K164" s="399"/>
      <c r="L164" s="398"/>
      <c r="M164" s="398"/>
      <c r="N164" s="398"/>
      <c r="O164" s="398"/>
      <c r="P164" s="398"/>
      <c r="Q164" s="398"/>
      <c r="R164" s="398"/>
      <c r="S164" s="399"/>
      <c r="T164" s="399"/>
      <c r="U164" s="399"/>
      <c r="V164" s="399"/>
      <c r="W164" s="399"/>
      <c r="X164" s="399"/>
      <c r="Y164" s="399"/>
      <c r="Z164" s="398"/>
      <c r="AA164" s="398"/>
      <c r="AB164" s="398"/>
      <c r="AC164" s="398"/>
      <c r="AD164" s="398"/>
      <c r="AE164" s="398"/>
      <c r="AF164" s="398"/>
      <c r="AG164" s="398"/>
      <c r="AH164" s="348"/>
      <c r="AI164" s="348"/>
      <c r="AJ164" s="348"/>
      <c r="AK164" s="348"/>
      <c r="AL164" s="348"/>
      <c r="AM164" s="348"/>
      <c r="AN164" s="348"/>
      <c r="AO164" s="348"/>
      <c r="AP164" s="348"/>
      <c r="AQ164" s="348"/>
      <c r="AR164" s="348"/>
      <c r="AS164" s="348"/>
      <c r="AT164" s="348"/>
      <c r="AU164" s="348"/>
      <c r="AV164" s="348"/>
      <c r="AW164" s="348"/>
      <c r="AX164" s="348"/>
      <c r="AY164" s="348"/>
      <c r="AZ164" s="348"/>
      <c r="BA164" s="348"/>
      <c r="BB164" s="348"/>
      <c r="BC164" s="348"/>
      <c r="BD164" s="348"/>
      <c r="BE164" s="348"/>
      <c r="BF164" s="348"/>
      <c r="BG164" s="348"/>
      <c r="BH164" s="353"/>
      <c r="BI164" s="353"/>
      <c r="BJ164" s="353"/>
      <c r="BK164" s="353"/>
      <c r="BL164" s="353"/>
      <c r="BM164" s="353"/>
      <c r="BN164" s="353"/>
      <c r="BO164" s="353"/>
      <c r="BP164" s="353"/>
      <c r="BQ164" s="353"/>
      <c r="BR164" s="353"/>
      <c r="BS164" s="353"/>
      <c r="BT164" s="353"/>
      <c r="BU164" s="353"/>
      <c r="BV164" s="353"/>
      <c r="BW164" s="353"/>
      <c r="BX164" s="353"/>
      <c r="BY164" s="353"/>
      <c r="BZ164" s="353"/>
      <c r="CA164" s="353"/>
      <c r="CB164" s="353"/>
      <c r="CC164" s="353"/>
      <c r="CD164" s="353"/>
      <c r="CE164" s="353"/>
      <c r="CF164" s="353"/>
      <c r="CG164" s="353"/>
      <c r="CH164" s="353"/>
      <c r="CI164" s="353"/>
      <c r="CJ164" s="353"/>
      <c r="CK164" s="353"/>
      <c r="CL164" s="353"/>
      <c r="CM164" s="353"/>
      <c r="CN164" s="353"/>
      <c r="CO164" s="353"/>
      <c r="CP164" s="353"/>
      <c r="CQ164" s="353"/>
      <c r="CR164" s="353"/>
      <c r="CS164" s="353"/>
      <c r="CT164" s="353"/>
      <c r="CU164" s="353"/>
      <c r="CV164" s="353"/>
      <c r="CW164" s="353"/>
      <c r="CX164" s="353"/>
      <c r="CY164" s="353"/>
      <c r="CZ164" s="353"/>
      <c r="DA164" s="353"/>
      <c r="DB164" s="353"/>
      <c r="DC164" s="353"/>
      <c r="DD164" s="353"/>
      <c r="DE164" s="353"/>
      <c r="DF164" s="353"/>
      <c r="DG164" s="353"/>
      <c r="DH164" s="353"/>
      <c r="DI164" s="353"/>
      <c r="DJ164" s="353"/>
      <c r="DK164" s="353"/>
      <c r="DL164" s="353"/>
      <c r="DM164" s="353"/>
      <c r="DN164" s="353"/>
      <c r="DO164" s="353"/>
      <c r="DP164" s="353"/>
      <c r="DQ164" s="353"/>
      <c r="DR164" s="353"/>
    </row>
    <row r="165" spans="1:122" ht="12.75">
      <c r="A165" s="348"/>
      <c r="B165" s="398"/>
      <c r="C165" s="398"/>
      <c r="D165" s="399"/>
      <c r="E165" s="399"/>
      <c r="F165" s="399"/>
      <c r="G165" s="399"/>
      <c r="H165" s="399"/>
      <c r="I165" s="399"/>
      <c r="J165" s="399"/>
      <c r="K165" s="399"/>
      <c r="L165" s="398"/>
      <c r="M165" s="398"/>
      <c r="N165" s="398"/>
      <c r="O165" s="398"/>
      <c r="P165" s="398"/>
      <c r="Q165" s="398"/>
      <c r="R165" s="398"/>
      <c r="S165" s="399"/>
      <c r="T165" s="399"/>
      <c r="U165" s="399"/>
      <c r="V165" s="399"/>
      <c r="W165" s="399"/>
      <c r="X165" s="399"/>
      <c r="Y165" s="399"/>
      <c r="Z165" s="398"/>
      <c r="AA165" s="398"/>
      <c r="AB165" s="398"/>
      <c r="AC165" s="398"/>
      <c r="AD165" s="398"/>
      <c r="AE165" s="398"/>
      <c r="AF165" s="398"/>
      <c r="AG165" s="398"/>
      <c r="AH165" s="348"/>
      <c r="AI165" s="348"/>
      <c r="AJ165" s="348"/>
      <c r="AK165" s="348"/>
      <c r="AL165" s="348"/>
      <c r="AM165" s="348"/>
      <c r="AN165" s="348"/>
      <c r="AO165" s="348"/>
      <c r="AP165" s="348"/>
      <c r="AQ165" s="348"/>
      <c r="AR165" s="348"/>
      <c r="AS165" s="348"/>
      <c r="AT165" s="348"/>
      <c r="AU165" s="348"/>
      <c r="AV165" s="348"/>
      <c r="AW165" s="348"/>
      <c r="AX165" s="348"/>
      <c r="AY165" s="348"/>
      <c r="AZ165" s="348"/>
      <c r="BA165" s="348"/>
      <c r="BB165" s="348"/>
      <c r="BC165" s="348"/>
      <c r="BD165" s="348"/>
      <c r="BE165" s="348"/>
      <c r="BF165" s="348"/>
      <c r="BG165" s="348"/>
      <c r="BH165" s="353"/>
      <c r="BI165" s="353"/>
      <c r="BJ165" s="353"/>
      <c r="BK165" s="353"/>
      <c r="BL165" s="353"/>
      <c r="BM165" s="353"/>
      <c r="BN165" s="353"/>
      <c r="BO165" s="353"/>
      <c r="BP165" s="353"/>
      <c r="BQ165" s="353"/>
      <c r="BR165" s="353"/>
      <c r="BS165" s="353"/>
      <c r="BT165" s="353"/>
      <c r="BU165" s="353"/>
      <c r="BV165" s="353"/>
      <c r="BW165" s="353"/>
      <c r="BX165" s="353"/>
      <c r="BY165" s="353"/>
      <c r="BZ165" s="353"/>
      <c r="CA165" s="353"/>
      <c r="CB165" s="353"/>
      <c r="CC165" s="353"/>
      <c r="CD165" s="353"/>
      <c r="CE165" s="353"/>
      <c r="CF165" s="353"/>
      <c r="CG165" s="353"/>
      <c r="CH165" s="353"/>
      <c r="CI165" s="353"/>
      <c r="CJ165" s="353"/>
      <c r="CK165" s="353"/>
      <c r="CL165" s="353"/>
      <c r="CM165" s="353"/>
      <c r="CN165" s="353"/>
      <c r="CO165" s="353"/>
      <c r="CP165" s="353"/>
      <c r="CQ165" s="353"/>
      <c r="CR165" s="353"/>
      <c r="CS165" s="353"/>
      <c r="CT165" s="353"/>
      <c r="CU165" s="353"/>
      <c r="CV165" s="353"/>
      <c r="CW165" s="353"/>
      <c r="CX165" s="353"/>
      <c r="CY165" s="353"/>
      <c r="CZ165" s="353"/>
      <c r="DA165" s="353"/>
      <c r="DB165" s="353"/>
      <c r="DC165" s="353"/>
      <c r="DD165" s="353"/>
      <c r="DE165" s="353"/>
      <c r="DF165" s="353"/>
      <c r="DG165" s="353"/>
      <c r="DH165" s="353"/>
      <c r="DI165" s="353"/>
      <c r="DJ165" s="353"/>
      <c r="DK165" s="353"/>
      <c r="DL165" s="353"/>
      <c r="DM165" s="353"/>
      <c r="DN165" s="353"/>
      <c r="DO165" s="353"/>
      <c r="DP165" s="353"/>
      <c r="DQ165" s="353"/>
      <c r="DR165" s="353"/>
    </row>
    <row r="166" spans="1:122" ht="12.75">
      <c r="A166" s="348"/>
      <c r="B166" s="398"/>
      <c r="C166" s="398"/>
      <c r="D166" s="399"/>
      <c r="E166" s="399"/>
      <c r="F166" s="399"/>
      <c r="G166" s="399"/>
      <c r="H166" s="399"/>
      <c r="I166" s="399"/>
      <c r="J166" s="399"/>
      <c r="K166" s="399"/>
      <c r="L166" s="398"/>
      <c r="M166" s="398"/>
      <c r="N166" s="398"/>
      <c r="O166" s="398"/>
      <c r="P166" s="398"/>
      <c r="Q166" s="398"/>
      <c r="R166" s="398"/>
      <c r="S166" s="399"/>
      <c r="T166" s="399"/>
      <c r="U166" s="399"/>
      <c r="V166" s="399"/>
      <c r="W166" s="399"/>
      <c r="X166" s="399"/>
      <c r="Y166" s="399"/>
      <c r="Z166" s="398"/>
      <c r="AA166" s="398"/>
      <c r="AB166" s="398"/>
      <c r="AC166" s="398"/>
      <c r="AD166" s="398"/>
      <c r="AE166" s="398"/>
      <c r="AF166" s="398"/>
      <c r="AG166" s="398"/>
      <c r="AH166" s="348"/>
      <c r="AI166" s="348"/>
      <c r="AJ166" s="348"/>
      <c r="AK166" s="348"/>
      <c r="AL166" s="348"/>
      <c r="AM166" s="348"/>
      <c r="AN166" s="348"/>
      <c r="AO166" s="348"/>
      <c r="AP166" s="348"/>
      <c r="AQ166" s="348"/>
      <c r="AR166" s="348"/>
      <c r="AS166" s="348"/>
      <c r="AT166" s="348"/>
      <c r="AU166" s="348"/>
      <c r="AV166" s="348"/>
      <c r="AW166" s="348"/>
      <c r="AX166" s="348"/>
      <c r="AY166" s="348"/>
      <c r="AZ166" s="348"/>
      <c r="BA166" s="348"/>
      <c r="BB166" s="348"/>
      <c r="BC166" s="348"/>
      <c r="BD166" s="348"/>
      <c r="BE166" s="348"/>
      <c r="BF166" s="348"/>
      <c r="BG166" s="348"/>
      <c r="BH166" s="353"/>
      <c r="BI166" s="353"/>
      <c r="BJ166" s="353"/>
      <c r="BK166" s="353"/>
      <c r="BL166" s="353"/>
      <c r="BM166" s="353"/>
      <c r="BN166" s="353"/>
      <c r="BO166" s="353"/>
      <c r="BP166" s="353"/>
      <c r="BQ166" s="353"/>
      <c r="BR166" s="353"/>
      <c r="BS166" s="353"/>
      <c r="BT166" s="353"/>
      <c r="BU166" s="353"/>
      <c r="BV166" s="353"/>
      <c r="BW166" s="353"/>
      <c r="BX166" s="353"/>
      <c r="BY166" s="353"/>
      <c r="BZ166" s="353"/>
      <c r="CA166" s="353"/>
      <c r="CB166" s="353"/>
      <c r="CC166" s="353"/>
      <c r="CD166" s="353"/>
      <c r="CE166" s="353"/>
      <c r="CF166" s="353"/>
      <c r="CG166" s="353"/>
      <c r="CH166" s="353"/>
      <c r="CI166" s="353"/>
      <c r="CJ166" s="353"/>
      <c r="CK166" s="353"/>
      <c r="CL166" s="353"/>
      <c r="CM166" s="353"/>
      <c r="CN166" s="353"/>
      <c r="CO166" s="353"/>
      <c r="CP166" s="353"/>
      <c r="CQ166" s="353"/>
      <c r="CR166" s="353"/>
      <c r="CS166" s="353"/>
      <c r="CT166" s="353"/>
      <c r="CU166" s="353"/>
      <c r="CV166" s="353"/>
      <c r="CW166" s="353"/>
      <c r="CX166" s="353"/>
      <c r="CY166" s="353"/>
      <c r="CZ166" s="353"/>
      <c r="DA166" s="353"/>
      <c r="DB166" s="353"/>
      <c r="DC166" s="353"/>
      <c r="DD166" s="353"/>
      <c r="DE166" s="353"/>
      <c r="DF166" s="353"/>
      <c r="DG166" s="353"/>
      <c r="DH166" s="353"/>
      <c r="DI166" s="353"/>
      <c r="DJ166" s="353"/>
      <c r="DK166" s="353"/>
      <c r="DL166" s="353"/>
      <c r="DM166" s="353"/>
      <c r="DN166" s="353"/>
      <c r="DO166" s="353"/>
      <c r="DP166" s="353"/>
      <c r="DQ166" s="353"/>
      <c r="DR166" s="353"/>
    </row>
    <row r="167" spans="1:122" ht="12.75">
      <c r="A167" s="348"/>
      <c r="B167" s="398"/>
      <c r="C167" s="398"/>
      <c r="D167" s="399"/>
      <c r="E167" s="399"/>
      <c r="F167" s="399"/>
      <c r="G167" s="399"/>
      <c r="H167" s="399"/>
      <c r="I167" s="399"/>
      <c r="J167" s="399"/>
      <c r="K167" s="399"/>
      <c r="L167" s="398"/>
      <c r="M167" s="398"/>
      <c r="N167" s="398"/>
      <c r="O167" s="398"/>
      <c r="P167" s="398"/>
      <c r="Q167" s="398"/>
      <c r="R167" s="398"/>
      <c r="S167" s="399"/>
      <c r="T167" s="399"/>
      <c r="U167" s="399"/>
      <c r="V167" s="399"/>
      <c r="W167" s="399"/>
      <c r="X167" s="399"/>
      <c r="Y167" s="399"/>
      <c r="Z167" s="398"/>
      <c r="AA167" s="398"/>
      <c r="AB167" s="398"/>
      <c r="AC167" s="398"/>
      <c r="AD167" s="398"/>
      <c r="AE167" s="398"/>
      <c r="AF167" s="398"/>
      <c r="AG167" s="398"/>
      <c r="AH167" s="348"/>
      <c r="AI167" s="348"/>
      <c r="AJ167" s="348"/>
      <c r="AK167" s="348"/>
      <c r="AL167" s="348"/>
      <c r="AM167" s="348"/>
      <c r="AN167" s="348"/>
      <c r="AO167" s="348"/>
      <c r="AP167" s="348"/>
      <c r="AQ167" s="348"/>
      <c r="AR167" s="348"/>
      <c r="AS167" s="348"/>
      <c r="AT167" s="348"/>
      <c r="AU167" s="348"/>
      <c r="AV167" s="348"/>
      <c r="AW167" s="348"/>
      <c r="AX167" s="348"/>
      <c r="AY167" s="348"/>
      <c r="AZ167" s="348"/>
      <c r="BA167" s="348"/>
      <c r="BB167" s="348"/>
      <c r="BC167" s="348"/>
      <c r="BD167" s="348"/>
      <c r="BE167" s="348"/>
      <c r="BF167" s="348"/>
      <c r="BG167" s="348"/>
      <c r="BH167" s="353"/>
      <c r="BI167" s="353"/>
      <c r="BJ167" s="353"/>
      <c r="BK167" s="353"/>
      <c r="BL167" s="353"/>
      <c r="BM167" s="353"/>
      <c r="BN167" s="353"/>
      <c r="BO167" s="353"/>
      <c r="BP167" s="353"/>
      <c r="BQ167" s="353"/>
      <c r="BR167" s="353"/>
      <c r="BS167" s="353"/>
      <c r="BT167" s="353"/>
      <c r="BU167" s="353"/>
      <c r="BV167" s="353"/>
      <c r="BW167" s="353"/>
      <c r="BX167" s="353"/>
      <c r="BY167" s="353"/>
      <c r="BZ167" s="353"/>
      <c r="CA167" s="353"/>
      <c r="CB167" s="353"/>
      <c r="CC167" s="353"/>
      <c r="CD167" s="353"/>
      <c r="CE167" s="353"/>
      <c r="CF167" s="353"/>
      <c r="CG167" s="353"/>
      <c r="CH167" s="353"/>
      <c r="CI167" s="353"/>
      <c r="CJ167" s="353"/>
      <c r="CK167" s="353"/>
      <c r="CL167" s="353"/>
      <c r="CM167" s="353"/>
      <c r="CN167" s="353"/>
      <c r="CO167" s="353"/>
      <c r="CP167" s="353"/>
      <c r="CQ167" s="353"/>
      <c r="CR167" s="353"/>
      <c r="CS167" s="353"/>
      <c r="CT167" s="353"/>
      <c r="CU167" s="353"/>
      <c r="CV167" s="353"/>
      <c r="CW167" s="353"/>
      <c r="CX167" s="353"/>
      <c r="CY167" s="353"/>
      <c r="CZ167" s="353"/>
      <c r="DA167" s="353"/>
      <c r="DB167" s="353"/>
      <c r="DC167" s="353"/>
      <c r="DD167" s="353"/>
      <c r="DE167" s="353"/>
      <c r="DF167" s="353"/>
      <c r="DG167" s="353"/>
      <c r="DH167" s="353"/>
      <c r="DI167" s="353"/>
      <c r="DJ167" s="353"/>
      <c r="DK167" s="353"/>
      <c r="DL167" s="353"/>
      <c r="DM167" s="353"/>
      <c r="DN167" s="353"/>
      <c r="DO167" s="353"/>
      <c r="DP167" s="353"/>
      <c r="DQ167" s="353"/>
      <c r="DR167" s="353"/>
    </row>
    <row r="168" spans="1:122" ht="12.75">
      <c r="A168" s="348"/>
      <c r="B168" s="398"/>
      <c r="C168" s="398"/>
      <c r="D168" s="399"/>
      <c r="E168" s="399"/>
      <c r="F168" s="399"/>
      <c r="G168" s="399"/>
      <c r="H168" s="399"/>
      <c r="I168" s="399"/>
      <c r="J168" s="399"/>
      <c r="K168" s="399"/>
      <c r="L168" s="398"/>
      <c r="M168" s="398"/>
      <c r="N168" s="398"/>
      <c r="O168" s="398"/>
      <c r="P168" s="398"/>
      <c r="Q168" s="398"/>
      <c r="R168" s="398"/>
      <c r="S168" s="399"/>
      <c r="T168" s="399"/>
      <c r="U168" s="399"/>
      <c r="V168" s="399"/>
      <c r="W168" s="399"/>
      <c r="X168" s="399"/>
      <c r="Y168" s="399"/>
      <c r="Z168" s="398"/>
      <c r="AA168" s="398"/>
      <c r="AB168" s="398"/>
      <c r="AC168" s="398"/>
      <c r="AD168" s="398"/>
      <c r="AE168" s="398"/>
      <c r="AF168" s="398"/>
      <c r="AG168" s="398"/>
      <c r="AH168" s="348"/>
      <c r="AI168" s="348"/>
      <c r="AJ168" s="348"/>
      <c r="AK168" s="348"/>
      <c r="AL168" s="348"/>
      <c r="AM168" s="348"/>
      <c r="AN168" s="348"/>
      <c r="AO168" s="348"/>
      <c r="AP168" s="348"/>
      <c r="AQ168" s="348"/>
      <c r="AR168" s="348"/>
      <c r="AS168" s="348"/>
      <c r="AT168" s="348"/>
      <c r="AU168" s="348"/>
      <c r="AV168" s="348"/>
      <c r="AW168" s="348"/>
      <c r="AX168" s="348"/>
      <c r="AY168" s="348"/>
      <c r="AZ168" s="348"/>
      <c r="BA168" s="348"/>
      <c r="BB168" s="348"/>
      <c r="BC168" s="348"/>
      <c r="BD168" s="348"/>
      <c r="BE168" s="348"/>
      <c r="BF168" s="348"/>
      <c r="BG168" s="348"/>
      <c r="BH168" s="353"/>
      <c r="BI168" s="353"/>
      <c r="BJ168" s="353"/>
      <c r="BK168" s="353"/>
      <c r="BL168" s="353"/>
      <c r="BM168" s="353"/>
      <c r="BN168" s="353"/>
      <c r="BO168" s="353"/>
      <c r="BP168" s="353"/>
      <c r="BQ168" s="353"/>
      <c r="BR168" s="353"/>
      <c r="BS168" s="353"/>
      <c r="BT168" s="353"/>
      <c r="BU168" s="353"/>
      <c r="BV168" s="353"/>
      <c r="BW168" s="353"/>
      <c r="BX168" s="353"/>
      <c r="BY168" s="353"/>
      <c r="BZ168" s="353"/>
      <c r="CA168" s="353"/>
      <c r="CB168" s="353"/>
      <c r="CC168" s="353"/>
      <c r="CD168" s="353"/>
      <c r="CE168" s="353"/>
      <c r="CF168" s="353"/>
      <c r="CG168" s="353"/>
      <c r="CH168" s="353"/>
      <c r="CI168" s="353"/>
      <c r="CJ168" s="353"/>
      <c r="CK168" s="353"/>
      <c r="CL168" s="353"/>
      <c r="CM168" s="353"/>
      <c r="CN168" s="353"/>
      <c r="CO168" s="353"/>
      <c r="CP168" s="353"/>
      <c r="CQ168" s="353"/>
      <c r="CR168" s="353"/>
      <c r="CS168" s="353"/>
      <c r="CT168" s="353"/>
      <c r="CU168" s="353"/>
      <c r="CV168" s="353"/>
      <c r="CW168" s="353"/>
      <c r="CX168" s="353"/>
      <c r="CY168" s="353"/>
      <c r="CZ168" s="353"/>
      <c r="DA168" s="353"/>
      <c r="DB168" s="353"/>
      <c r="DC168" s="353"/>
      <c r="DD168" s="353"/>
      <c r="DE168" s="353"/>
      <c r="DF168" s="353"/>
      <c r="DG168" s="353"/>
      <c r="DH168" s="353"/>
      <c r="DI168" s="353"/>
      <c r="DJ168" s="353"/>
      <c r="DK168" s="353"/>
      <c r="DL168" s="353"/>
      <c r="DM168" s="353"/>
      <c r="DN168" s="353"/>
      <c r="DO168" s="353"/>
      <c r="DP168" s="353"/>
      <c r="DQ168" s="353"/>
      <c r="DR168" s="353"/>
    </row>
    <row r="169" spans="1:122" ht="12.75">
      <c r="A169" s="348"/>
      <c r="B169" s="398"/>
      <c r="C169" s="398"/>
      <c r="D169" s="399"/>
      <c r="E169" s="399"/>
      <c r="F169" s="399"/>
      <c r="G169" s="399"/>
      <c r="H169" s="399"/>
      <c r="I169" s="399"/>
      <c r="J169" s="399"/>
      <c r="K169" s="399"/>
      <c r="L169" s="398"/>
      <c r="M169" s="398"/>
      <c r="N169" s="398"/>
      <c r="O169" s="398"/>
      <c r="P169" s="398"/>
      <c r="Q169" s="398"/>
      <c r="R169" s="398"/>
      <c r="S169" s="399"/>
      <c r="T169" s="399"/>
      <c r="U169" s="399"/>
      <c r="V169" s="399"/>
      <c r="W169" s="399"/>
      <c r="X169" s="399"/>
      <c r="Y169" s="399"/>
      <c r="Z169" s="398"/>
      <c r="AA169" s="398"/>
      <c r="AB169" s="398"/>
      <c r="AC169" s="398"/>
      <c r="AD169" s="398"/>
      <c r="AE169" s="398"/>
      <c r="AF169" s="398"/>
      <c r="AG169" s="398"/>
      <c r="AH169" s="348"/>
      <c r="AI169" s="348"/>
      <c r="AJ169" s="348"/>
      <c r="AK169" s="348"/>
      <c r="AL169" s="348"/>
      <c r="AM169" s="348"/>
      <c r="AN169" s="348"/>
      <c r="AO169" s="348"/>
      <c r="AP169" s="348"/>
      <c r="AQ169" s="348"/>
      <c r="AR169" s="348"/>
      <c r="AS169" s="348"/>
      <c r="AT169" s="348"/>
      <c r="AU169" s="348"/>
      <c r="AV169" s="348"/>
      <c r="AW169" s="348"/>
      <c r="AX169" s="348"/>
      <c r="AY169" s="348"/>
      <c r="AZ169" s="348"/>
      <c r="BA169" s="348"/>
      <c r="BB169" s="348"/>
      <c r="BC169" s="348"/>
      <c r="BD169" s="348"/>
      <c r="BE169" s="348"/>
      <c r="BF169" s="348"/>
      <c r="BG169" s="348"/>
      <c r="BH169" s="353"/>
      <c r="BI169" s="353"/>
      <c r="BJ169" s="353"/>
      <c r="BK169" s="353"/>
      <c r="BL169" s="353"/>
      <c r="BM169" s="353"/>
      <c r="BN169" s="353"/>
      <c r="BO169" s="353"/>
      <c r="BP169" s="353"/>
      <c r="BQ169" s="353"/>
      <c r="BR169" s="353"/>
      <c r="BS169" s="353"/>
      <c r="BT169" s="353"/>
      <c r="BU169" s="353"/>
      <c r="BV169" s="353"/>
      <c r="BW169" s="353"/>
      <c r="BX169" s="353"/>
      <c r="BY169" s="353"/>
      <c r="BZ169" s="353"/>
      <c r="CA169" s="353"/>
      <c r="CB169" s="353"/>
      <c r="CC169" s="353"/>
      <c r="CD169" s="353"/>
      <c r="CE169" s="353"/>
      <c r="CF169" s="353"/>
      <c r="CG169" s="353"/>
      <c r="CH169" s="353"/>
      <c r="CI169" s="353"/>
      <c r="CJ169" s="353"/>
      <c r="CK169" s="353"/>
      <c r="CL169" s="353"/>
      <c r="CM169" s="353"/>
      <c r="CN169" s="353"/>
      <c r="CO169" s="353"/>
      <c r="CP169" s="353"/>
      <c r="CQ169" s="353"/>
      <c r="CR169" s="353"/>
      <c r="CS169" s="353"/>
      <c r="CT169" s="353"/>
      <c r="CU169" s="353"/>
      <c r="CV169" s="353"/>
      <c r="CW169" s="353"/>
      <c r="CX169" s="353"/>
      <c r="CY169" s="353"/>
      <c r="CZ169" s="353"/>
      <c r="DA169" s="353"/>
      <c r="DB169" s="353"/>
      <c r="DC169" s="353"/>
      <c r="DD169" s="353"/>
      <c r="DE169" s="353"/>
      <c r="DF169" s="353"/>
      <c r="DG169" s="353"/>
      <c r="DH169" s="353"/>
      <c r="DI169" s="353"/>
      <c r="DJ169" s="353"/>
      <c r="DK169" s="353"/>
      <c r="DL169" s="353"/>
      <c r="DM169" s="353"/>
      <c r="DN169" s="353"/>
      <c r="DO169" s="353"/>
      <c r="DP169" s="353"/>
      <c r="DQ169" s="353"/>
      <c r="DR169" s="353"/>
    </row>
    <row r="170" spans="1:122" ht="12.75">
      <c r="A170" s="348"/>
      <c r="B170" s="398"/>
      <c r="C170" s="398"/>
      <c r="D170" s="399"/>
      <c r="E170" s="399"/>
      <c r="F170" s="399"/>
      <c r="G170" s="399"/>
      <c r="H170" s="399"/>
      <c r="I170" s="399"/>
      <c r="J170" s="399"/>
      <c r="K170" s="399"/>
      <c r="L170" s="398"/>
      <c r="M170" s="398"/>
      <c r="N170" s="398"/>
      <c r="O170" s="398"/>
      <c r="P170" s="398"/>
      <c r="Q170" s="398"/>
      <c r="R170" s="398"/>
      <c r="S170" s="399"/>
      <c r="T170" s="399"/>
      <c r="U170" s="399"/>
      <c r="V170" s="399"/>
      <c r="W170" s="399"/>
      <c r="X170" s="399"/>
      <c r="Y170" s="399"/>
      <c r="Z170" s="398"/>
      <c r="AA170" s="398"/>
      <c r="AB170" s="398"/>
      <c r="AC170" s="398"/>
      <c r="AD170" s="398"/>
      <c r="AE170" s="398"/>
      <c r="AF170" s="398"/>
      <c r="AG170" s="398"/>
      <c r="AH170" s="348"/>
      <c r="AI170" s="348"/>
      <c r="AJ170" s="348"/>
      <c r="AK170" s="348"/>
      <c r="AL170" s="348"/>
      <c r="AM170" s="348"/>
      <c r="AN170" s="348"/>
      <c r="AO170" s="348"/>
      <c r="AP170" s="348"/>
      <c r="AQ170" s="348"/>
      <c r="AR170" s="348"/>
      <c r="AS170" s="348"/>
      <c r="AT170" s="348"/>
      <c r="AU170" s="348"/>
      <c r="AV170" s="348"/>
      <c r="AW170" s="348"/>
      <c r="AX170" s="348"/>
      <c r="AY170" s="348"/>
      <c r="AZ170" s="348"/>
      <c r="BA170" s="348"/>
      <c r="BB170" s="348"/>
      <c r="BC170" s="348"/>
      <c r="BD170" s="348"/>
      <c r="BE170" s="348"/>
      <c r="BF170" s="348"/>
      <c r="BG170" s="348"/>
      <c r="BH170" s="353"/>
      <c r="BI170" s="353"/>
      <c r="BJ170" s="353"/>
      <c r="BK170" s="353"/>
      <c r="BL170" s="353"/>
      <c r="BM170" s="353"/>
      <c r="BN170" s="353"/>
      <c r="BO170" s="353"/>
      <c r="BP170" s="353"/>
      <c r="BQ170" s="353"/>
      <c r="BR170" s="353"/>
      <c r="BS170" s="353"/>
      <c r="BT170" s="353"/>
      <c r="BU170" s="353"/>
      <c r="BV170" s="353"/>
      <c r="BW170" s="353"/>
      <c r="BX170" s="353"/>
      <c r="BY170" s="353"/>
      <c r="BZ170" s="353"/>
      <c r="CA170" s="353"/>
      <c r="CB170" s="353"/>
      <c r="CC170" s="353"/>
      <c r="CD170" s="353"/>
      <c r="CE170" s="353"/>
      <c r="CF170" s="353"/>
      <c r="CG170" s="353"/>
      <c r="CH170" s="353"/>
      <c r="CI170" s="353"/>
      <c r="CJ170" s="353"/>
      <c r="CK170" s="353"/>
      <c r="CL170" s="353"/>
      <c r="CM170" s="353"/>
      <c r="CN170" s="353"/>
      <c r="CO170" s="353"/>
      <c r="CP170" s="353"/>
      <c r="CQ170" s="353"/>
      <c r="CR170" s="353"/>
      <c r="CS170" s="353"/>
      <c r="CT170" s="353"/>
      <c r="CU170" s="353"/>
      <c r="CV170" s="353"/>
      <c r="CW170" s="353"/>
      <c r="CX170" s="353"/>
      <c r="CY170" s="353"/>
      <c r="CZ170" s="353"/>
      <c r="DA170" s="353"/>
      <c r="DB170" s="353"/>
      <c r="DC170" s="353"/>
      <c r="DD170" s="353"/>
      <c r="DE170" s="353"/>
      <c r="DF170" s="353"/>
      <c r="DG170" s="353"/>
      <c r="DH170" s="353"/>
      <c r="DI170" s="353"/>
      <c r="DJ170" s="353"/>
      <c r="DK170" s="353"/>
      <c r="DL170" s="353"/>
      <c r="DM170" s="353"/>
      <c r="DN170" s="353"/>
      <c r="DO170" s="353"/>
      <c r="DP170" s="353"/>
      <c r="DQ170" s="353"/>
      <c r="DR170" s="353"/>
    </row>
    <row r="171" spans="1:122" ht="12.75">
      <c r="A171" s="348"/>
      <c r="B171" s="398"/>
      <c r="C171" s="398"/>
      <c r="D171" s="399"/>
      <c r="E171" s="399"/>
      <c r="F171" s="399"/>
      <c r="G171" s="399"/>
      <c r="H171" s="399"/>
      <c r="I171" s="399"/>
      <c r="J171" s="399"/>
      <c r="K171" s="399"/>
      <c r="L171" s="398"/>
      <c r="M171" s="398"/>
      <c r="N171" s="398"/>
      <c r="O171" s="398"/>
      <c r="P171" s="398"/>
      <c r="Q171" s="398"/>
      <c r="R171" s="398"/>
      <c r="S171" s="399"/>
      <c r="T171" s="399"/>
      <c r="U171" s="399"/>
      <c r="V171" s="399"/>
      <c r="W171" s="399"/>
      <c r="X171" s="399"/>
      <c r="Y171" s="399"/>
      <c r="Z171" s="398"/>
      <c r="AA171" s="398"/>
      <c r="AB171" s="398"/>
      <c r="AC171" s="398"/>
      <c r="AD171" s="398"/>
      <c r="AE171" s="398"/>
      <c r="AF171" s="398"/>
      <c r="AG171" s="398"/>
      <c r="AH171" s="348"/>
      <c r="AI171" s="348"/>
      <c r="AJ171" s="348"/>
      <c r="AK171" s="348"/>
      <c r="AL171" s="348"/>
      <c r="AM171" s="348"/>
      <c r="AN171" s="348"/>
      <c r="AO171" s="348"/>
      <c r="AP171" s="348"/>
      <c r="AQ171" s="348"/>
      <c r="AR171" s="348"/>
      <c r="AS171" s="348"/>
      <c r="AT171" s="348"/>
      <c r="AU171" s="348"/>
      <c r="AV171" s="348"/>
      <c r="AW171" s="348"/>
      <c r="AX171" s="348"/>
      <c r="AY171" s="348"/>
      <c r="AZ171" s="348"/>
      <c r="BA171" s="348"/>
      <c r="BB171" s="348"/>
      <c r="BC171" s="348"/>
      <c r="BD171" s="348"/>
      <c r="BE171" s="348"/>
      <c r="BF171" s="348"/>
      <c r="BG171" s="348"/>
      <c r="BH171" s="353"/>
      <c r="BI171" s="353"/>
      <c r="BJ171" s="353"/>
      <c r="BK171" s="353"/>
      <c r="BL171" s="353"/>
      <c r="BM171" s="353"/>
      <c r="BN171" s="353"/>
      <c r="BO171" s="353"/>
      <c r="BP171" s="353"/>
      <c r="BQ171" s="353"/>
      <c r="BR171" s="353"/>
      <c r="BS171" s="353"/>
      <c r="BT171" s="353"/>
      <c r="BU171" s="353"/>
      <c r="BV171" s="353"/>
      <c r="BW171" s="353"/>
      <c r="BX171" s="353"/>
      <c r="BY171" s="353"/>
      <c r="BZ171" s="353"/>
      <c r="CA171" s="353"/>
      <c r="CB171" s="353"/>
      <c r="CC171" s="353"/>
      <c r="CD171" s="353"/>
      <c r="CE171" s="353"/>
      <c r="CF171" s="353"/>
      <c r="CG171" s="353"/>
      <c r="CH171" s="353"/>
      <c r="CI171" s="353"/>
      <c r="CJ171" s="353"/>
      <c r="CK171" s="353"/>
      <c r="CL171" s="353"/>
      <c r="CM171" s="353"/>
      <c r="CN171" s="353"/>
      <c r="CO171" s="353"/>
      <c r="CP171" s="353"/>
      <c r="CQ171" s="353"/>
      <c r="CR171" s="353"/>
      <c r="CS171" s="353"/>
      <c r="CT171" s="353"/>
      <c r="CU171" s="353"/>
      <c r="CV171" s="353"/>
      <c r="CW171" s="353"/>
      <c r="CX171" s="353"/>
      <c r="CY171" s="353"/>
      <c r="CZ171" s="353"/>
      <c r="DA171" s="353"/>
      <c r="DB171" s="353"/>
      <c r="DC171" s="353"/>
      <c r="DD171" s="353"/>
      <c r="DE171" s="353"/>
      <c r="DF171" s="353"/>
      <c r="DG171" s="353"/>
      <c r="DH171" s="353"/>
      <c r="DI171" s="353"/>
      <c r="DJ171" s="353"/>
      <c r="DK171" s="353"/>
      <c r="DL171" s="353"/>
      <c r="DM171" s="353"/>
      <c r="DN171" s="353"/>
      <c r="DO171" s="353"/>
      <c r="DP171" s="353"/>
      <c r="DQ171" s="353"/>
      <c r="DR171" s="353"/>
    </row>
    <row r="172" spans="1:122" ht="12.75">
      <c r="A172" s="348"/>
      <c r="B172" s="398"/>
      <c r="C172" s="398"/>
      <c r="D172" s="399"/>
      <c r="E172" s="399"/>
      <c r="F172" s="399"/>
      <c r="G172" s="399"/>
      <c r="H172" s="399"/>
      <c r="I172" s="399"/>
      <c r="J172" s="399"/>
      <c r="K172" s="399"/>
      <c r="L172" s="398"/>
      <c r="M172" s="398"/>
      <c r="N172" s="398"/>
      <c r="O172" s="398"/>
      <c r="P172" s="398"/>
      <c r="Q172" s="398"/>
      <c r="R172" s="398"/>
      <c r="S172" s="399"/>
      <c r="T172" s="399"/>
      <c r="U172" s="399"/>
      <c r="V172" s="399"/>
      <c r="W172" s="399"/>
      <c r="X172" s="399"/>
      <c r="Y172" s="399"/>
      <c r="Z172" s="398"/>
      <c r="AA172" s="398"/>
      <c r="AB172" s="398"/>
      <c r="AC172" s="398"/>
      <c r="AD172" s="398"/>
      <c r="AE172" s="398"/>
      <c r="AF172" s="398"/>
      <c r="AG172" s="398"/>
      <c r="AH172" s="348"/>
      <c r="AI172" s="348"/>
      <c r="AJ172" s="348"/>
      <c r="AK172" s="348"/>
      <c r="AL172" s="348"/>
      <c r="AM172" s="348"/>
      <c r="AN172" s="348"/>
      <c r="AO172" s="348"/>
      <c r="AP172" s="348"/>
      <c r="AQ172" s="348"/>
      <c r="AR172" s="348"/>
      <c r="AS172" s="348"/>
      <c r="AT172" s="348"/>
      <c r="AU172" s="348"/>
      <c r="AV172" s="348"/>
      <c r="AW172" s="348"/>
      <c r="AX172" s="348"/>
      <c r="AY172" s="348"/>
      <c r="AZ172" s="348"/>
      <c r="BA172" s="348"/>
      <c r="BB172" s="348"/>
      <c r="BC172" s="348"/>
      <c r="BD172" s="348"/>
      <c r="BE172" s="348"/>
      <c r="BF172" s="348"/>
      <c r="BG172" s="348"/>
      <c r="BH172" s="353"/>
      <c r="BI172" s="353"/>
      <c r="BJ172" s="353"/>
      <c r="BK172" s="353"/>
      <c r="BL172" s="353"/>
      <c r="BM172" s="353"/>
      <c r="BN172" s="353"/>
      <c r="BO172" s="353"/>
      <c r="BP172" s="353"/>
      <c r="BQ172" s="353"/>
      <c r="BR172" s="353"/>
      <c r="BS172" s="353"/>
      <c r="BT172" s="353"/>
      <c r="BU172" s="353"/>
      <c r="BV172" s="353"/>
      <c r="BW172" s="353"/>
      <c r="BX172" s="353"/>
      <c r="BY172" s="353"/>
      <c r="BZ172" s="353"/>
      <c r="CA172" s="353"/>
      <c r="CB172" s="353"/>
      <c r="CC172" s="353"/>
      <c r="CD172" s="353"/>
      <c r="CE172" s="353"/>
      <c r="CF172" s="353"/>
      <c r="CG172" s="353"/>
      <c r="CH172" s="353"/>
      <c r="CI172" s="353"/>
      <c r="CJ172" s="353"/>
      <c r="CK172" s="353"/>
      <c r="CL172" s="353"/>
      <c r="CM172" s="353"/>
      <c r="CN172" s="353"/>
      <c r="CO172" s="353"/>
      <c r="CP172" s="353"/>
      <c r="CQ172" s="353"/>
      <c r="CR172" s="353"/>
      <c r="CS172" s="353"/>
      <c r="CT172" s="353"/>
      <c r="CU172" s="353"/>
      <c r="CV172" s="353"/>
      <c r="CW172" s="353"/>
      <c r="CX172" s="353"/>
      <c r="CY172" s="353"/>
      <c r="CZ172" s="353"/>
      <c r="DA172" s="353"/>
      <c r="DB172" s="353"/>
      <c r="DC172" s="353"/>
      <c r="DD172" s="353"/>
      <c r="DE172" s="353"/>
      <c r="DF172" s="353"/>
      <c r="DG172" s="353"/>
      <c r="DH172" s="353"/>
      <c r="DI172" s="353"/>
      <c r="DJ172" s="353"/>
      <c r="DK172" s="353"/>
      <c r="DL172" s="353"/>
      <c r="DM172" s="353"/>
      <c r="DN172" s="353"/>
      <c r="DO172" s="353"/>
      <c r="DP172" s="353"/>
      <c r="DQ172" s="353"/>
      <c r="DR172" s="353"/>
    </row>
    <row r="173" spans="1:122" ht="12.75">
      <c r="A173" s="348"/>
      <c r="B173" s="398"/>
      <c r="C173" s="398"/>
      <c r="D173" s="399"/>
      <c r="E173" s="399"/>
      <c r="F173" s="399"/>
      <c r="G173" s="399"/>
      <c r="H173" s="399"/>
      <c r="I173" s="399"/>
      <c r="J173" s="399"/>
      <c r="K173" s="399"/>
      <c r="L173" s="398"/>
      <c r="M173" s="398"/>
      <c r="N173" s="398"/>
      <c r="O173" s="398"/>
      <c r="P173" s="398"/>
      <c r="Q173" s="398"/>
      <c r="R173" s="398"/>
      <c r="S173" s="399"/>
      <c r="T173" s="399"/>
      <c r="U173" s="399"/>
      <c r="V173" s="399"/>
      <c r="W173" s="399"/>
      <c r="X173" s="399"/>
      <c r="Y173" s="399"/>
      <c r="Z173" s="398"/>
      <c r="AA173" s="398"/>
      <c r="AB173" s="398"/>
      <c r="AC173" s="398"/>
      <c r="AD173" s="398"/>
      <c r="AE173" s="398"/>
      <c r="AF173" s="398"/>
      <c r="AG173" s="398"/>
      <c r="AH173" s="348"/>
      <c r="AI173" s="348"/>
      <c r="AJ173" s="348"/>
      <c r="AK173" s="348"/>
      <c r="AL173" s="348"/>
      <c r="AM173" s="348"/>
      <c r="AN173" s="348"/>
      <c r="AO173" s="348"/>
      <c r="AP173" s="348"/>
      <c r="AQ173" s="348"/>
      <c r="AR173" s="348"/>
      <c r="AS173" s="348"/>
      <c r="AT173" s="348"/>
      <c r="AU173" s="348"/>
      <c r="AV173" s="348"/>
      <c r="AW173" s="348"/>
      <c r="AX173" s="348"/>
      <c r="AY173" s="348"/>
      <c r="AZ173" s="348"/>
      <c r="BA173" s="348"/>
      <c r="BB173" s="348"/>
      <c r="BC173" s="348"/>
      <c r="BD173" s="348"/>
      <c r="BE173" s="348"/>
      <c r="BF173" s="348"/>
      <c r="BG173" s="348"/>
      <c r="BH173" s="353"/>
      <c r="BI173" s="353"/>
      <c r="BJ173" s="353"/>
      <c r="BK173" s="353"/>
      <c r="BL173" s="353"/>
      <c r="BM173" s="353"/>
      <c r="BN173" s="353"/>
      <c r="BO173" s="353"/>
      <c r="BP173" s="353"/>
      <c r="BQ173" s="353"/>
      <c r="BR173" s="353"/>
      <c r="BS173" s="353"/>
      <c r="BT173" s="353"/>
      <c r="BU173" s="353"/>
      <c r="BV173" s="353"/>
      <c r="BW173" s="353"/>
      <c r="BX173" s="353"/>
      <c r="BY173" s="353"/>
      <c r="BZ173" s="353"/>
      <c r="CA173" s="353"/>
      <c r="CB173" s="353"/>
      <c r="CC173" s="353"/>
      <c r="CD173" s="353"/>
      <c r="CE173" s="353"/>
      <c r="CF173" s="353"/>
      <c r="CG173" s="353"/>
      <c r="CH173" s="353"/>
      <c r="CI173" s="353"/>
      <c r="CJ173" s="353"/>
      <c r="CK173" s="353"/>
      <c r="CL173" s="353"/>
      <c r="CM173" s="353"/>
      <c r="CN173" s="353"/>
      <c r="CO173" s="353"/>
      <c r="CP173" s="353"/>
      <c r="CQ173" s="353"/>
      <c r="CR173" s="353"/>
      <c r="CS173" s="353"/>
      <c r="CT173" s="353"/>
      <c r="CU173" s="353"/>
      <c r="CV173" s="353"/>
      <c r="CW173" s="353"/>
      <c r="CX173" s="353"/>
      <c r="CY173" s="353"/>
      <c r="CZ173" s="353"/>
      <c r="DA173" s="353"/>
      <c r="DB173" s="353"/>
      <c r="DC173" s="353"/>
      <c r="DD173" s="353"/>
      <c r="DE173" s="353"/>
      <c r="DF173" s="353"/>
      <c r="DG173" s="353"/>
      <c r="DH173" s="353"/>
      <c r="DI173" s="353"/>
      <c r="DJ173" s="353"/>
      <c r="DK173" s="353"/>
      <c r="DL173" s="353"/>
      <c r="DM173" s="353"/>
      <c r="DN173" s="353"/>
      <c r="DO173" s="353"/>
      <c r="DP173" s="353"/>
      <c r="DQ173" s="353"/>
      <c r="DR173" s="353"/>
    </row>
    <row r="174" spans="1:122" ht="12.75">
      <c r="A174" s="348"/>
      <c r="B174" s="398"/>
      <c r="C174" s="398"/>
      <c r="D174" s="399"/>
      <c r="E174" s="399"/>
      <c r="F174" s="399"/>
      <c r="G174" s="399"/>
      <c r="H174" s="399"/>
      <c r="I174" s="399"/>
      <c r="J174" s="399"/>
      <c r="K174" s="399"/>
      <c r="L174" s="398"/>
      <c r="M174" s="398"/>
      <c r="N174" s="398"/>
      <c r="O174" s="398"/>
      <c r="P174" s="398"/>
      <c r="Q174" s="398"/>
      <c r="R174" s="398"/>
      <c r="S174" s="399"/>
      <c r="T174" s="399"/>
      <c r="U174" s="399"/>
      <c r="V174" s="399"/>
      <c r="W174" s="399"/>
      <c r="X174" s="399"/>
      <c r="Y174" s="399"/>
      <c r="Z174" s="398"/>
      <c r="AA174" s="398"/>
      <c r="AB174" s="398"/>
      <c r="AC174" s="398"/>
      <c r="AD174" s="398"/>
      <c r="AE174" s="398"/>
      <c r="AF174" s="398"/>
      <c r="AG174" s="398"/>
      <c r="AH174" s="348"/>
      <c r="AI174" s="348"/>
      <c r="AJ174" s="348"/>
      <c r="AK174" s="348"/>
      <c r="AL174" s="348"/>
      <c r="AM174" s="348"/>
      <c r="AN174" s="348"/>
      <c r="AO174" s="348"/>
      <c r="AP174" s="348"/>
      <c r="AQ174" s="348"/>
      <c r="AR174" s="348"/>
      <c r="AS174" s="348"/>
      <c r="AT174" s="348"/>
      <c r="AU174" s="348"/>
      <c r="AV174" s="348"/>
      <c r="AW174" s="348"/>
      <c r="AX174" s="348"/>
      <c r="AY174" s="348"/>
      <c r="AZ174" s="348"/>
      <c r="BA174" s="348"/>
      <c r="BB174" s="348"/>
      <c r="BC174" s="348"/>
      <c r="BD174" s="348"/>
      <c r="BE174" s="348"/>
      <c r="BF174" s="348"/>
      <c r="BG174" s="348"/>
      <c r="BH174" s="353"/>
      <c r="BI174" s="353"/>
      <c r="BJ174" s="353"/>
      <c r="BK174" s="353"/>
      <c r="BL174" s="353"/>
      <c r="BM174" s="353"/>
      <c r="BN174" s="353"/>
      <c r="BO174" s="353"/>
      <c r="BP174" s="353"/>
      <c r="BQ174" s="353"/>
      <c r="BR174" s="353"/>
      <c r="BS174" s="353"/>
      <c r="BT174" s="353"/>
      <c r="BU174" s="353"/>
      <c r="BV174" s="353"/>
      <c r="BW174" s="353"/>
      <c r="BX174" s="353"/>
      <c r="BY174" s="353"/>
      <c r="BZ174" s="353"/>
      <c r="CA174" s="353"/>
      <c r="CB174" s="353"/>
      <c r="CC174" s="353"/>
      <c r="CD174" s="353"/>
      <c r="CE174" s="353"/>
      <c r="CF174" s="353"/>
      <c r="CG174" s="353"/>
      <c r="CH174" s="353"/>
      <c r="CI174" s="353"/>
      <c r="CJ174" s="353"/>
      <c r="CK174" s="353"/>
      <c r="CL174" s="353"/>
      <c r="CM174" s="353"/>
      <c r="CN174" s="353"/>
      <c r="CO174" s="353"/>
      <c r="CP174" s="353"/>
      <c r="CQ174" s="353"/>
      <c r="CR174" s="353"/>
      <c r="CS174" s="353"/>
      <c r="CT174" s="353"/>
      <c r="CU174" s="353"/>
      <c r="CV174" s="353"/>
      <c r="CW174" s="353"/>
      <c r="CX174" s="353"/>
      <c r="CY174" s="353"/>
      <c r="CZ174" s="353"/>
      <c r="DA174" s="353"/>
      <c r="DB174" s="353"/>
      <c r="DC174" s="353"/>
      <c r="DD174" s="353"/>
      <c r="DE174" s="353"/>
      <c r="DF174" s="353"/>
      <c r="DG174" s="353"/>
      <c r="DH174" s="353"/>
      <c r="DI174" s="353"/>
      <c r="DJ174" s="353"/>
      <c r="DK174" s="353"/>
      <c r="DL174" s="353"/>
      <c r="DM174" s="353"/>
      <c r="DN174" s="353"/>
      <c r="DO174" s="353"/>
      <c r="DP174" s="353"/>
      <c r="DQ174" s="353"/>
      <c r="DR174" s="353"/>
    </row>
    <row r="175" spans="1:122" ht="12.75">
      <c r="A175" s="348"/>
      <c r="B175" s="398"/>
      <c r="C175" s="398"/>
      <c r="D175" s="399"/>
      <c r="E175" s="399"/>
      <c r="F175" s="399"/>
      <c r="G175" s="399"/>
      <c r="H175" s="399"/>
      <c r="I175" s="399"/>
      <c r="J175" s="399"/>
      <c r="K175" s="399"/>
      <c r="L175" s="398"/>
      <c r="M175" s="398"/>
      <c r="N175" s="398"/>
      <c r="O175" s="398"/>
      <c r="P175" s="398"/>
      <c r="Q175" s="398"/>
      <c r="R175" s="398"/>
      <c r="S175" s="399"/>
      <c r="T175" s="399"/>
      <c r="U175" s="399"/>
      <c r="V175" s="399"/>
      <c r="W175" s="399"/>
      <c r="X175" s="399"/>
      <c r="Y175" s="399"/>
      <c r="Z175" s="398"/>
      <c r="AA175" s="398"/>
      <c r="AB175" s="398"/>
      <c r="AC175" s="398"/>
      <c r="AD175" s="398"/>
      <c r="AE175" s="398"/>
      <c r="AF175" s="398"/>
      <c r="AG175" s="398"/>
      <c r="AH175" s="348"/>
      <c r="AI175" s="348"/>
      <c r="AJ175" s="348"/>
      <c r="AK175" s="348"/>
      <c r="AL175" s="348"/>
      <c r="AM175" s="348"/>
      <c r="AN175" s="348"/>
      <c r="AO175" s="348"/>
      <c r="AP175" s="348"/>
      <c r="AQ175" s="348"/>
      <c r="AR175" s="348"/>
      <c r="AS175" s="348"/>
      <c r="AT175" s="348"/>
      <c r="AU175" s="348"/>
      <c r="AV175" s="348"/>
      <c r="AW175" s="348"/>
      <c r="AX175" s="348"/>
      <c r="AY175" s="348"/>
      <c r="AZ175" s="348"/>
      <c r="BA175" s="348"/>
      <c r="BB175" s="348"/>
      <c r="BC175" s="348"/>
      <c r="BD175" s="348"/>
      <c r="BE175" s="348"/>
      <c r="BF175" s="348"/>
      <c r="BG175" s="348"/>
      <c r="BH175" s="353"/>
      <c r="BI175" s="353"/>
      <c r="BJ175" s="353"/>
      <c r="BK175" s="353"/>
      <c r="BL175" s="353"/>
      <c r="BM175" s="353"/>
      <c r="BN175" s="353"/>
      <c r="BO175" s="353"/>
      <c r="BP175" s="353"/>
      <c r="BQ175" s="353"/>
      <c r="BR175" s="353"/>
      <c r="BS175" s="353"/>
      <c r="BT175" s="353"/>
      <c r="BU175" s="353"/>
      <c r="BV175" s="353"/>
      <c r="BW175" s="353"/>
      <c r="BX175" s="353"/>
      <c r="BY175" s="353"/>
      <c r="BZ175" s="353"/>
      <c r="CA175" s="353"/>
      <c r="CB175" s="353"/>
      <c r="CC175" s="353"/>
      <c r="CD175" s="353"/>
      <c r="CE175" s="353"/>
      <c r="CF175" s="353"/>
      <c r="CG175" s="353"/>
      <c r="CH175" s="353"/>
      <c r="CI175" s="353"/>
      <c r="CJ175" s="353"/>
      <c r="CK175" s="353"/>
      <c r="CL175" s="353"/>
      <c r="CM175" s="353"/>
      <c r="CN175" s="353"/>
      <c r="CO175" s="353"/>
      <c r="CP175" s="353"/>
      <c r="CQ175" s="353"/>
      <c r="CR175" s="353"/>
      <c r="CS175" s="353"/>
      <c r="CT175" s="353"/>
      <c r="CU175" s="353"/>
      <c r="CV175" s="353"/>
      <c r="CW175" s="353"/>
      <c r="CX175" s="353"/>
      <c r="CY175" s="353"/>
      <c r="CZ175" s="353"/>
      <c r="DA175" s="353"/>
      <c r="DB175" s="353"/>
      <c r="DC175" s="353"/>
      <c r="DD175" s="353"/>
      <c r="DE175" s="353"/>
      <c r="DF175" s="353"/>
      <c r="DG175" s="353"/>
      <c r="DH175" s="353"/>
      <c r="DI175" s="353"/>
      <c r="DJ175" s="353"/>
      <c r="DK175" s="353"/>
      <c r="DL175" s="353"/>
      <c r="DM175" s="353"/>
      <c r="DN175" s="353"/>
      <c r="DO175" s="353"/>
      <c r="DP175" s="353"/>
      <c r="DQ175" s="353"/>
      <c r="DR175" s="353"/>
    </row>
    <row r="176" spans="1:122" ht="12.75">
      <c r="A176" s="348"/>
      <c r="B176" s="398"/>
      <c r="C176" s="398"/>
      <c r="D176" s="399"/>
      <c r="E176" s="399"/>
      <c r="F176" s="399"/>
      <c r="G176" s="399"/>
      <c r="H176" s="399"/>
      <c r="I176" s="399"/>
      <c r="J176" s="399"/>
      <c r="K176" s="399"/>
      <c r="L176" s="398"/>
      <c r="M176" s="398"/>
      <c r="N176" s="398"/>
      <c r="O176" s="398"/>
      <c r="P176" s="398"/>
      <c r="Q176" s="398"/>
      <c r="R176" s="398"/>
      <c r="S176" s="399"/>
      <c r="T176" s="399"/>
      <c r="U176" s="399"/>
      <c r="V176" s="399"/>
      <c r="W176" s="399"/>
      <c r="X176" s="399"/>
      <c r="Y176" s="399"/>
      <c r="Z176" s="398"/>
      <c r="AA176" s="398"/>
      <c r="AB176" s="398"/>
      <c r="AC176" s="398"/>
      <c r="AD176" s="398"/>
      <c r="AE176" s="398"/>
      <c r="AF176" s="398"/>
      <c r="AG176" s="398"/>
      <c r="AH176" s="348"/>
      <c r="AI176" s="348"/>
      <c r="AJ176" s="348"/>
      <c r="AK176" s="348"/>
      <c r="AL176" s="348"/>
      <c r="AM176" s="348"/>
      <c r="AN176" s="348"/>
      <c r="AO176" s="348"/>
      <c r="AP176" s="348"/>
      <c r="AQ176" s="348"/>
      <c r="AR176" s="348"/>
      <c r="AS176" s="348"/>
      <c r="AT176" s="348"/>
      <c r="AU176" s="348"/>
      <c r="AV176" s="348"/>
      <c r="AW176" s="348"/>
      <c r="AX176" s="348"/>
      <c r="AY176" s="348"/>
      <c r="AZ176" s="348"/>
      <c r="BA176" s="348"/>
      <c r="BB176" s="348"/>
      <c r="BC176" s="348"/>
      <c r="BD176" s="348"/>
      <c r="BE176" s="348"/>
      <c r="BF176" s="348"/>
      <c r="BG176" s="348"/>
      <c r="BH176" s="353"/>
      <c r="BI176" s="353"/>
      <c r="BJ176" s="353"/>
      <c r="BK176" s="353"/>
      <c r="BL176" s="353"/>
      <c r="BM176" s="353"/>
      <c r="BN176" s="353"/>
      <c r="BO176" s="353"/>
      <c r="BP176" s="353"/>
      <c r="BQ176" s="353"/>
      <c r="BR176" s="353"/>
      <c r="BS176" s="353"/>
      <c r="BT176" s="353"/>
      <c r="BU176" s="353"/>
      <c r="BV176" s="353"/>
      <c r="BW176" s="353"/>
      <c r="BX176" s="353"/>
      <c r="BY176" s="353"/>
      <c r="BZ176" s="353"/>
      <c r="CA176" s="353"/>
      <c r="CB176" s="353"/>
      <c r="CC176" s="353"/>
      <c r="CD176" s="353"/>
      <c r="CE176" s="353"/>
      <c r="CF176" s="353"/>
      <c r="CG176" s="353"/>
      <c r="CH176" s="353"/>
      <c r="CI176" s="353"/>
      <c r="CJ176" s="353"/>
      <c r="CK176" s="353"/>
      <c r="CL176" s="353"/>
      <c r="CM176" s="353"/>
      <c r="CN176" s="353"/>
      <c r="CO176" s="353"/>
      <c r="CP176" s="353"/>
      <c r="CQ176" s="353"/>
      <c r="CR176" s="353"/>
      <c r="CS176" s="353"/>
      <c r="CT176" s="353"/>
      <c r="CU176" s="353"/>
      <c r="CV176" s="353"/>
      <c r="CW176" s="353"/>
      <c r="CX176" s="353"/>
      <c r="CY176" s="353"/>
      <c r="CZ176" s="353"/>
      <c r="DA176" s="353"/>
      <c r="DB176" s="353"/>
      <c r="DC176" s="353"/>
      <c r="DD176" s="353"/>
      <c r="DE176" s="353"/>
      <c r="DF176" s="353"/>
      <c r="DG176" s="353"/>
      <c r="DH176" s="353"/>
      <c r="DI176" s="353"/>
      <c r="DJ176" s="353"/>
      <c r="DK176" s="353"/>
      <c r="DL176" s="353"/>
      <c r="DM176" s="353"/>
      <c r="DN176" s="353"/>
      <c r="DO176" s="353"/>
      <c r="DP176" s="353"/>
      <c r="DQ176" s="353"/>
      <c r="DR176" s="353"/>
    </row>
    <row r="177" spans="1:122" ht="12.75">
      <c r="A177" s="348"/>
      <c r="B177" s="398"/>
      <c r="C177" s="398"/>
      <c r="D177" s="399"/>
      <c r="E177" s="399"/>
      <c r="F177" s="399"/>
      <c r="G177" s="399"/>
      <c r="H177" s="399"/>
      <c r="I177" s="399"/>
      <c r="J177" s="399"/>
      <c r="K177" s="399"/>
      <c r="L177" s="398"/>
      <c r="M177" s="398"/>
      <c r="N177" s="398"/>
      <c r="O177" s="398"/>
      <c r="P177" s="398"/>
      <c r="Q177" s="398"/>
      <c r="R177" s="398"/>
      <c r="S177" s="399"/>
      <c r="T177" s="399"/>
      <c r="U177" s="399"/>
      <c r="V177" s="399"/>
      <c r="W177" s="399"/>
      <c r="X177" s="399"/>
      <c r="Y177" s="399"/>
      <c r="Z177" s="398"/>
      <c r="AA177" s="398"/>
      <c r="AB177" s="398"/>
      <c r="AC177" s="398"/>
      <c r="AD177" s="398"/>
      <c r="AE177" s="398"/>
      <c r="AF177" s="398"/>
      <c r="AG177" s="398"/>
      <c r="AH177" s="348"/>
      <c r="AI177" s="348"/>
      <c r="AJ177" s="348"/>
      <c r="AK177" s="348"/>
      <c r="AL177" s="348"/>
      <c r="AM177" s="348"/>
      <c r="AN177" s="348"/>
      <c r="AO177" s="348"/>
      <c r="AP177" s="348"/>
      <c r="AQ177" s="348"/>
      <c r="AR177" s="348"/>
      <c r="AS177" s="348"/>
      <c r="AT177" s="348"/>
      <c r="AU177" s="348"/>
      <c r="AV177" s="348"/>
      <c r="AW177" s="348"/>
      <c r="AX177" s="348"/>
      <c r="AY177" s="348"/>
      <c r="AZ177" s="348"/>
      <c r="BA177" s="348"/>
      <c r="BB177" s="348"/>
      <c r="BC177" s="348"/>
      <c r="BD177" s="348"/>
      <c r="BE177" s="348"/>
      <c r="BF177" s="348"/>
      <c r="BG177" s="348"/>
      <c r="BH177" s="353"/>
      <c r="BI177" s="353"/>
      <c r="BJ177" s="353"/>
      <c r="BK177" s="353"/>
      <c r="BL177" s="353"/>
      <c r="BM177" s="353"/>
      <c r="BN177" s="353"/>
      <c r="BO177" s="353"/>
      <c r="BP177" s="353"/>
      <c r="BQ177" s="353"/>
      <c r="BR177" s="353"/>
      <c r="BS177" s="353"/>
      <c r="BT177" s="353"/>
      <c r="BU177" s="353"/>
      <c r="BV177" s="353"/>
      <c r="BW177" s="353"/>
      <c r="BX177" s="353"/>
      <c r="BY177" s="353"/>
      <c r="BZ177" s="353"/>
      <c r="CA177" s="353"/>
      <c r="CB177" s="353"/>
      <c r="CC177" s="353"/>
      <c r="CD177" s="353"/>
      <c r="CE177" s="353"/>
      <c r="CF177" s="353"/>
      <c r="CG177" s="353"/>
      <c r="CH177" s="353"/>
      <c r="CI177" s="353"/>
      <c r="CJ177" s="353"/>
      <c r="CK177" s="353"/>
      <c r="CL177" s="353"/>
      <c r="CM177" s="353"/>
      <c r="CN177" s="353"/>
      <c r="CO177" s="353"/>
      <c r="CP177" s="353"/>
      <c r="CQ177" s="353"/>
      <c r="CR177" s="353"/>
      <c r="CS177" s="353"/>
      <c r="CT177" s="353"/>
      <c r="CU177" s="353"/>
      <c r="CV177" s="353"/>
      <c r="CW177" s="353"/>
      <c r="CX177" s="353"/>
      <c r="CY177" s="353"/>
      <c r="CZ177" s="353"/>
      <c r="DA177" s="353"/>
      <c r="DB177" s="353"/>
      <c r="DC177" s="353"/>
      <c r="DD177" s="353"/>
      <c r="DE177" s="353"/>
      <c r="DF177" s="353"/>
      <c r="DG177" s="353"/>
      <c r="DH177" s="353"/>
      <c r="DI177" s="353"/>
      <c r="DJ177" s="353"/>
      <c r="DK177" s="353"/>
      <c r="DL177" s="353"/>
      <c r="DM177" s="353"/>
      <c r="DN177" s="353"/>
      <c r="DO177" s="353"/>
      <c r="DP177" s="353"/>
      <c r="DQ177" s="353"/>
      <c r="DR177" s="353"/>
    </row>
    <row r="178" spans="1:122" ht="12.75">
      <c r="A178" s="348"/>
      <c r="B178" s="398"/>
      <c r="C178" s="398"/>
      <c r="D178" s="399"/>
      <c r="E178" s="399"/>
      <c r="F178" s="399"/>
      <c r="G178" s="399"/>
      <c r="H178" s="399"/>
      <c r="I178" s="399"/>
      <c r="J178" s="399"/>
      <c r="K178" s="399"/>
      <c r="L178" s="398"/>
      <c r="M178" s="398"/>
      <c r="N178" s="398"/>
      <c r="O178" s="398"/>
      <c r="P178" s="398"/>
      <c r="Q178" s="398"/>
      <c r="R178" s="398"/>
      <c r="S178" s="399"/>
      <c r="T178" s="399"/>
      <c r="U178" s="399"/>
      <c r="V178" s="399"/>
      <c r="W178" s="399"/>
      <c r="X178" s="399"/>
      <c r="Y178" s="399"/>
      <c r="Z178" s="398"/>
      <c r="AA178" s="398"/>
      <c r="AB178" s="398"/>
      <c r="AC178" s="398"/>
      <c r="AD178" s="398"/>
      <c r="AE178" s="398"/>
      <c r="AF178" s="398"/>
      <c r="AG178" s="398"/>
      <c r="AH178" s="348"/>
      <c r="AI178" s="348"/>
      <c r="AJ178" s="348"/>
      <c r="AK178" s="348"/>
      <c r="AL178" s="348"/>
      <c r="AM178" s="348"/>
      <c r="AN178" s="348"/>
      <c r="AO178" s="348"/>
      <c r="AP178" s="348"/>
      <c r="AQ178" s="348"/>
      <c r="AR178" s="348"/>
      <c r="AS178" s="348"/>
      <c r="AT178" s="348"/>
      <c r="AU178" s="348"/>
      <c r="AV178" s="348"/>
      <c r="AW178" s="348"/>
      <c r="AX178" s="348"/>
      <c r="AY178" s="348"/>
      <c r="AZ178" s="348"/>
      <c r="BA178" s="348"/>
      <c r="BB178" s="348"/>
      <c r="BC178" s="348"/>
      <c r="BD178" s="348"/>
      <c r="BE178" s="348"/>
      <c r="BF178" s="348"/>
      <c r="BG178" s="348"/>
      <c r="BH178" s="353"/>
      <c r="BI178" s="353"/>
      <c r="BJ178" s="353"/>
      <c r="BK178" s="353"/>
      <c r="BL178" s="353"/>
      <c r="BM178" s="353"/>
      <c r="BN178" s="353"/>
      <c r="BO178" s="353"/>
      <c r="BP178" s="353"/>
      <c r="BQ178" s="353"/>
      <c r="BR178" s="353"/>
      <c r="BS178" s="353"/>
      <c r="BT178" s="353"/>
      <c r="BU178" s="353"/>
      <c r="BV178" s="353"/>
      <c r="BW178" s="353"/>
      <c r="BX178" s="353"/>
      <c r="BY178" s="353"/>
      <c r="BZ178" s="353"/>
      <c r="CA178" s="353"/>
      <c r="CB178" s="353"/>
      <c r="CC178" s="353"/>
      <c r="CD178" s="353"/>
      <c r="CE178" s="353"/>
      <c r="CF178" s="353"/>
      <c r="CG178" s="353"/>
      <c r="CH178" s="353"/>
      <c r="CI178" s="353"/>
      <c r="CJ178" s="353"/>
      <c r="CK178" s="353"/>
      <c r="CL178" s="353"/>
      <c r="CM178" s="353"/>
      <c r="CN178" s="353"/>
      <c r="CO178" s="353"/>
      <c r="CP178" s="353"/>
      <c r="CQ178" s="353"/>
      <c r="CR178" s="353"/>
      <c r="CS178" s="353"/>
      <c r="CT178" s="353"/>
      <c r="CU178" s="353"/>
      <c r="CV178" s="353"/>
      <c r="CW178" s="353"/>
      <c r="CX178" s="353"/>
      <c r="CY178" s="353"/>
      <c r="CZ178" s="353"/>
      <c r="DA178" s="353"/>
      <c r="DB178" s="353"/>
      <c r="DC178" s="353"/>
      <c r="DD178" s="353"/>
      <c r="DE178" s="353"/>
      <c r="DF178" s="353"/>
      <c r="DG178" s="353"/>
      <c r="DH178" s="353"/>
      <c r="DI178" s="353"/>
      <c r="DJ178" s="353"/>
      <c r="DK178" s="353"/>
      <c r="DL178" s="353"/>
      <c r="DM178" s="353"/>
      <c r="DN178" s="353"/>
      <c r="DO178" s="353"/>
      <c r="DP178" s="353"/>
      <c r="DQ178" s="353"/>
      <c r="DR178" s="353"/>
    </row>
    <row r="179" spans="1:122" ht="12.75">
      <c r="A179" s="348"/>
      <c r="B179" s="398"/>
      <c r="C179" s="398"/>
      <c r="D179" s="399"/>
      <c r="E179" s="399"/>
      <c r="F179" s="399"/>
      <c r="G179" s="399"/>
      <c r="H179" s="399"/>
      <c r="I179" s="399"/>
      <c r="J179" s="399"/>
      <c r="K179" s="399"/>
      <c r="L179" s="398"/>
      <c r="M179" s="398"/>
      <c r="N179" s="398"/>
      <c r="O179" s="398"/>
      <c r="P179" s="398"/>
      <c r="Q179" s="398"/>
      <c r="R179" s="398"/>
      <c r="S179" s="399"/>
      <c r="T179" s="399"/>
      <c r="U179" s="399"/>
      <c r="V179" s="399"/>
      <c r="W179" s="399"/>
      <c r="X179" s="399"/>
      <c r="Y179" s="399"/>
      <c r="Z179" s="398"/>
      <c r="AA179" s="398"/>
      <c r="AB179" s="398"/>
      <c r="AC179" s="398"/>
      <c r="AD179" s="398"/>
      <c r="AE179" s="398"/>
      <c r="AF179" s="398"/>
      <c r="AG179" s="398"/>
      <c r="AH179" s="348"/>
      <c r="AI179" s="348"/>
      <c r="AJ179" s="348"/>
      <c r="AK179" s="348"/>
      <c r="AL179" s="348"/>
      <c r="AM179" s="348"/>
      <c r="AN179" s="348"/>
      <c r="AO179" s="348"/>
      <c r="AP179" s="348"/>
      <c r="AQ179" s="348"/>
      <c r="AR179" s="348"/>
      <c r="AS179" s="348"/>
      <c r="AT179" s="348"/>
      <c r="AU179" s="348"/>
      <c r="AV179" s="348"/>
      <c r="AW179" s="348"/>
      <c r="AX179" s="348"/>
      <c r="AY179" s="348"/>
      <c r="AZ179" s="348"/>
      <c r="BA179" s="348"/>
      <c r="BB179" s="348"/>
      <c r="BC179" s="348"/>
      <c r="BD179" s="348"/>
      <c r="BE179" s="348"/>
      <c r="BF179" s="348"/>
      <c r="BG179" s="348"/>
      <c r="BH179" s="353"/>
      <c r="BI179" s="353"/>
      <c r="BJ179" s="353"/>
      <c r="BK179" s="353"/>
      <c r="BL179" s="353"/>
      <c r="BM179" s="353"/>
      <c r="BN179" s="353"/>
      <c r="BO179" s="353"/>
      <c r="BP179" s="353"/>
      <c r="BQ179" s="353"/>
      <c r="BR179" s="353"/>
      <c r="BS179" s="353"/>
      <c r="BT179" s="353"/>
      <c r="BU179" s="353"/>
      <c r="BV179" s="353"/>
      <c r="BW179" s="353"/>
      <c r="BX179" s="353"/>
      <c r="BY179" s="353"/>
      <c r="BZ179" s="353"/>
      <c r="CA179" s="353"/>
      <c r="CB179" s="353"/>
      <c r="CC179" s="353"/>
      <c r="CD179" s="353"/>
      <c r="CE179" s="353"/>
      <c r="CF179" s="353"/>
      <c r="CG179" s="353"/>
      <c r="CH179" s="353"/>
      <c r="CI179" s="353"/>
      <c r="CJ179" s="353"/>
      <c r="CK179" s="353"/>
      <c r="CL179" s="353"/>
      <c r="CM179" s="353"/>
      <c r="CN179" s="353"/>
      <c r="CO179" s="353"/>
      <c r="CP179" s="353"/>
      <c r="CQ179" s="353"/>
      <c r="CR179" s="353"/>
      <c r="CS179" s="353"/>
      <c r="CT179" s="353"/>
      <c r="CU179" s="353"/>
      <c r="CV179" s="353"/>
      <c r="CW179" s="353"/>
      <c r="CX179" s="353"/>
      <c r="CY179" s="353"/>
      <c r="CZ179" s="353"/>
      <c r="DA179" s="353"/>
      <c r="DB179" s="353"/>
      <c r="DC179" s="353"/>
      <c r="DD179" s="353"/>
      <c r="DE179" s="353"/>
      <c r="DF179" s="353"/>
      <c r="DG179" s="353"/>
      <c r="DH179" s="353"/>
      <c r="DI179" s="353"/>
      <c r="DJ179" s="353"/>
      <c r="DK179" s="353"/>
      <c r="DL179" s="353"/>
      <c r="DM179" s="353"/>
      <c r="DN179" s="353"/>
      <c r="DO179" s="353"/>
      <c r="DP179" s="353"/>
      <c r="DQ179" s="353"/>
      <c r="DR179" s="353"/>
    </row>
    <row r="180" spans="1:122" ht="12.75">
      <c r="A180" s="348"/>
      <c r="B180" s="398"/>
      <c r="C180" s="398"/>
      <c r="D180" s="399"/>
      <c r="E180" s="399"/>
      <c r="F180" s="399"/>
      <c r="G180" s="399"/>
      <c r="H180" s="399"/>
      <c r="I180" s="399"/>
      <c r="J180" s="399"/>
      <c r="K180" s="399"/>
      <c r="L180" s="398"/>
      <c r="M180" s="398"/>
      <c r="N180" s="398"/>
      <c r="O180" s="398"/>
      <c r="P180" s="398"/>
      <c r="Q180" s="398"/>
      <c r="R180" s="398"/>
      <c r="S180" s="399"/>
      <c r="T180" s="399"/>
      <c r="U180" s="399"/>
      <c r="V180" s="399"/>
      <c r="W180" s="399"/>
      <c r="X180" s="399"/>
      <c r="Y180" s="399"/>
      <c r="Z180" s="398"/>
      <c r="AA180" s="398"/>
      <c r="AB180" s="398"/>
      <c r="AC180" s="398"/>
      <c r="AD180" s="398"/>
      <c r="AE180" s="398"/>
      <c r="AF180" s="398"/>
      <c r="AG180" s="398"/>
      <c r="AH180" s="348"/>
      <c r="AI180" s="348"/>
      <c r="AJ180" s="348"/>
      <c r="AK180" s="348"/>
      <c r="AL180" s="348"/>
      <c r="AM180" s="348"/>
      <c r="AN180" s="348"/>
      <c r="AO180" s="348"/>
      <c r="AP180" s="348"/>
      <c r="AQ180" s="348"/>
      <c r="AR180" s="348"/>
      <c r="AS180" s="348"/>
      <c r="AT180" s="348"/>
      <c r="AU180" s="348"/>
      <c r="AV180" s="348"/>
      <c r="AW180" s="348"/>
      <c r="AX180" s="348"/>
      <c r="AY180" s="348"/>
      <c r="AZ180" s="348"/>
      <c r="BA180" s="348"/>
      <c r="BB180" s="348"/>
      <c r="BC180" s="348"/>
      <c r="BD180" s="348"/>
      <c r="BE180" s="348"/>
      <c r="BF180" s="348"/>
      <c r="BG180" s="348"/>
      <c r="BH180" s="353"/>
      <c r="BI180" s="353"/>
      <c r="BJ180" s="353"/>
      <c r="BK180" s="353"/>
      <c r="BL180" s="353"/>
      <c r="BM180" s="353"/>
      <c r="BN180" s="353"/>
      <c r="BO180" s="353"/>
      <c r="BP180" s="353"/>
      <c r="BQ180" s="353"/>
      <c r="BR180" s="353"/>
      <c r="BS180" s="353"/>
      <c r="BT180" s="353"/>
      <c r="BU180" s="353"/>
      <c r="BV180" s="353"/>
      <c r="BW180" s="353"/>
      <c r="BX180" s="353"/>
      <c r="BY180" s="353"/>
      <c r="BZ180" s="353"/>
      <c r="CA180" s="353"/>
      <c r="CB180" s="353"/>
      <c r="CC180" s="353"/>
      <c r="CD180" s="353"/>
      <c r="CE180" s="353"/>
      <c r="CF180" s="353"/>
      <c r="CG180" s="353"/>
      <c r="CH180" s="353"/>
      <c r="CI180" s="353"/>
      <c r="CJ180" s="353"/>
      <c r="CK180" s="353"/>
      <c r="CL180" s="353"/>
      <c r="CM180" s="353"/>
      <c r="CN180" s="353"/>
      <c r="CO180" s="353"/>
      <c r="CP180" s="353"/>
      <c r="CQ180" s="353"/>
      <c r="CR180" s="353"/>
      <c r="CS180" s="353"/>
      <c r="CT180" s="353"/>
      <c r="CU180" s="353"/>
      <c r="CV180" s="353"/>
      <c r="CW180" s="353"/>
      <c r="CX180" s="353"/>
      <c r="CY180" s="353"/>
      <c r="CZ180" s="353"/>
      <c r="DA180" s="353"/>
      <c r="DB180" s="353"/>
      <c r="DC180" s="353"/>
      <c r="DD180" s="353"/>
      <c r="DE180" s="353"/>
      <c r="DF180" s="353"/>
      <c r="DG180" s="353"/>
      <c r="DH180" s="353"/>
      <c r="DI180" s="353"/>
      <c r="DJ180" s="353"/>
      <c r="DK180" s="353"/>
      <c r="DL180" s="353"/>
      <c r="DM180" s="353"/>
      <c r="DN180" s="353"/>
      <c r="DO180" s="353"/>
      <c r="DP180" s="353"/>
      <c r="DQ180" s="353"/>
      <c r="DR180" s="353"/>
    </row>
    <row r="181" spans="1:122" ht="12.75">
      <c r="A181" s="348"/>
      <c r="B181" s="398"/>
      <c r="C181" s="398"/>
      <c r="D181" s="399"/>
      <c r="E181" s="399"/>
      <c r="F181" s="399"/>
      <c r="G181" s="399"/>
      <c r="H181" s="399"/>
      <c r="I181" s="399"/>
      <c r="J181" s="399"/>
      <c r="K181" s="399"/>
      <c r="L181" s="398"/>
      <c r="M181" s="398"/>
      <c r="N181" s="398"/>
      <c r="O181" s="398"/>
      <c r="P181" s="398"/>
      <c r="Q181" s="398"/>
      <c r="R181" s="398"/>
      <c r="S181" s="399"/>
      <c r="T181" s="399"/>
      <c r="U181" s="399"/>
      <c r="V181" s="399"/>
      <c r="W181" s="399"/>
      <c r="X181" s="399"/>
      <c r="Y181" s="399"/>
      <c r="Z181" s="398"/>
      <c r="AA181" s="398"/>
      <c r="AB181" s="398"/>
      <c r="AC181" s="398"/>
      <c r="AD181" s="398"/>
      <c r="AE181" s="398"/>
      <c r="AF181" s="398"/>
      <c r="AG181" s="398"/>
      <c r="AH181" s="348"/>
      <c r="AI181" s="348"/>
      <c r="AJ181" s="348"/>
      <c r="AK181" s="348"/>
      <c r="AL181" s="348"/>
      <c r="AM181" s="348"/>
      <c r="AN181" s="348"/>
      <c r="AO181" s="348"/>
      <c r="AP181" s="348"/>
      <c r="AQ181" s="348"/>
      <c r="AR181" s="348"/>
      <c r="AS181" s="348"/>
      <c r="AT181" s="348"/>
      <c r="AU181" s="348"/>
      <c r="AV181" s="348"/>
      <c r="AW181" s="348"/>
      <c r="AX181" s="348"/>
      <c r="AY181" s="348"/>
      <c r="AZ181" s="348"/>
      <c r="BA181" s="348"/>
      <c r="BB181" s="348"/>
      <c r="BC181" s="348"/>
      <c r="BD181" s="348"/>
      <c r="BE181" s="348"/>
      <c r="BF181" s="348"/>
      <c r="BG181" s="348"/>
      <c r="BH181" s="353"/>
      <c r="BI181" s="353"/>
      <c r="BJ181" s="353"/>
      <c r="BK181" s="353"/>
      <c r="BL181" s="353"/>
      <c r="BM181" s="353"/>
      <c r="BN181" s="353"/>
      <c r="BO181" s="353"/>
      <c r="BP181" s="353"/>
      <c r="BQ181" s="353"/>
      <c r="BR181" s="353"/>
      <c r="BS181" s="353"/>
      <c r="BT181" s="353"/>
      <c r="BU181" s="353"/>
      <c r="BV181" s="353"/>
      <c r="BW181" s="353"/>
      <c r="BX181" s="353"/>
      <c r="BY181" s="353"/>
      <c r="BZ181" s="353"/>
      <c r="CA181" s="353"/>
      <c r="CB181" s="353"/>
      <c r="CC181" s="353"/>
      <c r="CD181" s="353"/>
      <c r="CE181" s="353"/>
      <c r="CF181" s="353"/>
      <c r="CG181" s="353"/>
      <c r="CH181" s="353"/>
      <c r="CI181" s="353"/>
      <c r="CJ181" s="353"/>
      <c r="CK181" s="353"/>
      <c r="CL181" s="353"/>
      <c r="CM181" s="353"/>
      <c r="CN181" s="353"/>
      <c r="CO181" s="353"/>
      <c r="CP181" s="353"/>
      <c r="CQ181" s="353"/>
      <c r="CR181" s="353"/>
      <c r="CS181" s="353"/>
      <c r="CT181" s="353"/>
      <c r="CU181" s="353"/>
      <c r="CV181" s="353"/>
      <c r="CW181" s="353"/>
      <c r="CX181" s="353"/>
      <c r="CY181" s="353"/>
      <c r="CZ181" s="353"/>
      <c r="DA181" s="353"/>
      <c r="DB181" s="353"/>
      <c r="DC181" s="353"/>
      <c r="DD181" s="353"/>
      <c r="DE181" s="353"/>
      <c r="DF181" s="353"/>
      <c r="DG181" s="353"/>
      <c r="DH181" s="353"/>
      <c r="DI181" s="353"/>
      <c r="DJ181" s="353"/>
      <c r="DK181" s="353"/>
      <c r="DL181" s="353"/>
      <c r="DM181" s="353"/>
      <c r="DN181" s="353"/>
      <c r="DO181" s="353"/>
      <c r="DP181" s="353"/>
      <c r="DQ181" s="353"/>
      <c r="DR181" s="353"/>
    </row>
    <row r="182" spans="1:122" ht="12.75">
      <c r="A182" s="348"/>
      <c r="B182" s="398"/>
      <c r="C182" s="398"/>
      <c r="D182" s="399"/>
      <c r="E182" s="399"/>
      <c r="F182" s="399"/>
      <c r="G182" s="399"/>
      <c r="H182" s="399"/>
      <c r="I182" s="399"/>
      <c r="J182" s="399"/>
      <c r="K182" s="399"/>
      <c r="L182" s="398"/>
      <c r="M182" s="398"/>
      <c r="N182" s="398"/>
      <c r="O182" s="398"/>
      <c r="P182" s="398"/>
      <c r="Q182" s="398"/>
      <c r="R182" s="398"/>
      <c r="S182" s="399"/>
      <c r="T182" s="399"/>
      <c r="U182" s="399"/>
      <c r="V182" s="399"/>
      <c r="W182" s="399"/>
      <c r="X182" s="399"/>
      <c r="Y182" s="399"/>
      <c r="Z182" s="398"/>
      <c r="AA182" s="398"/>
      <c r="AB182" s="398"/>
      <c r="AC182" s="398"/>
      <c r="AD182" s="398"/>
      <c r="AE182" s="398"/>
      <c r="AF182" s="398"/>
      <c r="AG182" s="398"/>
      <c r="AH182" s="348"/>
      <c r="AI182" s="348"/>
      <c r="AJ182" s="348"/>
      <c r="AK182" s="348"/>
      <c r="AL182" s="348"/>
      <c r="AM182" s="348"/>
      <c r="AN182" s="348"/>
      <c r="AO182" s="348"/>
      <c r="AP182" s="348"/>
      <c r="AQ182" s="348"/>
      <c r="AR182" s="348"/>
      <c r="AS182" s="348"/>
      <c r="AT182" s="348"/>
      <c r="AU182" s="348"/>
      <c r="AV182" s="348"/>
      <c r="AW182" s="348"/>
      <c r="AX182" s="348"/>
      <c r="AY182" s="348"/>
      <c r="AZ182" s="348"/>
      <c r="BA182" s="348"/>
      <c r="BB182" s="348"/>
      <c r="BC182" s="348"/>
      <c r="BD182" s="348"/>
      <c r="BE182" s="348"/>
      <c r="BF182" s="348"/>
      <c r="BG182" s="348"/>
      <c r="BH182" s="353"/>
      <c r="BI182" s="353"/>
      <c r="BJ182" s="353"/>
      <c r="BK182" s="353"/>
      <c r="BL182" s="353"/>
      <c r="BM182" s="353"/>
      <c r="BN182" s="353"/>
      <c r="BO182" s="353"/>
      <c r="BP182" s="353"/>
      <c r="BQ182" s="353"/>
      <c r="BR182" s="353"/>
      <c r="BS182" s="353"/>
      <c r="BT182" s="353"/>
      <c r="BU182" s="353"/>
      <c r="BV182" s="353"/>
      <c r="BW182" s="353"/>
      <c r="BX182" s="353"/>
      <c r="BY182" s="353"/>
      <c r="BZ182" s="353"/>
      <c r="CA182" s="353"/>
      <c r="CB182" s="353"/>
      <c r="CC182" s="353"/>
      <c r="CD182" s="353"/>
      <c r="CE182" s="353"/>
      <c r="CF182" s="353"/>
      <c r="CG182" s="353"/>
      <c r="CH182" s="353"/>
      <c r="CI182" s="353"/>
      <c r="CJ182" s="353"/>
      <c r="CK182" s="353"/>
      <c r="CL182" s="353"/>
      <c r="CM182" s="353"/>
      <c r="CN182" s="353"/>
      <c r="CO182" s="353"/>
      <c r="CP182" s="353"/>
      <c r="CQ182" s="353"/>
      <c r="CR182" s="353"/>
      <c r="CS182" s="353"/>
      <c r="CT182" s="353"/>
      <c r="CU182" s="353"/>
      <c r="CV182" s="353"/>
      <c r="CW182" s="353"/>
      <c r="CX182" s="353"/>
      <c r="CY182" s="353"/>
      <c r="CZ182" s="353"/>
      <c r="DA182" s="353"/>
      <c r="DB182" s="353"/>
      <c r="DC182" s="353"/>
      <c r="DD182" s="353"/>
      <c r="DE182" s="353"/>
      <c r="DF182" s="353"/>
      <c r="DG182" s="353"/>
      <c r="DH182" s="353"/>
      <c r="DI182" s="353"/>
      <c r="DJ182" s="353"/>
      <c r="DK182" s="353"/>
      <c r="DL182" s="353"/>
      <c r="DM182" s="353"/>
      <c r="DN182" s="353"/>
      <c r="DO182" s="353"/>
      <c r="DP182" s="353"/>
      <c r="DQ182" s="353"/>
      <c r="DR182" s="353"/>
    </row>
    <row r="183" spans="1:122" ht="12.75">
      <c r="A183" s="348"/>
      <c r="B183" s="398"/>
      <c r="C183" s="398"/>
      <c r="D183" s="399"/>
      <c r="E183" s="399"/>
      <c r="F183" s="399"/>
      <c r="G183" s="399"/>
      <c r="H183" s="399"/>
      <c r="I183" s="399"/>
      <c r="J183" s="399"/>
      <c r="K183" s="399"/>
      <c r="L183" s="398"/>
      <c r="M183" s="398"/>
      <c r="N183" s="398"/>
      <c r="O183" s="398"/>
      <c r="P183" s="398"/>
      <c r="Q183" s="398"/>
      <c r="R183" s="398"/>
      <c r="S183" s="399"/>
      <c r="T183" s="399"/>
      <c r="U183" s="399"/>
      <c r="V183" s="399"/>
      <c r="W183" s="399"/>
      <c r="X183" s="399"/>
      <c r="Y183" s="399"/>
      <c r="Z183" s="398"/>
      <c r="AA183" s="398"/>
      <c r="AB183" s="398"/>
      <c r="AC183" s="398"/>
      <c r="AD183" s="398"/>
      <c r="AE183" s="398"/>
      <c r="AF183" s="398"/>
      <c r="AG183" s="398"/>
      <c r="AH183" s="348"/>
      <c r="AI183" s="348"/>
      <c r="AJ183" s="348"/>
      <c r="AK183" s="348"/>
      <c r="AL183" s="348"/>
      <c r="AM183" s="348"/>
      <c r="AN183" s="348"/>
      <c r="AO183" s="348"/>
      <c r="AP183" s="348"/>
      <c r="AQ183" s="348"/>
      <c r="AR183" s="348"/>
      <c r="AS183" s="348"/>
      <c r="AT183" s="348"/>
      <c r="AU183" s="348"/>
      <c r="AV183" s="348"/>
      <c r="AW183" s="348"/>
      <c r="AX183" s="348"/>
      <c r="AY183" s="348"/>
      <c r="AZ183" s="348"/>
      <c r="BA183" s="348"/>
      <c r="BB183" s="348"/>
      <c r="BC183" s="348"/>
      <c r="BD183" s="348"/>
      <c r="BE183" s="348"/>
      <c r="BF183" s="348"/>
      <c r="BG183" s="348"/>
      <c r="BH183" s="353"/>
      <c r="BI183" s="353"/>
      <c r="BJ183" s="353"/>
      <c r="BK183" s="353"/>
      <c r="BL183" s="353"/>
      <c r="BM183" s="353"/>
      <c r="BN183" s="353"/>
      <c r="BO183" s="353"/>
      <c r="BP183" s="353"/>
      <c r="BQ183" s="353"/>
      <c r="BR183" s="353"/>
      <c r="BS183" s="353"/>
      <c r="BT183" s="353"/>
      <c r="BU183" s="353"/>
      <c r="BV183" s="353"/>
      <c r="BW183" s="353"/>
      <c r="BX183" s="353"/>
      <c r="BY183" s="353"/>
      <c r="BZ183" s="353"/>
      <c r="CA183" s="353"/>
      <c r="CB183" s="353"/>
      <c r="CC183" s="353"/>
      <c r="CD183" s="353"/>
      <c r="CE183" s="353"/>
      <c r="CF183" s="353"/>
      <c r="CG183" s="353"/>
      <c r="CH183" s="353"/>
      <c r="CI183" s="353"/>
      <c r="CJ183" s="353"/>
      <c r="CK183" s="353"/>
      <c r="CL183" s="353"/>
      <c r="CM183" s="353"/>
      <c r="CN183" s="353"/>
      <c r="CO183" s="353"/>
      <c r="CP183" s="353"/>
      <c r="CQ183" s="353"/>
      <c r="CR183" s="353"/>
      <c r="CS183" s="353"/>
      <c r="CT183" s="353"/>
      <c r="CU183" s="353"/>
      <c r="CV183" s="353"/>
      <c r="CW183" s="353"/>
      <c r="CX183" s="353"/>
      <c r="CY183" s="353"/>
      <c r="CZ183" s="353"/>
      <c r="DA183" s="353"/>
      <c r="DB183" s="353"/>
      <c r="DC183" s="353"/>
      <c r="DD183" s="353"/>
      <c r="DE183" s="353"/>
      <c r="DF183" s="353"/>
      <c r="DG183" s="353"/>
      <c r="DH183" s="353"/>
      <c r="DI183" s="353"/>
      <c r="DJ183" s="353"/>
      <c r="DK183" s="353"/>
      <c r="DL183" s="353"/>
      <c r="DM183" s="353"/>
      <c r="DN183" s="353"/>
      <c r="DO183" s="353"/>
      <c r="DP183" s="353"/>
      <c r="DQ183" s="353"/>
      <c r="DR183" s="353"/>
    </row>
    <row r="184" spans="1:122" ht="12.75">
      <c r="A184" s="348"/>
      <c r="B184" s="398"/>
      <c r="C184" s="398"/>
      <c r="D184" s="399"/>
      <c r="E184" s="399"/>
      <c r="F184" s="399"/>
      <c r="G184" s="399"/>
      <c r="H184" s="399"/>
      <c r="I184" s="399"/>
      <c r="J184" s="399"/>
      <c r="K184" s="399"/>
      <c r="L184" s="398"/>
      <c r="M184" s="398"/>
      <c r="N184" s="398"/>
      <c r="O184" s="398"/>
      <c r="P184" s="398"/>
      <c r="Q184" s="398"/>
      <c r="R184" s="398"/>
      <c r="S184" s="399"/>
      <c r="T184" s="399"/>
      <c r="U184" s="399"/>
      <c r="V184" s="399"/>
      <c r="W184" s="399"/>
      <c r="X184" s="399"/>
      <c r="Y184" s="399"/>
      <c r="Z184" s="398"/>
      <c r="AA184" s="398"/>
      <c r="AB184" s="398"/>
      <c r="AC184" s="398"/>
      <c r="AD184" s="398"/>
      <c r="AE184" s="398"/>
      <c r="AF184" s="398"/>
      <c r="AG184" s="398"/>
      <c r="AH184" s="348"/>
      <c r="AI184" s="348"/>
      <c r="AJ184" s="348"/>
      <c r="AK184" s="348"/>
      <c r="AL184" s="348"/>
      <c r="AM184" s="348"/>
      <c r="AN184" s="348"/>
      <c r="AO184" s="348"/>
      <c r="AP184" s="348"/>
      <c r="AQ184" s="348"/>
      <c r="AR184" s="348"/>
      <c r="AS184" s="348"/>
      <c r="AT184" s="348"/>
      <c r="AU184" s="348"/>
      <c r="AV184" s="348"/>
      <c r="AW184" s="348"/>
      <c r="AX184" s="348"/>
      <c r="AY184" s="348"/>
      <c r="AZ184" s="348"/>
      <c r="BA184" s="348"/>
      <c r="BB184" s="348"/>
      <c r="BC184" s="348"/>
      <c r="BD184" s="348"/>
      <c r="BE184" s="348"/>
      <c r="BF184" s="348"/>
      <c r="BG184" s="348"/>
      <c r="BH184" s="353"/>
      <c r="BI184" s="353"/>
      <c r="BJ184" s="353"/>
      <c r="BK184" s="353"/>
      <c r="BL184" s="353"/>
      <c r="BM184" s="353"/>
      <c r="BN184" s="353"/>
      <c r="BO184" s="353"/>
      <c r="BP184" s="353"/>
      <c r="BQ184" s="353"/>
      <c r="BR184" s="353"/>
      <c r="BS184" s="353"/>
      <c r="BT184" s="353"/>
      <c r="BU184" s="353"/>
      <c r="BV184" s="353"/>
      <c r="BW184" s="353"/>
      <c r="BX184" s="353"/>
      <c r="BY184" s="353"/>
      <c r="BZ184" s="353"/>
      <c r="CA184" s="353"/>
      <c r="CB184" s="353"/>
      <c r="CC184" s="353"/>
      <c r="CD184" s="353"/>
      <c r="CE184" s="353"/>
      <c r="CF184" s="353"/>
      <c r="CG184" s="353"/>
      <c r="CH184" s="353"/>
      <c r="CI184" s="353"/>
      <c r="CJ184" s="353"/>
      <c r="CK184" s="353"/>
      <c r="CL184" s="353"/>
      <c r="CM184" s="353"/>
      <c r="CN184" s="353"/>
      <c r="CO184" s="353"/>
      <c r="CP184" s="353"/>
      <c r="CQ184" s="353"/>
      <c r="CR184" s="353"/>
      <c r="CS184" s="353"/>
      <c r="CT184" s="353"/>
      <c r="CU184" s="353"/>
      <c r="CV184" s="353"/>
      <c r="CW184" s="353"/>
      <c r="CX184" s="353"/>
      <c r="CY184" s="353"/>
      <c r="CZ184" s="353"/>
      <c r="DA184" s="353"/>
      <c r="DB184" s="353"/>
      <c r="DC184" s="353"/>
      <c r="DD184" s="353"/>
      <c r="DE184" s="353"/>
      <c r="DF184" s="353"/>
      <c r="DG184" s="353"/>
      <c r="DH184" s="353"/>
      <c r="DI184" s="353"/>
      <c r="DJ184" s="353"/>
      <c r="DK184" s="353"/>
      <c r="DL184" s="353"/>
      <c r="DM184" s="353"/>
      <c r="DN184" s="353"/>
      <c r="DO184" s="353"/>
      <c r="DP184" s="353"/>
      <c r="DQ184" s="353"/>
      <c r="DR184" s="353"/>
    </row>
    <row r="185" spans="1:122" ht="12.75">
      <c r="A185" s="348"/>
      <c r="B185" s="398"/>
      <c r="C185" s="398"/>
      <c r="D185" s="399"/>
      <c r="E185" s="399"/>
      <c r="F185" s="399"/>
      <c r="G185" s="399"/>
      <c r="H185" s="399"/>
      <c r="I185" s="399"/>
      <c r="J185" s="399"/>
      <c r="K185" s="399"/>
      <c r="L185" s="398"/>
      <c r="M185" s="398"/>
      <c r="N185" s="398"/>
      <c r="O185" s="398"/>
      <c r="P185" s="398"/>
      <c r="Q185" s="398"/>
      <c r="R185" s="398"/>
      <c r="S185" s="399"/>
      <c r="T185" s="399"/>
      <c r="U185" s="399"/>
      <c r="V185" s="399"/>
      <c r="W185" s="399"/>
      <c r="X185" s="399"/>
      <c r="Y185" s="399"/>
      <c r="Z185" s="398"/>
      <c r="AA185" s="398"/>
      <c r="AB185" s="398"/>
      <c r="AC185" s="398"/>
      <c r="AD185" s="398"/>
      <c r="AE185" s="398"/>
      <c r="AF185" s="398"/>
      <c r="AG185" s="398"/>
      <c r="AH185" s="348"/>
      <c r="AI185" s="348"/>
      <c r="AJ185" s="348"/>
      <c r="AK185" s="348"/>
      <c r="AL185" s="348"/>
      <c r="AM185" s="348"/>
      <c r="AN185" s="348"/>
      <c r="AO185" s="348"/>
      <c r="AP185" s="348"/>
      <c r="AQ185" s="348"/>
      <c r="AR185" s="348"/>
      <c r="AS185" s="348"/>
      <c r="AT185" s="348"/>
      <c r="AU185" s="348"/>
      <c r="AV185" s="348"/>
      <c r="AW185" s="348"/>
      <c r="AX185" s="348"/>
      <c r="AY185" s="348"/>
      <c r="AZ185" s="348"/>
      <c r="BA185" s="348"/>
      <c r="BB185" s="348"/>
      <c r="BC185" s="348"/>
      <c r="BD185" s="348"/>
      <c r="BE185" s="348"/>
      <c r="BF185" s="348"/>
      <c r="BG185" s="348"/>
      <c r="BH185" s="353"/>
      <c r="BI185" s="353"/>
      <c r="BJ185" s="353"/>
      <c r="BK185" s="353"/>
      <c r="BL185" s="353"/>
      <c r="BM185" s="353"/>
      <c r="BN185" s="353"/>
      <c r="BO185" s="353"/>
      <c r="BP185" s="353"/>
      <c r="BQ185" s="353"/>
      <c r="BR185" s="353"/>
      <c r="BS185" s="353"/>
      <c r="BT185" s="353"/>
      <c r="BU185" s="353"/>
      <c r="BV185" s="353"/>
      <c r="BW185" s="353"/>
      <c r="BX185" s="353"/>
      <c r="BY185" s="353"/>
      <c r="BZ185" s="353"/>
      <c r="CA185" s="353"/>
      <c r="CB185" s="353"/>
      <c r="CC185" s="353"/>
      <c r="CD185" s="353"/>
      <c r="CE185" s="353"/>
      <c r="CF185" s="353"/>
      <c r="CG185" s="353"/>
      <c r="CH185" s="353"/>
      <c r="CI185" s="353"/>
      <c r="CJ185" s="353"/>
      <c r="CK185" s="353"/>
      <c r="CL185" s="353"/>
      <c r="CM185" s="353"/>
      <c r="CN185" s="353"/>
      <c r="CO185" s="353"/>
      <c r="CP185" s="353"/>
      <c r="CQ185" s="353"/>
      <c r="CR185" s="353"/>
      <c r="CS185" s="353"/>
      <c r="CT185" s="353"/>
      <c r="CU185" s="353"/>
      <c r="CV185" s="353"/>
      <c r="CW185" s="353"/>
      <c r="CX185" s="353"/>
      <c r="CY185" s="353"/>
      <c r="CZ185" s="353"/>
      <c r="DA185" s="353"/>
      <c r="DB185" s="353"/>
      <c r="DC185" s="353"/>
      <c r="DD185" s="353"/>
      <c r="DE185" s="353"/>
      <c r="DF185" s="353"/>
      <c r="DG185" s="353"/>
      <c r="DH185" s="353"/>
      <c r="DI185" s="353"/>
      <c r="DJ185" s="353"/>
      <c r="DK185" s="353"/>
      <c r="DL185" s="353"/>
      <c r="DM185" s="353"/>
      <c r="DN185" s="353"/>
      <c r="DO185" s="353"/>
      <c r="DP185" s="353"/>
      <c r="DQ185" s="353"/>
      <c r="DR185" s="353"/>
    </row>
    <row r="186" spans="1:122" ht="12.75">
      <c r="A186" s="348"/>
      <c r="B186" s="398"/>
      <c r="C186" s="398"/>
      <c r="D186" s="399"/>
      <c r="E186" s="399"/>
      <c r="F186" s="399"/>
      <c r="G186" s="399"/>
      <c r="H186" s="399"/>
      <c r="I186" s="399"/>
      <c r="J186" s="399"/>
      <c r="K186" s="399"/>
      <c r="L186" s="398"/>
      <c r="M186" s="398"/>
      <c r="N186" s="398"/>
      <c r="O186" s="398"/>
      <c r="P186" s="398"/>
      <c r="Q186" s="398"/>
      <c r="R186" s="398"/>
      <c r="S186" s="399"/>
      <c r="T186" s="399"/>
      <c r="U186" s="399"/>
      <c r="V186" s="399"/>
      <c r="W186" s="399"/>
      <c r="X186" s="399"/>
      <c r="Y186" s="399"/>
      <c r="Z186" s="398"/>
      <c r="AA186" s="398"/>
      <c r="AB186" s="398"/>
      <c r="AC186" s="398"/>
      <c r="AD186" s="398"/>
      <c r="AE186" s="398"/>
      <c r="AF186" s="398"/>
      <c r="AG186" s="398"/>
      <c r="AH186" s="348"/>
      <c r="AI186" s="348"/>
      <c r="AJ186" s="348"/>
      <c r="AK186" s="348"/>
      <c r="AL186" s="348"/>
      <c r="AM186" s="348"/>
      <c r="AN186" s="348"/>
      <c r="AO186" s="348"/>
      <c r="AP186" s="348"/>
      <c r="AQ186" s="348"/>
      <c r="AR186" s="348"/>
      <c r="AS186" s="348"/>
      <c r="AT186" s="348"/>
      <c r="AU186" s="348"/>
      <c r="AV186" s="348"/>
      <c r="AW186" s="348"/>
      <c r="AX186" s="348"/>
      <c r="AY186" s="348"/>
      <c r="AZ186" s="348"/>
      <c r="BA186" s="348"/>
      <c r="BB186" s="348"/>
      <c r="BC186" s="348"/>
      <c r="BD186" s="348"/>
      <c r="BE186" s="348"/>
      <c r="BF186" s="348"/>
      <c r="BG186" s="348"/>
      <c r="BH186" s="353"/>
      <c r="BI186" s="353"/>
      <c r="BJ186" s="353"/>
      <c r="BK186" s="353"/>
      <c r="BL186" s="353"/>
      <c r="BM186" s="353"/>
      <c r="BN186" s="353"/>
      <c r="BO186" s="353"/>
      <c r="BP186" s="353"/>
      <c r="BQ186" s="353"/>
      <c r="BR186" s="353"/>
      <c r="BS186" s="353"/>
      <c r="BT186" s="353"/>
      <c r="BU186" s="353"/>
      <c r="BV186" s="353"/>
      <c r="BW186" s="353"/>
      <c r="BX186" s="353"/>
      <c r="BY186" s="353"/>
      <c r="BZ186" s="353"/>
      <c r="CA186" s="353"/>
      <c r="CB186" s="353"/>
      <c r="CC186" s="353"/>
      <c r="CD186" s="353"/>
      <c r="CE186" s="353"/>
      <c r="CF186" s="353"/>
      <c r="CG186" s="353"/>
      <c r="CH186" s="353"/>
      <c r="CI186" s="353"/>
      <c r="CJ186" s="353"/>
      <c r="CK186" s="353"/>
      <c r="CL186" s="353"/>
      <c r="CM186" s="353"/>
      <c r="CN186" s="353"/>
      <c r="CO186" s="353"/>
      <c r="CP186" s="353"/>
      <c r="CQ186" s="353"/>
      <c r="CR186" s="353"/>
      <c r="CS186" s="353"/>
      <c r="CT186" s="353"/>
      <c r="CU186" s="353"/>
      <c r="CV186" s="353"/>
      <c r="CW186" s="353"/>
      <c r="CX186" s="353"/>
      <c r="CY186" s="353"/>
      <c r="CZ186" s="353"/>
      <c r="DA186" s="353"/>
      <c r="DB186" s="353"/>
      <c r="DC186" s="353"/>
      <c r="DD186" s="353"/>
      <c r="DE186" s="353"/>
      <c r="DF186" s="353"/>
      <c r="DG186" s="353"/>
      <c r="DH186" s="353"/>
      <c r="DI186" s="353"/>
      <c r="DJ186" s="353"/>
      <c r="DK186" s="353"/>
      <c r="DL186" s="353"/>
      <c r="DM186" s="353"/>
      <c r="DN186" s="353"/>
      <c r="DO186" s="353"/>
      <c r="DP186" s="353"/>
      <c r="DQ186" s="353"/>
      <c r="DR186" s="353"/>
    </row>
    <row r="187" spans="1:122" ht="12.75">
      <c r="A187" s="348"/>
      <c r="B187" s="398"/>
      <c r="C187" s="398"/>
      <c r="D187" s="399"/>
      <c r="E187" s="399"/>
      <c r="F187" s="399"/>
      <c r="G187" s="399"/>
      <c r="H187" s="399"/>
      <c r="I187" s="399"/>
      <c r="J187" s="399"/>
      <c r="K187" s="399"/>
      <c r="L187" s="398"/>
      <c r="M187" s="398"/>
      <c r="N187" s="398"/>
      <c r="O187" s="398"/>
      <c r="P187" s="398"/>
      <c r="Q187" s="398"/>
      <c r="R187" s="398"/>
      <c r="S187" s="399"/>
      <c r="T187" s="399"/>
      <c r="U187" s="399"/>
      <c r="V187" s="399"/>
      <c r="W187" s="399"/>
      <c r="X187" s="399"/>
      <c r="Y187" s="399"/>
      <c r="Z187" s="398"/>
      <c r="AA187" s="398"/>
      <c r="AB187" s="398"/>
      <c r="AC187" s="398"/>
      <c r="AD187" s="398"/>
      <c r="AE187" s="398"/>
      <c r="AF187" s="398"/>
      <c r="AG187" s="398"/>
      <c r="AH187" s="348"/>
      <c r="AI187" s="348"/>
      <c r="AJ187" s="348"/>
      <c r="AK187" s="348"/>
      <c r="AL187" s="348"/>
      <c r="AM187" s="348"/>
      <c r="AN187" s="348"/>
      <c r="AO187" s="348"/>
      <c r="AP187" s="348"/>
      <c r="AQ187" s="348"/>
      <c r="AR187" s="348"/>
      <c r="AS187" s="348"/>
      <c r="AT187" s="348"/>
      <c r="AU187" s="348"/>
      <c r="AV187" s="348"/>
      <c r="AW187" s="348"/>
      <c r="AX187" s="348"/>
      <c r="AY187" s="348"/>
      <c r="AZ187" s="348"/>
      <c r="BA187" s="348"/>
      <c r="BB187" s="348"/>
      <c r="BC187" s="348"/>
      <c r="BD187" s="348"/>
      <c r="BE187" s="348"/>
      <c r="BF187" s="348"/>
      <c r="BG187" s="348"/>
      <c r="BH187" s="353"/>
      <c r="BI187" s="353"/>
      <c r="BJ187" s="353"/>
      <c r="BK187" s="353"/>
      <c r="BL187" s="353"/>
      <c r="BM187" s="353"/>
      <c r="BN187" s="353"/>
      <c r="BO187" s="353"/>
      <c r="BP187" s="353"/>
      <c r="BQ187" s="353"/>
      <c r="BR187" s="353"/>
      <c r="BS187" s="353"/>
      <c r="BT187" s="353"/>
      <c r="BU187" s="353"/>
      <c r="BV187" s="353"/>
      <c r="BW187" s="353"/>
      <c r="BX187" s="353"/>
      <c r="BY187" s="353"/>
      <c r="BZ187" s="353"/>
      <c r="CA187" s="353"/>
      <c r="CB187" s="353"/>
      <c r="CC187" s="353"/>
      <c r="CD187" s="353"/>
      <c r="CE187" s="353"/>
      <c r="CF187" s="353"/>
      <c r="CG187" s="353"/>
      <c r="CH187" s="353"/>
      <c r="CI187" s="353"/>
      <c r="CJ187" s="353"/>
      <c r="CK187" s="353"/>
      <c r="CL187" s="353"/>
      <c r="CM187" s="353"/>
      <c r="CN187" s="353"/>
      <c r="CO187" s="353"/>
      <c r="CP187" s="353"/>
      <c r="CQ187" s="353"/>
      <c r="CR187" s="353"/>
      <c r="CS187" s="353"/>
      <c r="CT187" s="353"/>
      <c r="CU187" s="353"/>
      <c r="CV187" s="353"/>
      <c r="CW187" s="353"/>
      <c r="CX187" s="353"/>
      <c r="CY187" s="353"/>
      <c r="CZ187" s="353"/>
      <c r="DA187" s="353"/>
      <c r="DB187" s="353"/>
      <c r="DC187" s="353"/>
      <c r="DD187" s="353"/>
      <c r="DE187" s="353"/>
      <c r="DF187" s="353"/>
      <c r="DG187" s="353"/>
      <c r="DH187" s="353"/>
      <c r="DI187" s="353"/>
      <c r="DJ187" s="353"/>
      <c r="DK187" s="353"/>
      <c r="DL187" s="353"/>
      <c r="DM187" s="353"/>
      <c r="DN187" s="353"/>
      <c r="DO187" s="353"/>
      <c r="DP187" s="353"/>
      <c r="DQ187" s="353"/>
      <c r="DR187" s="353"/>
    </row>
    <row r="188" spans="1:122" ht="12.75">
      <c r="A188" s="348"/>
      <c r="B188" s="398"/>
      <c r="C188" s="398"/>
      <c r="D188" s="399"/>
      <c r="E188" s="399"/>
      <c r="F188" s="399"/>
      <c r="G188" s="399"/>
      <c r="H188" s="399"/>
      <c r="I188" s="399"/>
      <c r="J188" s="399"/>
      <c r="K188" s="399"/>
      <c r="L188" s="398"/>
      <c r="M188" s="398"/>
      <c r="N188" s="398"/>
      <c r="O188" s="398"/>
      <c r="P188" s="398"/>
      <c r="Q188" s="398"/>
      <c r="R188" s="398"/>
      <c r="S188" s="399"/>
      <c r="T188" s="399"/>
      <c r="U188" s="399"/>
      <c r="V188" s="399"/>
      <c r="W188" s="399"/>
      <c r="X188" s="399"/>
      <c r="Y188" s="399"/>
      <c r="Z188" s="398"/>
      <c r="AA188" s="398"/>
      <c r="AB188" s="398"/>
      <c r="AC188" s="398"/>
      <c r="AD188" s="398"/>
      <c r="AE188" s="398"/>
      <c r="AF188" s="398"/>
      <c r="AG188" s="398"/>
      <c r="AH188" s="348"/>
      <c r="AI188" s="348"/>
      <c r="AJ188" s="348"/>
      <c r="AK188" s="348"/>
      <c r="AL188" s="348"/>
      <c r="AM188" s="348"/>
      <c r="AN188" s="348"/>
      <c r="AO188" s="348"/>
      <c r="AP188" s="348"/>
      <c r="AQ188" s="348"/>
      <c r="AR188" s="348"/>
      <c r="AS188" s="348"/>
      <c r="AT188" s="348"/>
      <c r="AU188" s="348"/>
      <c r="AV188" s="348"/>
      <c r="AW188" s="348"/>
      <c r="AX188" s="348"/>
      <c r="AY188" s="348"/>
      <c r="AZ188" s="348"/>
      <c r="BA188" s="348"/>
      <c r="BB188" s="348"/>
      <c r="BC188" s="348"/>
      <c r="BD188" s="348"/>
      <c r="BE188" s="348"/>
      <c r="BF188" s="348"/>
      <c r="BG188" s="348"/>
      <c r="BH188" s="353"/>
      <c r="BI188" s="353"/>
      <c r="BJ188" s="353"/>
      <c r="BK188" s="353"/>
      <c r="BL188" s="353"/>
      <c r="BM188" s="353"/>
      <c r="BN188" s="353"/>
      <c r="BO188" s="353"/>
      <c r="BP188" s="353"/>
      <c r="BQ188" s="353"/>
      <c r="BR188" s="353"/>
      <c r="BS188" s="353"/>
      <c r="BT188" s="353"/>
      <c r="BU188" s="353"/>
      <c r="BV188" s="353"/>
      <c r="BW188" s="353"/>
      <c r="BX188" s="353"/>
      <c r="BY188" s="353"/>
      <c r="BZ188" s="353"/>
      <c r="CA188" s="353"/>
      <c r="CB188" s="353"/>
      <c r="CC188" s="353"/>
      <c r="CD188" s="353"/>
      <c r="CE188" s="353"/>
      <c r="CF188" s="353"/>
      <c r="CG188" s="353"/>
      <c r="CH188" s="353"/>
      <c r="CI188" s="353"/>
      <c r="CJ188" s="353"/>
      <c r="CK188" s="353"/>
      <c r="CL188" s="353"/>
      <c r="CM188" s="353"/>
      <c r="CN188" s="353"/>
      <c r="CO188" s="353"/>
      <c r="CP188" s="353"/>
      <c r="CQ188" s="353"/>
      <c r="CR188" s="353"/>
      <c r="CS188" s="353"/>
      <c r="CT188" s="353"/>
      <c r="CU188" s="353"/>
      <c r="CV188" s="353"/>
      <c r="CW188" s="353"/>
      <c r="CX188" s="353"/>
      <c r="CY188" s="353"/>
      <c r="CZ188" s="353"/>
      <c r="DA188" s="353"/>
      <c r="DB188" s="353"/>
      <c r="DC188" s="353"/>
      <c r="DD188" s="353"/>
      <c r="DE188" s="353"/>
      <c r="DF188" s="353"/>
      <c r="DG188" s="353"/>
      <c r="DH188" s="353"/>
      <c r="DI188" s="353"/>
      <c r="DJ188" s="353"/>
      <c r="DK188" s="353"/>
      <c r="DL188" s="353"/>
      <c r="DM188" s="353"/>
      <c r="DN188" s="353"/>
      <c r="DO188" s="353"/>
      <c r="DP188" s="353"/>
      <c r="DQ188" s="353"/>
      <c r="DR188" s="353"/>
    </row>
    <row r="189" spans="1:122" ht="12.75">
      <c r="A189" s="348"/>
      <c r="B189" s="398"/>
      <c r="C189" s="398"/>
      <c r="D189" s="399"/>
      <c r="E189" s="399"/>
      <c r="F189" s="399"/>
      <c r="G189" s="399"/>
      <c r="H189" s="399"/>
      <c r="I189" s="399"/>
      <c r="J189" s="399"/>
      <c r="K189" s="399"/>
      <c r="L189" s="398"/>
      <c r="M189" s="398"/>
      <c r="N189" s="398"/>
      <c r="O189" s="398"/>
      <c r="P189" s="398"/>
      <c r="Q189" s="398"/>
      <c r="R189" s="398"/>
      <c r="S189" s="399"/>
      <c r="T189" s="399"/>
      <c r="U189" s="399"/>
      <c r="V189" s="399"/>
      <c r="W189" s="399"/>
      <c r="X189" s="399"/>
      <c r="Y189" s="399"/>
      <c r="Z189" s="398"/>
      <c r="AA189" s="398"/>
      <c r="AB189" s="398"/>
      <c r="AC189" s="398"/>
      <c r="AD189" s="398"/>
      <c r="AE189" s="398"/>
      <c r="AF189" s="398"/>
      <c r="AG189" s="398"/>
      <c r="AH189" s="348"/>
      <c r="AI189" s="348"/>
      <c r="AJ189" s="348"/>
      <c r="AK189" s="348"/>
      <c r="AL189" s="348"/>
      <c r="AM189" s="348"/>
      <c r="AN189" s="348"/>
      <c r="AO189" s="348"/>
      <c r="AP189" s="348"/>
      <c r="AQ189" s="348"/>
      <c r="AR189" s="348"/>
      <c r="AS189" s="348"/>
      <c r="AT189" s="348"/>
      <c r="AU189" s="348"/>
      <c r="AV189" s="348"/>
      <c r="AW189" s="348"/>
      <c r="AX189" s="348"/>
      <c r="AY189" s="348"/>
      <c r="AZ189" s="348"/>
      <c r="BA189" s="348"/>
      <c r="BB189" s="348"/>
      <c r="BC189" s="348"/>
      <c r="BD189" s="348"/>
      <c r="BE189" s="348"/>
      <c r="BF189" s="348"/>
      <c r="BG189" s="348"/>
      <c r="BH189" s="353"/>
      <c r="BI189" s="353"/>
      <c r="BJ189" s="353"/>
      <c r="BK189" s="353"/>
      <c r="BL189" s="353"/>
      <c r="BM189" s="353"/>
      <c r="BN189" s="353"/>
      <c r="BO189" s="353"/>
      <c r="BP189" s="353"/>
      <c r="BQ189" s="353"/>
      <c r="BR189" s="353"/>
      <c r="BS189" s="353"/>
      <c r="BT189" s="353"/>
      <c r="BU189" s="353"/>
      <c r="BV189" s="353"/>
      <c r="BW189" s="353"/>
      <c r="BX189" s="353"/>
      <c r="BY189" s="353"/>
      <c r="BZ189" s="353"/>
      <c r="CA189" s="353"/>
      <c r="CB189" s="353"/>
      <c r="CC189" s="353"/>
      <c r="CD189" s="353"/>
      <c r="CE189" s="353"/>
      <c r="CF189" s="353"/>
      <c r="CG189" s="353"/>
      <c r="CH189" s="353"/>
      <c r="CI189" s="353"/>
      <c r="CJ189" s="353"/>
      <c r="CK189" s="353"/>
      <c r="CL189" s="353"/>
      <c r="CM189" s="353"/>
      <c r="CN189" s="353"/>
      <c r="CO189" s="353"/>
      <c r="CP189" s="353"/>
      <c r="CQ189" s="353"/>
      <c r="CR189" s="353"/>
      <c r="CS189" s="353"/>
      <c r="CT189" s="353"/>
      <c r="CU189" s="353"/>
      <c r="CV189" s="353"/>
      <c r="CW189" s="353"/>
      <c r="CX189" s="353"/>
      <c r="CY189" s="353"/>
      <c r="CZ189" s="353"/>
      <c r="DA189" s="353"/>
      <c r="DB189" s="353"/>
      <c r="DC189" s="353"/>
      <c r="DD189" s="353"/>
      <c r="DE189" s="353"/>
      <c r="DF189" s="353"/>
      <c r="DG189" s="353"/>
      <c r="DH189" s="353"/>
      <c r="DI189" s="353"/>
      <c r="DJ189" s="353"/>
      <c r="DK189" s="353"/>
      <c r="DL189" s="353"/>
      <c r="DM189" s="353"/>
      <c r="DN189" s="353"/>
      <c r="DO189" s="353"/>
      <c r="DP189" s="353"/>
      <c r="DQ189" s="353"/>
      <c r="DR189" s="353"/>
    </row>
    <row r="190" spans="1:122" ht="12.75">
      <c r="A190" s="348"/>
      <c r="B190" s="398"/>
      <c r="C190" s="398"/>
      <c r="D190" s="399"/>
      <c r="E190" s="399"/>
      <c r="F190" s="399"/>
      <c r="G190" s="399"/>
      <c r="H190" s="399"/>
      <c r="I190" s="399"/>
      <c r="J190" s="399"/>
      <c r="K190" s="399"/>
      <c r="L190" s="398"/>
      <c r="M190" s="398"/>
      <c r="N190" s="398"/>
      <c r="O190" s="398"/>
      <c r="P190" s="398"/>
      <c r="Q190" s="398"/>
      <c r="R190" s="398"/>
      <c r="S190" s="399"/>
      <c r="T190" s="399"/>
      <c r="U190" s="399"/>
      <c r="V190" s="399"/>
      <c r="W190" s="399"/>
      <c r="X190" s="399"/>
      <c r="Y190" s="399"/>
      <c r="Z190" s="398"/>
      <c r="AA190" s="398"/>
      <c r="AB190" s="398"/>
      <c r="AC190" s="398"/>
      <c r="AD190" s="398"/>
      <c r="AE190" s="398"/>
      <c r="AF190" s="398"/>
      <c r="AG190" s="398"/>
      <c r="AH190" s="348"/>
      <c r="AI190" s="348"/>
      <c r="AJ190" s="348"/>
      <c r="AK190" s="348"/>
      <c r="AL190" s="348"/>
      <c r="AM190" s="348"/>
      <c r="AN190" s="348"/>
      <c r="AO190" s="348"/>
      <c r="AP190" s="348"/>
      <c r="AQ190" s="348"/>
      <c r="AR190" s="348"/>
      <c r="AS190" s="348"/>
      <c r="AT190" s="348"/>
      <c r="AU190" s="348"/>
      <c r="AV190" s="348"/>
      <c r="AW190" s="348"/>
      <c r="AX190" s="348"/>
      <c r="AY190" s="348"/>
      <c r="AZ190" s="348"/>
      <c r="BA190" s="348"/>
      <c r="BB190" s="348"/>
      <c r="BC190" s="348"/>
      <c r="BD190" s="348"/>
      <c r="BE190" s="348"/>
      <c r="BF190" s="348"/>
      <c r="BG190" s="348"/>
      <c r="BH190" s="353"/>
      <c r="BI190" s="353"/>
      <c r="BJ190" s="353"/>
      <c r="BK190" s="353"/>
      <c r="BL190" s="353"/>
      <c r="BM190" s="353"/>
      <c r="BN190" s="353"/>
      <c r="BO190" s="353"/>
      <c r="BP190" s="353"/>
      <c r="BQ190" s="353"/>
      <c r="BR190" s="353"/>
      <c r="BS190" s="353"/>
      <c r="BT190" s="353"/>
      <c r="BU190" s="353"/>
      <c r="BV190" s="353"/>
      <c r="BW190" s="353"/>
      <c r="BX190" s="353"/>
      <c r="BY190" s="353"/>
      <c r="BZ190" s="353"/>
      <c r="CA190" s="353"/>
      <c r="CB190" s="353"/>
      <c r="CC190" s="353"/>
      <c r="CD190" s="353"/>
      <c r="CE190" s="353"/>
      <c r="CF190" s="353"/>
      <c r="CG190" s="353"/>
      <c r="CH190" s="353"/>
      <c r="CI190" s="353"/>
      <c r="CJ190" s="353"/>
      <c r="CK190" s="353"/>
      <c r="CL190" s="353"/>
      <c r="CM190" s="353"/>
      <c r="CN190" s="353"/>
      <c r="CO190" s="353"/>
      <c r="CP190" s="353"/>
      <c r="CQ190" s="353"/>
      <c r="CR190" s="353"/>
      <c r="CS190" s="353"/>
      <c r="CT190" s="353"/>
      <c r="CU190" s="353"/>
      <c r="CV190" s="353"/>
      <c r="CW190" s="353"/>
      <c r="CX190" s="353"/>
      <c r="CY190" s="353"/>
      <c r="CZ190" s="353"/>
      <c r="DA190" s="353"/>
      <c r="DB190" s="353"/>
      <c r="DC190" s="353"/>
      <c r="DD190" s="353"/>
      <c r="DE190" s="353"/>
      <c r="DF190" s="353"/>
      <c r="DG190" s="353"/>
      <c r="DH190" s="353"/>
      <c r="DI190" s="353"/>
      <c r="DJ190" s="353"/>
      <c r="DK190" s="353"/>
      <c r="DL190" s="353"/>
      <c r="DM190" s="353"/>
      <c r="DN190" s="353"/>
      <c r="DO190" s="353"/>
      <c r="DP190" s="353"/>
      <c r="DQ190" s="353"/>
      <c r="DR190" s="353"/>
    </row>
    <row r="191" spans="1:122" ht="12.75">
      <c r="A191" s="348"/>
      <c r="B191" s="398"/>
      <c r="C191" s="398"/>
      <c r="D191" s="399"/>
      <c r="E191" s="399"/>
      <c r="F191" s="399"/>
      <c r="G191" s="399"/>
      <c r="H191" s="399"/>
      <c r="I191" s="399"/>
      <c r="J191" s="399"/>
      <c r="K191" s="399"/>
      <c r="L191" s="398"/>
      <c r="M191" s="398"/>
      <c r="N191" s="398"/>
      <c r="O191" s="398"/>
      <c r="P191" s="398"/>
      <c r="Q191" s="398"/>
      <c r="R191" s="398"/>
      <c r="S191" s="399"/>
      <c r="T191" s="399"/>
      <c r="U191" s="399"/>
      <c r="V191" s="399"/>
      <c r="W191" s="399"/>
      <c r="X191" s="399"/>
      <c r="Y191" s="399"/>
      <c r="Z191" s="398"/>
      <c r="AA191" s="398"/>
      <c r="AB191" s="398"/>
      <c r="AC191" s="398"/>
      <c r="AD191" s="398"/>
      <c r="AE191" s="398"/>
      <c r="AF191" s="398"/>
      <c r="AG191" s="398"/>
      <c r="AH191" s="348"/>
      <c r="AI191" s="348"/>
      <c r="AJ191" s="348"/>
      <c r="AK191" s="348"/>
      <c r="AL191" s="348"/>
      <c r="AM191" s="348"/>
      <c r="AN191" s="348"/>
      <c r="AO191" s="348"/>
      <c r="AP191" s="348"/>
      <c r="AQ191" s="348"/>
      <c r="AR191" s="348"/>
      <c r="AS191" s="348"/>
      <c r="AT191" s="348"/>
      <c r="AU191" s="348"/>
      <c r="AV191" s="348"/>
      <c r="AW191" s="348"/>
      <c r="AX191" s="348"/>
      <c r="AY191" s="348"/>
      <c r="AZ191" s="348"/>
      <c r="BA191" s="348"/>
      <c r="BB191" s="348"/>
      <c r="BC191" s="348"/>
      <c r="BD191" s="348"/>
      <c r="BE191" s="348"/>
      <c r="BF191" s="348"/>
      <c r="BG191" s="348"/>
      <c r="BH191" s="353"/>
      <c r="BI191" s="353"/>
      <c r="BJ191" s="353"/>
      <c r="BK191" s="353"/>
      <c r="BL191" s="353"/>
      <c r="BM191" s="353"/>
      <c r="BN191" s="353"/>
      <c r="BO191" s="353"/>
      <c r="BP191" s="353"/>
      <c r="BQ191" s="353"/>
      <c r="BR191" s="353"/>
      <c r="BS191" s="353"/>
      <c r="BT191" s="353"/>
      <c r="BU191" s="353"/>
      <c r="BV191" s="353"/>
      <c r="BW191" s="353"/>
      <c r="BX191" s="353"/>
      <c r="BY191" s="353"/>
      <c r="BZ191" s="353"/>
      <c r="CA191" s="353"/>
      <c r="CB191" s="353"/>
      <c r="CC191" s="353"/>
      <c r="CD191" s="353"/>
      <c r="CE191" s="353"/>
      <c r="CF191" s="353"/>
      <c r="CG191" s="353"/>
      <c r="CH191" s="353"/>
      <c r="CI191" s="353"/>
      <c r="CJ191" s="353"/>
      <c r="CK191" s="353"/>
      <c r="CL191" s="353"/>
      <c r="CM191" s="353"/>
      <c r="CN191" s="353"/>
      <c r="CO191" s="353"/>
      <c r="CP191" s="353"/>
      <c r="CQ191" s="353"/>
      <c r="CR191" s="353"/>
      <c r="CS191" s="353"/>
      <c r="CT191" s="353"/>
      <c r="CU191" s="353"/>
      <c r="CV191" s="353"/>
      <c r="CW191" s="353"/>
      <c r="CX191" s="353"/>
      <c r="CY191" s="353"/>
      <c r="CZ191" s="353"/>
      <c r="DA191" s="353"/>
      <c r="DB191" s="353"/>
      <c r="DC191" s="353"/>
      <c r="DD191" s="353"/>
      <c r="DE191" s="353"/>
      <c r="DF191" s="353"/>
      <c r="DG191" s="353"/>
      <c r="DH191" s="353"/>
      <c r="DI191" s="353"/>
      <c r="DJ191" s="353"/>
      <c r="DK191" s="353"/>
      <c r="DL191" s="353"/>
      <c r="DM191" s="353"/>
      <c r="DN191" s="353"/>
      <c r="DO191" s="353"/>
      <c r="DP191" s="353"/>
      <c r="DQ191" s="353"/>
      <c r="DR191" s="353"/>
    </row>
    <row r="192" spans="1:122" ht="12.75">
      <c r="A192" s="348"/>
      <c r="B192" s="398"/>
      <c r="C192" s="398"/>
      <c r="D192" s="399"/>
      <c r="E192" s="399"/>
      <c r="F192" s="399"/>
      <c r="G192" s="399"/>
      <c r="H192" s="399"/>
      <c r="I192" s="399"/>
      <c r="J192" s="399"/>
      <c r="K192" s="399"/>
      <c r="L192" s="398"/>
      <c r="M192" s="398"/>
      <c r="N192" s="398"/>
      <c r="O192" s="398"/>
      <c r="P192" s="398"/>
      <c r="Q192" s="398"/>
      <c r="R192" s="398"/>
      <c r="S192" s="399"/>
      <c r="T192" s="399"/>
      <c r="U192" s="399"/>
      <c r="V192" s="399"/>
      <c r="W192" s="399"/>
      <c r="X192" s="399"/>
      <c r="Y192" s="399"/>
      <c r="Z192" s="398"/>
      <c r="AA192" s="398"/>
      <c r="AB192" s="398"/>
      <c r="AC192" s="398"/>
      <c r="AD192" s="398"/>
      <c r="AE192" s="398"/>
      <c r="AF192" s="398"/>
      <c r="AG192" s="398"/>
      <c r="AH192" s="348"/>
      <c r="AI192" s="348"/>
      <c r="AJ192" s="348"/>
      <c r="AK192" s="348"/>
      <c r="AL192" s="348"/>
      <c r="AM192" s="348"/>
      <c r="AN192" s="348"/>
      <c r="AO192" s="348"/>
      <c r="AP192" s="348"/>
      <c r="AQ192" s="348"/>
      <c r="AR192" s="348"/>
      <c r="AS192" s="348"/>
      <c r="AT192" s="348"/>
      <c r="AU192" s="348"/>
      <c r="AV192" s="348"/>
      <c r="AW192" s="348"/>
      <c r="AX192" s="348"/>
      <c r="AY192" s="348"/>
      <c r="AZ192" s="348"/>
      <c r="BA192" s="348"/>
      <c r="BB192" s="348"/>
      <c r="BC192" s="348"/>
      <c r="BD192" s="348"/>
      <c r="BE192" s="348"/>
      <c r="BF192" s="348"/>
      <c r="BG192" s="348"/>
      <c r="BH192" s="353"/>
      <c r="BI192" s="353"/>
      <c r="BJ192" s="353"/>
      <c r="BK192" s="353"/>
      <c r="BL192" s="353"/>
      <c r="BM192" s="353"/>
      <c r="BN192" s="353"/>
      <c r="BO192" s="353"/>
      <c r="BP192" s="353"/>
      <c r="BQ192" s="353"/>
      <c r="BR192" s="353"/>
      <c r="BS192" s="353"/>
      <c r="BT192" s="353"/>
      <c r="BU192" s="353"/>
      <c r="BV192" s="353"/>
      <c r="BW192" s="353"/>
      <c r="BX192" s="353"/>
      <c r="BY192" s="353"/>
      <c r="BZ192" s="353"/>
      <c r="CA192" s="353"/>
      <c r="CB192" s="353"/>
      <c r="CC192" s="353"/>
      <c r="CD192" s="353"/>
      <c r="CE192" s="353"/>
      <c r="CF192" s="353"/>
      <c r="CG192" s="353"/>
      <c r="CH192" s="353"/>
      <c r="CI192" s="353"/>
      <c r="CJ192" s="353"/>
      <c r="CK192" s="353"/>
      <c r="CL192" s="353"/>
      <c r="CM192" s="353"/>
      <c r="CN192" s="353"/>
      <c r="CO192" s="353"/>
      <c r="CP192" s="353"/>
      <c r="CQ192" s="353"/>
      <c r="CR192" s="353"/>
      <c r="CS192" s="353"/>
      <c r="CT192" s="353"/>
      <c r="CU192" s="353"/>
      <c r="CV192" s="353"/>
      <c r="CW192" s="353"/>
      <c r="CX192" s="353"/>
      <c r="CY192" s="353"/>
      <c r="CZ192" s="353"/>
      <c r="DA192" s="353"/>
      <c r="DB192" s="353"/>
      <c r="DC192" s="353"/>
      <c r="DD192" s="353"/>
      <c r="DE192" s="353"/>
      <c r="DF192" s="353"/>
      <c r="DG192" s="353"/>
      <c r="DH192" s="353"/>
      <c r="DI192" s="353"/>
      <c r="DJ192" s="353"/>
      <c r="DK192" s="353"/>
      <c r="DL192" s="353"/>
      <c r="DM192" s="353"/>
      <c r="DN192" s="353"/>
      <c r="DO192" s="353"/>
      <c r="DP192" s="353"/>
      <c r="DQ192" s="353"/>
      <c r="DR192" s="353"/>
    </row>
    <row r="193" spans="1:122" ht="12.75">
      <c r="A193" s="348"/>
      <c r="B193" s="398"/>
      <c r="C193" s="398"/>
      <c r="D193" s="399"/>
      <c r="E193" s="399"/>
      <c r="F193" s="399"/>
      <c r="G193" s="399"/>
      <c r="H193" s="399"/>
      <c r="I193" s="399"/>
      <c r="J193" s="399"/>
      <c r="K193" s="399"/>
      <c r="L193" s="398"/>
      <c r="M193" s="398"/>
      <c r="N193" s="398"/>
      <c r="O193" s="398"/>
      <c r="P193" s="398"/>
      <c r="Q193" s="398"/>
      <c r="R193" s="398"/>
      <c r="S193" s="399"/>
      <c r="T193" s="399"/>
      <c r="U193" s="399"/>
      <c r="V193" s="399"/>
      <c r="W193" s="399"/>
      <c r="X193" s="399"/>
      <c r="Y193" s="399"/>
      <c r="Z193" s="398"/>
      <c r="AA193" s="398"/>
      <c r="AB193" s="398"/>
      <c r="AC193" s="398"/>
      <c r="AD193" s="398"/>
      <c r="AE193" s="398"/>
      <c r="AF193" s="398"/>
      <c r="AG193" s="398"/>
      <c r="AH193" s="348"/>
      <c r="AI193" s="348"/>
      <c r="AJ193" s="348"/>
      <c r="AK193" s="348"/>
      <c r="AL193" s="348"/>
      <c r="AM193" s="348"/>
      <c r="AN193" s="348"/>
      <c r="AO193" s="348"/>
      <c r="AP193" s="348"/>
      <c r="AQ193" s="348"/>
      <c r="AR193" s="348"/>
      <c r="AS193" s="348"/>
      <c r="AT193" s="348"/>
      <c r="AU193" s="348"/>
      <c r="AV193" s="348"/>
      <c r="AW193" s="348"/>
      <c r="AX193" s="348"/>
      <c r="AY193" s="348"/>
      <c r="AZ193" s="348"/>
      <c r="BA193" s="348"/>
      <c r="BB193" s="348"/>
      <c r="BC193" s="348"/>
      <c r="BD193" s="348"/>
      <c r="BE193" s="348"/>
      <c r="BF193" s="348"/>
      <c r="BG193" s="348"/>
      <c r="BH193" s="353"/>
      <c r="BI193" s="353"/>
      <c r="BJ193" s="353"/>
      <c r="BK193" s="353"/>
      <c r="BL193" s="353"/>
      <c r="BM193" s="353"/>
      <c r="BN193" s="353"/>
      <c r="BO193" s="353"/>
      <c r="BP193" s="353"/>
      <c r="BQ193" s="353"/>
      <c r="BR193" s="353"/>
      <c r="BS193" s="353"/>
      <c r="BT193" s="353"/>
      <c r="BU193" s="353"/>
      <c r="BV193" s="353"/>
      <c r="BW193" s="353"/>
      <c r="BX193" s="353"/>
      <c r="BY193" s="353"/>
      <c r="BZ193" s="353"/>
      <c r="CA193" s="353"/>
      <c r="CB193" s="353"/>
      <c r="CC193" s="353"/>
      <c r="CD193" s="353"/>
      <c r="CE193" s="353"/>
      <c r="CF193" s="353"/>
      <c r="CG193" s="353"/>
      <c r="CH193" s="353"/>
      <c r="CI193" s="353"/>
      <c r="CJ193" s="353"/>
      <c r="CK193" s="353"/>
      <c r="CL193" s="353"/>
      <c r="CM193" s="353"/>
      <c r="CN193" s="353"/>
      <c r="CO193" s="353"/>
      <c r="CP193" s="353"/>
      <c r="CQ193" s="353"/>
      <c r="CR193" s="353"/>
      <c r="CS193" s="353"/>
      <c r="CT193" s="353"/>
      <c r="CU193" s="353"/>
      <c r="CV193" s="353"/>
      <c r="CW193" s="353"/>
      <c r="CX193" s="353"/>
      <c r="CY193" s="353"/>
      <c r="CZ193" s="353"/>
      <c r="DA193" s="353"/>
      <c r="DB193" s="353"/>
      <c r="DC193" s="353"/>
      <c r="DD193" s="353"/>
      <c r="DE193" s="353"/>
      <c r="DF193" s="353"/>
      <c r="DG193" s="353"/>
      <c r="DH193" s="353"/>
      <c r="DI193" s="353"/>
      <c r="DJ193" s="353"/>
      <c r="DK193" s="353"/>
      <c r="DL193" s="353"/>
      <c r="DM193" s="353"/>
      <c r="DN193" s="353"/>
      <c r="DO193" s="353"/>
      <c r="DP193" s="353"/>
      <c r="DQ193" s="353"/>
      <c r="DR193" s="353"/>
    </row>
    <row r="194" spans="1:122" ht="12.75">
      <c r="A194" s="348"/>
      <c r="B194" s="398"/>
      <c r="C194" s="398"/>
      <c r="D194" s="399"/>
      <c r="E194" s="399"/>
      <c r="F194" s="399"/>
      <c r="G194" s="399"/>
      <c r="H194" s="399"/>
      <c r="I194" s="399"/>
      <c r="J194" s="399"/>
      <c r="K194" s="399"/>
      <c r="L194" s="398"/>
      <c r="M194" s="398"/>
      <c r="N194" s="398"/>
      <c r="O194" s="398"/>
      <c r="P194" s="398"/>
      <c r="Q194" s="398"/>
      <c r="R194" s="398"/>
      <c r="S194" s="399"/>
      <c r="T194" s="399"/>
      <c r="U194" s="399"/>
      <c r="V194" s="399"/>
      <c r="W194" s="399"/>
      <c r="X194" s="399"/>
      <c r="Y194" s="399"/>
      <c r="Z194" s="398"/>
      <c r="AA194" s="398"/>
      <c r="AB194" s="398"/>
      <c r="AC194" s="398"/>
      <c r="AD194" s="398"/>
      <c r="AE194" s="398"/>
      <c r="AF194" s="398"/>
      <c r="AG194" s="398"/>
      <c r="AH194" s="348"/>
      <c r="AI194" s="348"/>
      <c r="AJ194" s="348"/>
      <c r="AK194" s="348"/>
      <c r="AL194" s="348"/>
      <c r="AM194" s="348"/>
      <c r="AN194" s="348"/>
      <c r="AO194" s="348"/>
      <c r="AP194" s="348"/>
      <c r="AQ194" s="348"/>
      <c r="AR194" s="348"/>
      <c r="AS194" s="348"/>
      <c r="AT194" s="348"/>
      <c r="AU194" s="348"/>
      <c r="AV194" s="348"/>
      <c r="AW194" s="348"/>
      <c r="AX194" s="348"/>
      <c r="AY194" s="348"/>
      <c r="AZ194" s="348"/>
      <c r="BA194" s="348"/>
      <c r="BB194" s="348"/>
      <c r="BC194" s="348"/>
      <c r="BD194" s="348"/>
      <c r="BE194" s="348"/>
      <c r="BF194" s="348"/>
      <c r="BG194" s="348"/>
      <c r="BH194" s="353"/>
      <c r="BI194" s="353"/>
      <c r="BJ194" s="353"/>
      <c r="BK194" s="353"/>
      <c r="BL194" s="353"/>
      <c r="BM194" s="353"/>
      <c r="BN194" s="353"/>
      <c r="BO194" s="353"/>
      <c r="BP194" s="353"/>
      <c r="BQ194" s="353"/>
      <c r="BR194" s="353"/>
      <c r="BS194" s="353"/>
      <c r="BT194" s="353"/>
      <c r="BU194" s="353"/>
      <c r="BV194" s="353"/>
      <c r="BW194" s="353"/>
      <c r="BX194" s="353"/>
      <c r="BY194" s="353"/>
      <c r="BZ194" s="353"/>
      <c r="CA194" s="353"/>
      <c r="CB194" s="353"/>
      <c r="CC194" s="353"/>
      <c r="CD194" s="353"/>
      <c r="CE194" s="353"/>
      <c r="CF194" s="353"/>
      <c r="CG194" s="353"/>
      <c r="CH194" s="353"/>
      <c r="CI194" s="353"/>
      <c r="CJ194" s="353"/>
      <c r="CK194" s="353"/>
      <c r="CL194" s="353"/>
      <c r="CM194" s="353"/>
      <c r="CN194" s="353"/>
      <c r="CO194" s="353"/>
      <c r="CP194" s="353"/>
      <c r="CQ194" s="353"/>
      <c r="CR194" s="353"/>
      <c r="CS194" s="353"/>
      <c r="CT194" s="353"/>
      <c r="CU194" s="353"/>
      <c r="CV194" s="353"/>
      <c r="CW194" s="353"/>
      <c r="CX194" s="353"/>
      <c r="CY194" s="353"/>
      <c r="CZ194" s="353"/>
      <c r="DA194" s="353"/>
      <c r="DB194" s="353"/>
      <c r="DC194" s="353"/>
      <c r="DD194" s="353"/>
      <c r="DE194" s="353"/>
      <c r="DF194" s="353"/>
      <c r="DG194" s="353"/>
      <c r="DH194" s="353"/>
      <c r="DI194" s="353"/>
      <c r="DJ194" s="353"/>
      <c r="DK194" s="353"/>
      <c r="DL194" s="353"/>
      <c r="DM194" s="353"/>
      <c r="DN194" s="353"/>
      <c r="DO194" s="353"/>
      <c r="DP194" s="353"/>
      <c r="DQ194" s="353"/>
      <c r="DR194" s="353"/>
    </row>
    <row r="195" spans="1:122" ht="12.75">
      <c r="A195" s="348"/>
      <c r="B195" s="398"/>
      <c r="C195" s="398"/>
      <c r="D195" s="399"/>
      <c r="E195" s="399"/>
      <c r="F195" s="399"/>
      <c r="G195" s="399"/>
      <c r="H195" s="399"/>
      <c r="I195" s="399"/>
      <c r="J195" s="399"/>
      <c r="K195" s="399"/>
      <c r="L195" s="398"/>
      <c r="M195" s="398"/>
      <c r="N195" s="398"/>
      <c r="O195" s="398"/>
      <c r="P195" s="398"/>
      <c r="Q195" s="398"/>
      <c r="R195" s="398"/>
      <c r="S195" s="399"/>
      <c r="T195" s="399"/>
      <c r="U195" s="399"/>
      <c r="V195" s="399"/>
      <c r="W195" s="399"/>
      <c r="X195" s="399"/>
      <c r="Y195" s="399"/>
      <c r="Z195" s="398"/>
      <c r="AA195" s="398"/>
      <c r="AB195" s="398"/>
      <c r="AC195" s="398"/>
      <c r="AD195" s="398"/>
      <c r="AE195" s="398"/>
      <c r="AF195" s="398"/>
      <c r="AG195" s="398"/>
      <c r="AH195" s="348"/>
      <c r="AI195" s="348"/>
      <c r="AJ195" s="348"/>
      <c r="AK195" s="348"/>
      <c r="AL195" s="348"/>
      <c r="AM195" s="348"/>
      <c r="AN195" s="348"/>
      <c r="AO195" s="348"/>
      <c r="AP195" s="348"/>
      <c r="AQ195" s="348"/>
      <c r="AR195" s="348"/>
      <c r="AS195" s="348"/>
      <c r="AT195" s="348"/>
      <c r="AU195" s="348"/>
      <c r="AV195" s="348"/>
      <c r="AW195" s="348"/>
      <c r="AX195" s="348"/>
      <c r="AY195" s="348"/>
      <c r="AZ195" s="348"/>
      <c r="BA195" s="348"/>
      <c r="BB195" s="348"/>
      <c r="BC195" s="348"/>
      <c r="BD195" s="348"/>
      <c r="BE195" s="348"/>
      <c r="BF195" s="348"/>
      <c r="BG195" s="348"/>
      <c r="BH195" s="353"/>
      <c r="BI195" s="353"/>
      <c r="BJ195" s="353"/>
      <c r="BK195" s="353"/>
      <c r="BL195" s="353"/>
      <c r="BM195" s="353"/>
      <c r="BN195" s="353"/>
      <c r="BO195" s="353"/>
      <c r="BP195" s="353"/>
      <c r="BQ195" s="353"/>
      <c r="BR195" s="353"/>
      <c r="BS195" s="353"/>
      <c r="BT195" s="353"/>
      <c r="BU195" s="353"/>
      <c r="BV195" s="353"/>
      <c r="BW195" s="353"/>
      <c r="BX195" s="353"/>
      <c r="BY195" s="353"/>
      <c r="BZ195" s="353"/>
      <c r="CA195" s="353"/>
      <c r="CB195" s="353"/>
      <c r="CC195" s="353"/>
      <c r="CD195" s="353"/>
      <c r="CE195" s="353"/>
      <c r="CF195" s="353"/>
      <c r="CG195" s="353"/>
      <c r="CH195" s="353"/>
      <c r="CI195" s="353"/>
      <c r="CJ195" s="353"/>
      <c r="CK195" s="353"/>
      <c r="CL195" s="353"/>
      <c r="CM195" s="353"/>
      <c r="CN195" s="353"/>
      <c r="CO195" s="353"/>
      <c r="CP195" s="353"/>
      <c r="CQ195" s="353"/>
      <c r="CR195" s="353"/>
      <c r="CS195" s="353"/>
      <c r="CT195" s="353"/>
      <c r="CU195" s="353"/>
      <c r="CV195" s="353"/>
      <c r="CW195" s="353"/>
      <c r="CX195" s="353"/>
      <c r="CY195" s="353"/>
      <c r="CZ195" s="353"/>
      <c r="DA195" s="353"/>
      <c r="DB195" s="353"/>
      <c r="DC195" s="353"/>
      <c r="DD195" s="353"/>
      <c r="DE195" s="353"/>
      <c r="DF195" s="353"/>
      <c r="DG195" s="353"/>
      <c r="DH195" s="353"/>
      <c r="DI195" s="353"/>
      <c r="DJ195" s="353"/>
      <c r="DK195" s="353"/>
      <c r="DL195" s="353"/>
      <c r="DM195" s="353"/>
      <c r="DN195" s="353"/>
      <c r="DO195" s="353"/>
      <c r="DP195" s="353"/>
      <c r="DQ195" s="353"/>
      <c r="DR195" s="353"/>
    </row>
    <row r="196" spans="1:122" ht="12.75">
      <c r="A196" s="348"/>
      <c r="B196" s="398"/>
      <c r="C196" s="398"/>
      <c r="D196" s="399"/>
      <c r="E196" s="399"/>
      <c r="F196" s="399"/>
      <c r="G196" s="399"/>
      <c r="H196" s="399"/>
      <c r="I196" s="399"/>
      <c r="J196" s="399"/>
      <c r="K196" s="399"/>
      <c r="L196" s="398"/>
      <c r="M196" s="398"/>
      <c r="N196" s="398"/>
      <c r="O196" s="398"/>
      <c r="P196" s="398"/>
      <c r="Q196" s="398"/>
      <c r="R196" s="398"/>
      <c r="S196" s="399"/>
      <c r="T196" s="399"/>
      <c r="U196" s="399"/>
      <c r="V196" s="399"/>
      <c r="W196" s="399"/>
      <c r="X196" s="399"/>
      <c r="Y196" s="399"/>
      <c r="Z196" s="398"/>
      <c r="AA196" s="398"/>
      <c r="AB196" s="398"/>
      <c r="AC196" s="398"/>
      <c r="AD196" s="398"/>
      <c r="AE196" s="398"/>
      <c r="AF196" s="398"/>
      <c r="AG196" s="398"/>
      <c r="AH196" s="348"/>
      <c r="AI196" s="348"/>
      <c r="AJ196" s="348"/>
      <c r="AK196" s="348"/>
      <c r="AL196" s="348"/>
      <c r="AM196" s="348"/>
      <c r="AN196" s="348"/>
      <c r="AO196" s="348"/>
      <c r="AP196" s="348"/>
      <c r="AQ196" s="348"/>
      <c r="AR196" s="348"/>
      <c r="AS196" s="348"/>
      <c r="AT196" s="348"/>
      <c r="AU196" s="348"/>
      <c r="AV196" s="348"/>
      <c r="AW196" s="348"/>
      <c r="AX196" s="348"/>
      <c r="AY196" s="348"/>
      <c r="AZ196" s="348"/>
      <c r="BA196" s="348"/>
      <c r="BB196" s="348"/>
      <c r="BC196" s="348"/>
      <c r="BD196" s="348"/>
      <c r="BE196" s="348"/>
      <c r="BF196" s="348"/>
      <c r="BG196" s="348"/>
      <c r="BH196" s="353"/>
      <c r="BI196" s="353"/>
      <c r="BJ196" s="353"/>
      <c r="BK196" s="353"/>
      <c r="BL196" s="353"/>
      <c r="BM196" s="353"/>
      <c r="BN196" s="353"/>
      <c r="BO196" s="353"/>
      <c r="BP196" s="353"/>
      <c r="BQ196" s="353"/>
      <c r="BR196" s="353"/>
      <c r="BS196" s="353"/>
      <c r="BT196" s="353"/>
      <c r="BU196" s="353"/>
      <c r="BV196" s="353"/>
      <c r="BW196" s="353"/>
      <c r="BX196" s="353"/>
      <c r="BY196" s="353"/>
      <c r="BZ196" s="353"/>
      <c r="CA196" s="353"/>
      <c r="CB196" s="353"/>
      <c r="CC196" s="353"/>
      <c r="CD196" s="353"/>
      <c r="CE196" s="353"/>
      <c r="CF196" s="353"/>
      <c r="CG196" s="353"/>
      <c r="CH196" s="353"/>
      <c r="CI196" s="353"/>
      <c r="CJ196" s="353"/>
      <c r="CK196" s="353"/>
      <c r="CL196" s="353"/>
      <c r="CM196" s="353"/>
      <c r="CN196" s="353"/>
      <c r="CO196" s="353"/>
      <c r="CP196" s="353"/>
      <c r="CQ196" s="353"/>
      <c r="CR196" s="353"/>
      <c r="CS196" s="353"/>
      <c r="CT196" s="353"/>
      <c r="CU196" s="353"/>
      <c r="CV196" s="353"/>
      <c r="CW196" s="353"/>
      <c r="CX196" s="353"/>
      <c r="CY196" s="353"/>
      <c r="CZ196" s="353"/>
      <c r="DA196" s="353"/>
      <c r="DB196" s="353"/>
      <c r="DC196" s="353"/>
      <c r="DD196" s="353"/>
      <c r="DE196" s="353"/>
      <c r="DF196" s="353"/>
      <c r="DG196" s="353"/>
      <c r="DH196" s="353"/>
      <c r="DI196" s="353"/>
      <c r="DJ196" s="353"/>
      <c r="DK196" s="353"/>
      <c r="DL196" s="353"/>
      <c r="DM196" s="353"/>
      <c r="DN196" s="353"/>
      <c r="DO196" s="353"/>
      <c r="DP196" s="353"/>
      <c r="DQ196" s="353"/>
      <c r="DR196" s="353"/>
    </row>
    <row r="197" spans="1:122" ht="12.75">
      <c r="A197" s="348"/>
      <c r="B197" s="398"/>
      <c r="C197" s="398"/>
      <c r="D197" s="399"/>
      <c r="E197" s="399"/>
      <c r="F197" s="399"/>
      <c r="G197" s="399"/>
      <c r="H197" s="399"/>
      <c r="I197" s="399"/>
      <c r="J197" s="399"/>
      <c r="K197" s="399"/>
      <c r="L197" s="398"/>
      <c r="M197" s="398"/>
      <c r="N197" s="398"/>
      <c r="O197" s="398"/>
      <c r="P197" s="398"/>
      <c r="Q197" s="398"/>
      <c r="R197" s="398"/>
      <c r="S197" s="399"/>
      <c r="T197" s="399"/>
      <c r="U197" s="399"/>
      <c r="V197" s="399"/>
      <c r="W197" s="399"/>
      <c r="X197" s="399"/>
      <c r="Y197" s="399"/>
      <c r="Z197" s="398"/>
      <c r="AA197" s="398"/>
      <c r="AB197" s="398"/>
      <c r="AC197" s="398"/>
      <c r="AD197" s="398"/>
      <c r="AE197" s="398"/>
      <c r="AF197" s="398"/>
      <c r="AG197" s="398"/>
      <c r="AH197" s="348"/>
      <c r="AI197" s="348"/>
      <c r="AJ197" s="348"/>
      <c r="AK197" s="348"/>
      <c r="AL197" s="348"/>
      <c r="AM197" s="348"/>
      <c r="AN197" s="348"/>
      <c r="AO197" s="348"/>
      <c r="AP197" s="348"/>
      <c r="AQ197" s="348"/>
      <c r="AR197" s="348"/>
      <c r="AS197" s="348"/>
      <c r="AT197" s="348"/>
      <c r="AU197" s="348"/>
      <c r="AV197" s="348"/>
      <c r="AW197" s="348"/>
      <c r="AX197" s="348"/>
      <c r="AY197" s="348"/>
      <c r="AZ197" s="348"/>
      <c r="BA197" s="348"/>
      <c r="BB197" s="348"/>
      <c r="BC197" s="348"/>
      <c r="BD197" s="348"/>
      <c r="BE197" s="348"/>
      <c r="BF197" s="348"/>
      <c r="BG197" s="348"/>
      <c r="BH197" s="353"/>
      <c r="BI197" s="353"/>
      <c r="BJ197" s="353"/>
      <c r="BK197" s="353"/>
      <c r="BL197" s="353"/>
      <c r="BM197" s="353"/>
      <c r="BN197" s="353"/>
      <c r="BO197" s="353"/>
      <c r="BP197" s="353"/>
      <c r="BQ197" s="353"/>
      <c r="BR197" s="353"/>
      <c r="BS197" s="353"/>
      <c r="BT197" s="353"/>
      <c r="BU197" s="353"/>
      <c r="BV197" s="353"/>
      <c r="BW197" s="353"/>
      <c r="BX197" s="353"/>
      <c r="BY197" s="353"/>
      <c r="BZ197" s="353"/>
      <c r="CA197" s="353"/>
      <c r="CB197" s="353"/>
      <c r="CC197" s="353"/>
      <c r="CD197" s="353"/>
      <c r="CE197" s="353"/>
      <c r="CF197" s="353"/>
      <c r="CG197" s="353"/>
      <c r="CH197" s="353"/>
      <c r="CI197" s="353"/>
      <c r="CJ197" s="353"/>
      <c r="CK197" s="353"/>
      <c r="CL197" s="353"/>
      <c r="CM197" s="353"/>
      <c r="CN197" s="353"/>
      <c r="CO197" s="353"/>
      <c r="CP197" s="353"/>
      <c r="CQ197" s="353"/>
      <c r="CR197" s="353"/>
      <c r="CS197" s="353"/>
      <c r="CT197" s="353"/>
      <c r="CU197" s="353"/>
      <c r="CV197" s="353"/>
      <c r="CW197" s="353"/>
      <c r="CX197" s="353"/>
      <c r="CY197" s="353"/>
      <c r="CZ197" s="353"/>
      <c r="DA197" s="353"/>
      <c r="DB197" s="353"/>
      <c r="DC197" s="353"/>
      <c r="DD197" s="353"/>
      <c r="DE197" s="353"/>
      <c r="DF197" s="353"/>
      <c r="DG197" s="353"/>
      <c r="DH197" s="353"/>
      <c r="DI197" s="353"/>
      <c r="DJ197" s="353"/>
      <c r="DK197" s="353"/>
      <c r="DL197" s="353"/>
      <c r="DM197" s="353"/>
      <c r="DN197" s="353"/>
      <c r="DO197" s="353"/>
      <c r="DP197" s="353"/>
      <c r="DQ197" s="353"/>
      <c r="DR197" s="353"/>
    </row>
    <row r="198" spans="1:122" ht="12.75">
      <c r="A198" s="348"/>
      <c r="B198" s="398"/>
      <c r="C198" s="398"/>
      <c r="D198" s="399"/>
      <c r="E198" s="399"/>
      <c r="F198" s="399"/>
      <c r="G198" s="399"/>
      <c r="H198" s="399"/>
      <c r="I198" s="399"/>
      <c r="J198" s="399"/>
      <c r="K198" s="399"/>
      <c r="L198" s="398"/>
      <c r="M198" s="398"/>
      <c r="N198" s="398"/>
      <c r="O198" s="398"/>
      <c r="P198" s="398"/>
      <c r="Q198" s="398"/>
      <c r="R198" s="398"/>
      <c r="S198" s="399"/>
      <c r="T198" s="399"/>
      <c r="U198" s="399"/>
      <c r="V198" s="399"/>
      <c r="W198" s="399"/>
      <c r="X198" s="399"/>
      <c r="Y198" s="399"/>
      <c r="Z198" s="398"/>
      <c r="AA198" s="398"/>
      <c r="AB198" s="398"/>
      <c r="AC198" s="398"/>
      <c r="AD198" s="398"/>
      <c r="AE198" s="398"/>
      <c r="AF198" s="398"/>
      <c r="AG198" s="398"/>
      <c r="AH198" s="348"/>
      <c r="AI198" s="348"/>
      <c r="AJ198" s="348"/>
      <c r="AK198" s="348"/>
      <c r="AL198" s="348"/>
      <c r="AM198" s="348"/>
      <c r="AN198" s="348"/>
      <c r="AO198" s="348"/>
      <c r="AP198" s="348"/>
      <c r="AQ198" s="348"/>
      <c r="AR198" s="348"/>
      <c r="AS198" s="348"/>
      <c r="AT198" s="348"/>
      <c r="AU198" s="348"/>
      <c r="AV198" s="348"/>
      <c r="AW198" s="348"/>
      <c r="AX198" s="348"/>
      <c r="AY198" s="348"/>
      <c r="AZ198" s="348"/>
      <c r="BA198" s="348"/>
      <c r="BB198" s="348"/>
      <c r="BC198" s="348"/>
      <c r="BD198" s="348"/>
      <c r="BE198" s="348"/>
      <c r="BF198" s="348"/>
      <c r="BG198" s="348"/>
      <c r="BH198" s="353"/>
      <c r="BI198" s="353"/>
      <c r="BJ198" s="353"/>
      <c r="BK198" s="353"/>
      <c r="BL198" s="353"/>
      <c r="BM198" s="353"/>
      <c r="BN198" s="353"/>
      <c r="BO198" s="353"/>
      <c r="BP198" s="353"/>
      <c r="BQ198" s="353"/>
      <c r="BR198" s="353"/>
      <c r="BS198" s="353"/>
      <c r="BT198" s="353"/>
      <c r="BU198" s="353"/>
      <c r="BV198" s="353"/>
      <c r="BW198" s="353"/>
      <c r="BX198" s="353"/>
      <c r="BY198" s="353"/>
      <c r="BZ198" s="353"/>
      <c r="CA198" s="353"/>
      <c r="CB198" s="353"/>
      <c r="CC198" s="353"/>
      <c r="CD198" s="353"/>
      <c r="CE198" s="353"/>
      <c r="CF198" s="353"/>
      <c r="CG198" s="353"/>
      <c r="CH198" s="353"/>
      <c r="CI198" s="353"/>
      <c r="CJ198" s="353"/>
      <c r="CK198" s="353"/>
      <c r="CL198" s="353"/>
      <c r="CM198" s="353"/>
      <c r="CN198" s="353"/>
      <c r="CO198" s="353"/>
      <c r="CP198" s="353"/>
      <c r="CQ198" s="353"/>
      <c r="CR198" s="353"/>
      <c r="CS198" s="353"/>
      <c r="CT198" s="353"/>
      <c r="CU198" s="353"/>
      <c r="CV198" s="353"/>
      <c r="CW198" s="353"/>
      <c r="CX198" s="353"/>
      <c r="CY198" s="353"/>
      <c r="CZ198" s="353"/>
      <c r="DA198" s="353"/>
      <c r="DB198" s="353"/>
      <c r="DC198" s="353"/>
      <c r="DD198" s="353"/>
      <c r="DE198" s="353"/>
      <c r="DF198" s="353"/>
      <c r="DG198" s="353"/>
      <c r="DH198" s="353"/>
      <c r="DI198" s="353"/>
      <c r="DJ198" s="353"/>
      <c r="DK198" s="353"/>
      <c r="DL198" s="353"/>
      <c r="DM198" s="353"/>
      <c r="DN198" s="353"/>
      <c r="DO198" s="353"/>
      <c r="DP198" s="353"/>
      <c r="DQ198" s="353"/>
      <c r="DR198" s="353"/>
    </row>
    <row r="199" spans="1:122" ht="12.75">
      <c r="A199" s="348"/>
      <c r="B199" s="398"/>
      <c r="C199" s="398"/>
      <c r="D199" s="399"/>
      <c r="E199" s="399"/>
      <c r="F199" s="399"/>
      <c r="G199" s="399"/>
      <c r="H199" s="399"/>
      <c r="I199" s="399"/>
      <c r="J199" s="399"/>
      <c r="K199" s="399"/>
      <c r="L199" s="398"/>
      <c r="M199" s="398"/>
      <c r="N199" s="398"/>
      <c r="O199" s="398"/>
      <c r="P199" s="398"/>
      <c r="Q199" s="398"/>
      <c r="R199" s="398"/>
      <c r="S199" s="399"/>
      <c r="T199" s="399"/>
      <c r="U199" s="399"/>
      <c r="V199" s="399"/>
      <c r="W199" s="399"/>
      <c r="X199" s="399"/>
      <c r="Y199" s="399"/>
      <c r="Z199" s="398"/>
      <c r="AA199" s="398"/>
      <c r="AB199" s="398"/>
      <c r="AC199" s="398"/>
      <c r="AD199" s="398"/>
      <c r="AE199" s="398"/>
      <c r="AF199" s="398"/>
      <c r="AG199" s="398"/>
      <c r="AH199" s="348"/>
      <c r="AI199" s="348"/>
      <c r="AJ199" s="348"/>
      <c r="AK199" s="348"/>
      <c r="AL199" s="348"/>
      <c r="AM199" s="348"/>
      <c r="AN199" s="348"/>
      <c r="AO199" s="348"/>
      <c r="AP199" s="348"/>
      <c r="AQ199" s="348"/>
      <c r="AR199" s="348"/>
      <c r="AS199" s="348"/>
      <c r="AT199" s="348"/>
      <c r="AU199" s="348"/>
      <c r="AV199" s="348"/>
      <c r="AW199" s="348"/>
      <c r="AX199" s="348"/>
      <c r="AY199" s="348"/>
      <c r="AZ199" s="348"/>
      <c r="BA199" s="348"/>
      <c r="BB199" s="348"/>
      <c r="BC199" s="348"/>
      <c r="BD199" s="348"/>
      <c r="BE199" s="348"/>
      <c r="BF199" s="348"/>
      <c r="BG199" s="348"/>
      <c r="BH199" s="353"/>
      <c r="BI199" s="353"/>
      <c r="BJ199" s="353"/>
      <c r="BK199" s="353"/>
      <c r="BL199" s="353"/>
      <c r="BM199" s="353"/>
      <c r="BN199" s="353"/>
      <c r="BO199" s="353"/>
      <c r="BP199" s="353"/>
      <c r="BQ199" s="353"/>
      <c r="BR199" s="353"/>
      <c r="BS199" s="353"/>
      <c r="BT199" s="353"/>
      <c r="BU199" s="353"/>
      <c r="BV199" s="353"/>
      <c r="BW199" s="353"/>
      <c r="BX199" s="353"/>
      <c r="BY199" s="353"/>
      <c r="BZ199" s="353"/>
      <c r="CA199" s="353"/>
      <c r="CB199" s="353"/>
      <c r="CC199" s="353"/>
      <c r="CD199" s="353"/>
      <c r="CE199" s="353"/>
      <c r="CF199" s="353"/>
      <c r="CG199" s="353"/>
      <c r="CH199" s="353"/>
      <c r="CI199" s="353"/>
      <c r="CJ199" s="353"/>
      <c r="CK199" s="353"/>
      <c r="CL199" s="353"/>
      <c r="CM199" s="353"/>
      <c r="CN199" s="353"/>
      <c r="CO199" s="353"/>
      <c r="CP199" s="353"/>
      <c r="CQ199" s="353"/>
      <c r="CR199" s="353"/>
      <c r="CS199" s="353"/>
      <c r="CT199" s="353"/>
      <c r="CU199" s="353"/>
      <c r="CV199" s="353"/>
      <c r="CW199" s="353"/>
      <c r="CX199" s="353"/>
      <c r="CY199" s="353"/>
      <c r="CZ199" s="353"/>
      <c r="DA199" s="353"/>
      <c r="DB199" s="353"/>
      <c r="DC199" s="353"/>
      <c r="DD199" s="353"/>
      <c r="DE199" s="353"/>
      <c r="DF199" s="353"/>
      <c r="DG199" s="353"/>
      <c r="DH199" s="353"/>
      <c r="DI199" s="353"/>
      <c r="DJ199" s="353"/>
      <c r="DK199" s="353"/>
      <c r="DL199" s="353"/>
      <c r="DM199" s="353"/>
      <c r="DN199" s="353"/>
      <c r="DO199" s="353"/>
      <c r="DP199" s="353"/>
      <c r="DQ199" s="353"/>
      <c r="DR199" s="353"/>
    </row>
    <row r="200" spans="1:122" ht="12.75">
      <c r="A200" s="348"/>
      <c r="B200" s="398"/>
      <c r="C200" s="398"/>
      <c r="D200" s="399"/>
      <c r="E200" s="399"/>
      <c r="F200" s="399"/>
      <c r="G200" s="399"/>
      <c r="H200" s="399"/>
      <c r="I200" s="399"/>
      <c r="J200" s="399"/>
      <c r="K200" s="399"/>
      <c r="L200" s="398"/>
      <c r="M200" s="398"/>
      <c r="N200" s="398"/>
      <c r="O200" s="398"/>
      <c r="P200" s="398"/>
      <c r="Q200" s="398"/>
      <c r="R200" s="398"/>
      <c r="S200" s="399"/>
      <c r="T200" s="399"/>
      <c r="U200" s="399"/>
      <c r="V200" s="399"/>
      <c r="W200" s="399"/>
      <c r="X200" s="399"/>
      <c r="Y200" s="399"/>
      <c r="Z200" s="398"/>
      <c r="AA200" s="398"/>
      <c r="AB200" s="398"/>
      <c r="AC200" s="398"/>
      <c r="AD200" s="398"/>
      <c r="AE200" s="398"/>
      <c r="AF200" s="398"/>
      <c r="AG200" s="398"/>
      <c r="AH200" s="348"/>
      <c r="AI200" s="348"/>
      <c r="AJ200" s="348"/>
      <c r="AK200" s="348"/>
      <c r="AL200" s="348"/>
      <c r="AM200" s="348"/>
      <c r="AN200" s="348"/>
      <c r="AO200" s="348"/>
      <c r="AP200" s="348"/>
      <c r="AQ200" s="348"/>
      <c r="AR200" s="348"/>
      <c r="AS200" s="348"/>
      <c r="AT200" s="348"/>
      <c r="AU200" s="348"/>
      <c r="AV200" s="348"/>
      <c r="AW200" s="348"/>
      <c r="AX200" s="348"/>
      <c r="AY200" s="348"/>
      <c r="AZ200" s="348"/>
      <c r="BA200" s="348"/>
      <c r="BB200" s="348"/>
      <c r="BC200" s="348"/>
      <c r="BD200" s="348"/>
      <c r="BE200" s="348"/>
      <c r="BF200" s="348"/>
      <c r="BG200" s="348"/>
      <c r="BH200" s="353"/>
      <c r="BI200" s="353"/>
      <c r="BJ200" s="353"/>
      <c r="BK200" s="353"/>
      <c r="BL200" s="353"/>
      <c r="BM200" s="353"/>
      <c r="BN200" s="353"/>
      <c r="BO200" s="353"/>
      <c r="BP200" s="353"/>
      <c r="BQ200" s="353"/>
      <c r="BR200" s="353"/>
      <c r="BS200" s="353"/>
      <c r="BT200" s="353"/>
      <c r="BU200" s="353"/>
      <c r="BV200" s="353"/>
      <c r="BW200" s="353"/>
      <c r="BX200" s="353"/>
      <c r="BY200" s="353"/>
      <c r="BZ200" s="353"/>
      <c r="CA200" s="353"/>
      <c r="CB200" s="353"/>
      <c r="CC200" s="353"/>
      <c r="CD200" s="353"/>
      <c r="CE200" s="353"/>
      <c r="CF200" s="353"/>
      <c r="CG200" s="353"/>
      <c r="CH200" s="353"/>
      <c r="CI200" s="353"/>
      <c r="CJ200" s="353"/>
      <c r="CK200" s="353"/>
      <c r="CL200" s="353"/>
      <c r="CM200" s="353"/>
      <c r="CN200" s="353"/>
      <c r="CO200" s="353"/>
      <c r="CP200" s="353"/>
      <c r="CQ200" s="353"/>
      <c r="CR200" s="353"/>
      <c r="CS200" s="353"/>
      <c r="CT200" s="353"/>
      <c r="CU200" s="353"/>
      <c r="CV200" s="353"/>
      <c r="CW200" s="353"/>
      <c r="CX200" s="353"/>
      <c r="CY200" s="353"/>
      <c r="CZ200" s="353"/>
      <c r="DA200" s="353"/>
      <c r="DB200" s="353"/>
      <c r="DC200" s="353"/>
      <c r="DD200" s="353"/>
      <c r="DE200" s="353"/>
      <c r="DF200" s="353"/>
      <c r="DG200" s="353"/>
      <c r="DH200" s="353"/>
      <c r="DI200" s="353"/>
      <c r="DJ200" s="353"/>
      <c r="DK200" s="353"/>
      <c r="DL200" s="353"/>
      <c r="DM200" s="353"/>
      <c r="DN200" s="353"/>
      <c r="DO200" s="353"/>
      <c r="DP200" s="353"/>
      <c r="DQ200" s="353"/>
      <c r="DR200" s="353"/>
    </row>
    <row r="201" spans="1:122" ht="12.75">
      <c r="A201" s="348"/>
      <c r="B201" s="398"/>
      <c r="C201" s="398"/>
      <c r="D201" s="399"/>
      <c r="E201" s="399"/>
      <c r="F201" s="399"/>
      <c r="G201" s="399"/>
      <c r="H201" s="399"/>
      <c r="I201" s="399"/>
      <c r="J201" s="399"/>
      <c r="K201" s="399"/>
      <c r="L201" s="398"/>
      <c r="M201" s="398"/>
      <c r="N201" s="398"/>
      <c r="O201" s="398"/>
      <c r="P201" s="398"/>
      <c r="Q201" s="398"/>
      <c r="R201" s="398"/>
      <c r="S201" s="399"/>
      <c r="T201" s="399"/>
      <c r="U201" s="399"/>
      <c r="V201" s="399"/>
      <c r="W201" s="399"/>
      <c r="X201" s="399"/>
      <c r="Y201" s="399"/>
      <c r="Z201" s="398"/>
      <c r="AA201" s="398"/>
      <c r="AB201" s="398"/>
      <c r="AC201" s="398"/>
      <c r="AD201" s="398"/>
      <c r="AE201" s="398"/>
      <c r="AF201" s="398"/>
      <c r="AG201" s="398"/>
      <c r="AH201" s="348"/>
      <c r="AI201" s="348"/>
      <c r="AJ201" s="348"/>
      <c r="AK201" s="348"/>
      <c r="AL201" s="348"/>
      <c r="AM201" s="348"/>
      <c r="AN201" s="348"/>
      <c r="AO201" s="348"/>
      <c r="AP201" s="348"/>
      <c r="AQ201" s="348"/>
      <c r="AR201" s="348"/>
      <c r="AS201" s="348"/>
      <c r="AT201" s="348"/>
      <c r="AU201" s="348"/>
      <c r="AV201" s="348"/>
      <c r="AW201" s="348"/>
      <c r="AX201" s="348"/>
      <c r="AY201" s="348"/>
      <c r="AZ201" s="348"/>
      <c r="BA201" s="348"/>
      <c r="BB201" s="348"/>
      <c r="BC201" s="348"/>
      <c r="BD201" s="348"/>
      <c r="BE201" s="348"/>
      <c r="BF201" s="348"/>
      <c r="BG201" s="348"/>
      <c r="BH201" s="353"/>
      <c r="BI201" s="353"/>
      <c r="BJ201" s="353"/>
      <c r="BK201" s="353"/>
      <c r="BL201" s="353"/>
      <c r="BM201" s="353"/>
      <c r="BN201" s="353"/>
      <c r="BO201" s="353"/>
      <c r="BP201" s="353"/>
      <c r="BQ201" s="353"/>
      <c r="BR201" s="353"/>
      <c r="BS201" s="353"/>
      <c r="BT201" s="353"/>
      <c r="BU201" s="353"/>
      <c r="BV201" s="353"/>
      <c r="BW201" s="353"/>
      <c r="BX201" s="353"/>
      <c r="BY201" s="353"/>
      <c r="BZ201" s="353"/>
      <c r="CA201" s="353"/>
      <c r="CB201" s="353"/>
      <c r="CC201" s="353"/>
      <c r="CD201" s="353"/>
      <c r="CE201" s="353"/>
      <c r="CF201" s="353"/>
      <c r="CG201" s="353"/>
      <c r="CH201" s="353"/>
      <c r="CI201" s="353"/>
      <c r="CJ201" s="353"/>
      <c r="CK201" s="353"/>
      <c r="CL201" s="353"/>
      <c r="CM201" s="353"/>
      <c r="CN201" s="353"/>
      <c r="CO201" s="353"/>
      <c r="CP201" s="353"/>
      <c r="CQ201" s="353"/>
      <c r="CR201" s="353"/>
      <c r="CS201" s="353"/>
      <c r="CT201" s="353"/>
      <c r="CU201" s="353"/>
      <c r="CV201" s="353"/>
      <c r="CW201" s="353"/>
      <c r="CX201" s="353"/>
      <c r="CY201" s="353"/>
      <c r="CZ201" s="353"/>
      <c r="DA201" s="353"/>
      <c r="DB201" s="353"/>
      <c r="DC201" s="353"/>
      <c r="DD201" s="353"/>
      <c r="DE201" s="353"/>
      <c r="DF201" s="353"/>
      <c r="DG201" s="353"/>
      <c r="DH201" s="353"/>
      <c r="DI201" s="353"/>
      <c r="DJ201" s="353"/>
      <c r="DK201" s="353"/>
      <c r="DL201" s="353"/>
      <c r="DM201" s="353"/>
      <c r="DN201" s="353"/>
      <c r="DO201" s="353"/>
      <c r="DP201" s="353"/>
      <c r="DQ201" s="353"/>
      <c r="DR201" s="353"/>
    </row>
    <row r="202" spans="1:122" ht="12.75">
      <c r="A202" s="348"/>
      <c r="B202" s="398"/>
      <c r="C202" s="398"/>
      <c r="D202" s="399"/>
      <c r="E202" s="399"/>
      <c r="F202" s="399"/>
      <c r="G202" s="399"/>
      <c r="H202" s="399"/>
      <c r="I202" s="399"/>
      <c r="J202" s="399"/>
      <c r="K202" s="399"/>
      <c r="L202" s="398"/>
      <c r="M202" s="398"/>
      <c r="N202" s="398"/>
      <c r="O202" s="398"/>
      <c r="P202" s="398"/>
      <c r="Q202" s="398"/>
      <c r="R202" s="398"/>
      <c r="S202" s="399"/>
      <c r="T202" s="399"/>
      <c r="U202" s="399"/>
      <c r="V202" s="399"/>
      <c r="W202" s="399"/>
      <c r="X202" s="399"/>
      <c r="Y202" s="399"/>
      <c r="Z202" s="398"/>
      <c r="AA202" s="398"/>
      <c r="AB202" s="398"/>
      <c r="AC202" s="398"/>
      <c r="AD202" s="398"/>
      <c r="AE202" s="398"/>
      <c r="AF202" s="398"/>
      <c r="AG202" s="398"/>
      <c r="AH202" s="348"/>
      <c r="AI202" s="348"/>
      <c r="AJ202" s="348"/>
      <c r="AK202" s="348"/>
      <c r="AL202" s="348"/>
      <c r="AM202" s="348"/>
      <c r="AN202" s="348"/>
      <c r="AO202" s="348"/>
      <c r="AP202" s="348"/>
      <c r="AQ202" s="348"/>
      <c r="AR202" s="348"/>
      <c r="AS202" s="348"/>
      <c r="AT202" s="348"/>
      <c r="AU202" s="348"/>
      <c r="AV202" s="348"/>
      <c r="AW202" s="348"/>
      <c r="AX202" s="348"/>
      <c r="AY202" s="348"/>
      <c r="AZ202" s="348"/>
      <c r="BA202" s="348"/>
      <c r="BB202" s="348"/>
      <c r="BC202" s="348"/>
      <c r="BD202" s="348"/>
      <c r="BE202" s="348"/>
      <c r="BF202" s="348"/>
      <c r="BG202" s="348"/>
      <c r="BH202" s="353"/>
      <c r="BI202" s="353"/>
      <c r="BJ202" s="353"/>
      <c r="BK202" s="353"/>
      <c r="BL202" s="353"/>
      <c r="BM202" s="353"/>
      <c r="BN202" s="353"/>
      <c r="BO202" s="353"/>
      <c r="BP202" s="353"/>
      <c r="BQ202" s="353"/>
      <c r="BR202" s="353"/>
      <c r="BS202" s="353"/>
      <c r="BT202" s="353"/>
      <c r="BU202" s="353"/>
      <c r="BV202" s="353"/>
      <c r="BW202" s="353"/>
      <c r="BX202" s="353"/>
      <c r="BY202" s="353"/>
      <c r="BZ202" s="353"/>
      <c r="CA202" s="353"/>
      <c r="CB202" s="353"/>
      <c r="CC202" s="353"/>
      <c r="CD202" s="353"/>
      <c r="CE202" s="353"/>
      <c r="CF202" s="353"/>
      <c r="CG202" s="353"/>
      <c r="CH202" s="353"/>
      <c r="CI202" s="353"/>
      <c r="CJ202" s="353"/>
      <c r="CK202" s="353"/>
      <c r="CL202" s="353"/>
      <c r="CM202" s="353"/>
      <c r="CN202" s="353"/>
      <c r="CO202" s="353"/>
      <c r="CP202" s="353"/>
      <c r="CQ202" s="353"/>
      <c r="CR202" s="353"/>
      <c r="CS202" s="353"/>
      <c r="CT202" s="353"/>
      <c r="CU202" s="353"/>
      <c r="CV202" s="353"/>
      <c r="CW202" s="353"/>
      <c r="CX202" s="353"/>
      <c r="CY202" s="353"/>
      <c r="CZ202" s="353"/>
      <c r="DA202" s="353"/>
      <c r="DB202" s="353"/>
      <c r="DC202" s="353"/>
      <c r="DD202" s="353"/>
      <c r="DE202" s="353"/>
      <c r="DF202" s="353"/>
      <c r="DG202" s="353"/>
      <c r="DH202" s="353"/>
      <c r="DI202" s="353"/>
      <c r="DJ202" s="353"/>
      <c r="DK202" s="353"/>
      <c r="DL202" s="353"/>
      <c r="DM202" s="353"/>
      <c r="DN202" s="353"/>
      <c r="DO202" s="353"/>
      <c r="DP202" s="353"/>
      <c r="DQ202" s="353"/>
      <c r="DR202" s="353"/>
    </row>
    <row r="203" spans="37:122" ht="12.75">
      <c r="AK203" s="348"/>
      <c r="AL203" s="348"/>
      <c r="AM203" s="348"/>
      <c r="AN203" s="348"/>
      <c r="AO203" s="348"/>
      <c r="AP203" s="348"/>
      <c r="AQ203" s="348"/>
      <c r="AR203" s="348"/>
      <c r="AS203" s="348"/>
      <c r="AT203" s="348"/>
      <c r="AU203" s="348"/>
      <c r="AV203" s="348"/>
      <c r="AW203" s="348"/>
      <c r="AX203" s="348"/>
      <c r="AY203" s="348"/>
      <c r="AZ203" s="348"/>
      <c r="BA203" s="348"/>
      <c r="BB203" s="348"/>
      <c r="BC203" s="348"/>
      <c r="BD203" s="348"/>
      <c r="BE203" s="348"/>
      <c r="BF203" s="348"/>
      <c r="BG203" s="348"/>
      <c r="BH203" s="353"/>
      <c r="BI203" s="353"/>
      <c r="BJ203" s="353"/>
      <c r="BK203" s="353"/>
      <c r="BL203" s="353"/>
      <c r="BM203" s="353"/>
      <c r="BN203" s="353"/>
      <c r="BO203" s="353"/>
      <c r="BP203" s="353"/>
      <c r="BQ203" s="353"/>
      <c r="BR203" s="353"/>
      <c r="BS203" s="353"/>
      <c r="BT203" s="353"/>
      <c r="BU203" s="353"/>
      <c r="BV203" s="353"/>
      <c r="BW203" s="353"/>
      <c r="BX203" s="353"/>
      <c r="BY203" s="353"/>
      <c r="BZ203" s="353"/>
      <c r="CA203" s="353"/>
      <c r="CB203" s="353"/>
      <c r="CC203" s="353"/>
      <c r="CD203" s="353"/>
      <c r="CE203" s="353"/>
      <c r="CF203" s="353"/>
      <c r="CG203" s="353"/>
      <c r="CH203" s="353"/>
      <c r="CI203" s="353"/>
      <c r="CJ203" s="353"/>
      <c r="CK203" s="353"/>
      <c r="CL203" s="353"/>
      <c r="CM203" s="353"/>
      <c r="CN203" s="353"/>
      <c r="CO203" s="353"/>
      <c r="CP203" s="353"/>
      <c r="CQ203" s="353"/>
      <c r="CR203" s="353"/>
      <c r="CS203" s="353"/>
      <c r="CT203" s="353"/>
      <c r="CU203" s="353"/>
      <c r="CV203" s="353"/>
      <c r="CW203" s="353"/>
      <c r="CX203" s="353"/>
      <c r="CY203" s="353"/>
      <c r="CZ203" s="353"/>
      <c r="DA203" s="353"/>
      <c r="DB203" s="353"/>
      <c r="DC203" s="353"/>
      <c r="DD203" s="353"/>
      <c r="DE203" s="353"/>
      <c r="DF203" s="353"/>
      <c r="DG203" s="353"/>
      <c r="DH203" s="353"/>
      <c r="DI203" s="353"/>
      <c r="DJ203" s="353"/>
      <c r="DK203" s="353"/>
      <c r="DL203" s="353"/>
      <c r="DM203" s="353"/>
      <c r="DN203" s="353"/>
      <c r="DO203" s="353"/>
      <c r="DP203" s="353"/>
      <c r="DQ203" s="353"/>
      <c r="DR203" s="353"/>
    </row>
  </sheetData>
  <sheetProtection formatCells="0" selectLockedCells="1"/>
  <mergeCells count="94">
    <mergeCell ref="P77:S77"/>
    <mergeCell ref="P78:S78"/>
    <mergeCell ref="E71:F71"/>
    <mergeCell ref="H71:J71"/>
    <mergeCell ref="T76:V76"/>
    <mergeCell ref="P76:S76"/>
    <mergeCell ref="H75:J75"/>
    <mergeCell ref="J13:M13"/>
    <mergeCell ref="J18:L18"/>
    <mergeCell ref="J19:L19"/>
    <mergeCell ref="J20:L20"/>
    <mergeCell ref="Q5:X7"/>
    <mergeCell ref="T69:V69"/>
    <mergeCell ref="M46:O46"/>
    <mergeCell ref="M44:O44"/>
    <mergeCell ref="T45:V45"/>
    <mergeCell ref="J21:L21"/>
    <mergeCell ref="J22:L22"/>
    <mergeCell ref="W42:X42"/>
    <mergeCell ref="T68:V68"/>
    <mergeCell ref="T67:V67"/>
    <mergeCell ref="J23:L23"/>
    <mergeCell ref="M42:O42"/>
    <mergeCell ref="J24:L24"/>
    <mergeCell ref="J25:L25"/>
    <mergeCell ref="M41:O41"/>
    <mergeCell ref="W46:X46"/>
    <mergeCell ref="CF107:CO107"/>
    <mergeCell ref="CT91:CU91"/>
    <mergeCell ref="H76:J76"/>
    <mergeCell ref="H73:J73"/>
    <mergeCell ref="H74:J74"/>
    <mergeCell ref="W73:Y73"/>
    <mergeCell ref="W74:Y74"/>
    <mergeCell ref="H77:J77"/>
    <mergeCell ref="H78:J78"/>
    <mergeCell ref="T77:V77"/>
    <mergeCell ref="BV114:BW114"/>
    <mergeCell ref="BX114:BY114"/>
    <mergeCell ref="T73:V73"/>
    <mergeCell ref="CZ120:DH120"/>
    <mergeCell ref="CY117:CZ117"/>
    <mergeCell ref="CZ119:DH119"/>
    <mergeCell ref="CP108:CQ108"/>
    <mergeCell ref="CG110:CO110"/>
    <mergeCell ref="CE111:CE121"/>
    <mergeCell ref="CV91:CW91"/>
    <mergeCell ref="W71:Y71"/>
    <mergeCell ref="W70:Y70"/>
    <mergeCell ref="T74:V74"/>
    <mergeCell ref="BX127:BY127"/>
    <mergeCell ref="BX115:BY115"/>
    <mergeCell ref="BX126:BY126"/>
    <mergeCell ref="T71:V71"/>
    <mergeCell ref="BV126:BW126"/>
    <mergeCell ref="T70:V70"/>
    <mergeCell ref="T78:V78"/>
    <mergeCell ref="E68:F68"/>
    <mergeCell ref="H68:J68"/>
    <mergeCell ref="E44:F44"/>
    <mergeCell ref="E47:F47"/>
    <mergeCell ref="E69:F69"/>
    <mergeCell ref="H67:J67"/>
    <mergeCell ref="E67:F67"/>
    <mergeCell ref="J45:L45"/>
    <mergeCell ref="J44:L44"/>
    <mergeCell ref="J46:L46"/>
    <mergeCell ref="H70:J70"/>
    <mergeCell ref="E46:F46"/>
    <mergeCell ref="E41:F41"/>
    <mergeCell ref="J41:L41"/>
    <mergeCell ref="E43:F43"/>
    <mergeCell ref="J43:L43"/>
    <mergeCell ref="E70:F70"/>
    <mergeCell ref="H69:J69"/>
    <mergeCell ref="E42:F42"/>
    <mergeCell ref="E45:F45"/>
    <mergeCell ref="M45:O45"/>
    <mergeCell ref="J26:L26"/>
    <mergeCell ref="J27:L27"/>
    <mergeCell ref="J32:L32"/>
    <mergeCell ref="T42:V42"/>
    <mergeCell ref="J42:L42"/>
    <mergeCell ref="M43:O43"/>
    <mergeCell ref="T43:V43"/>
    <mergeCell ref="T41:V41"/>
    <mergeCell ref="P13:Q13"/>
    <mergeCell ref="W47:X47"/>
    <mergeCell ref="T44:V44"/>
    <mergeCell ref="W44:X44"/>
    <mergeCell ref="T46:V46"/>
    <mergeCell ref="W45:X45"/>
    <mergeCell ref="W41:X41"/>
    <mergeCell ref="W43:X43"/>
  </mergeCells>
  <conditionalFormatting sqref="W71:Y71 W74:Y74">
    <cfRule type="expression" priority="8" dxfId="23" stopIfTrue="1">
      <formula>T71=0</formula>
    </cfRule>
  </conditionalFormatting>
  <conditionalFormatting sqref="Q73:R74 E5:E7 T68:V68">
    <cfRule type="cellIs" priority="18" dxfId="12" operator="equal" stopIfTrue="1">
      <formula>0</formula>
    </cfRule>
  </conditionalFormatting>
  <conditionalFormatting sqref="C47">
    <cfRule type="cellIs" priority="19" dxfId="22" operator="notEqual" stopIfTrue="1">
      <formula>1</formula>
    </cfRule>
  </conditionalFormatting>
  <conditionalFormatting sqref="P23 J23:L23">
    <cfRule type="cellIs" priority="20" dxfId="22" operator="lessThan" stopIfTrue="1">
      <formula>3</formula>
    </cfRule>
    <cfRule type="cellIs" priority="21" dxfId="22" operator="greaterThan" stopIfTrue="1">
      <formula>6</formula>
    </cfRule>
    <cfRule type="cellIs" priority="22" dxfId="22" operator="equal" stopIfTrue="1">
      <formula>"""bhp error"""</formula>
    </cfRule>
  </conditionalFormatting>
  <conditionalFormatting sqref="S70:V71 S73:V74">
    <cfRule type="cellIs" priority="6" dxfId="18" operator="equal" stopIfTrue="1">
      <formula>0</formula>
    </cfRule>
  </conditionalFormatting>
  <conditionalFormatting sqref="W73:Y73">
    <cfRule type="expression" priority="24" dxfId="23" stopIfTrue="1">
      <formula>$T$73=0</formula>
    </cfRule>
  </conditionalFormatting>
  <conditionalFormatting sqref="D53">
    <cfRule type="cellIs" priority="5" dxfId="22" operator="notEqual" stopIfTrue="1">
      <formula>$C$45</formula>
    </cfRule>
  </conditionalFormatting>
  <conditionalFormatting sqref="E53">
    <cfRule type="expression" priority="4" dxfId="21" stopIfTrue="1">
      <formula>$D$53&lt;&gt;$C$45</formula>
    </cfRule>
  </conditionalFormatting>
  <conditionalFormatting sqref="J21:L21">
    <cfRule type="cellIs" priority="3" dxfId="19" operator="equal" stopIfTrue="1">
      <formula>0</formula>
    </cfRule>
  </conditionalFormatting>
  <conditionalFormatting sqref="P21">
    <cfRule type="cellIs" priority="2" dxfId="19" operator="equal" stopIfTrue="1">
      <formula>0</formula>
    </cfRule>
  </conditionalFormatting>
  <conditionalFormatting sqref="P76:P78">
    <cfRule type="cellIs" priority="1" dxfId="18" operator="equal" stopIfTrue="1">
      <formula>0</formula>
    </cfRule>
  </conditionalFormatting>
  <dataValidations count="12">
    <dataValidation type="custom" allowBlank="1" showInputMessage="1" showErrorMessage="1" prompt="Annual hours during which compressor keeps the system pressurized.  Use the &quot;Explanation of Inputs,&quot; tab to estimate annual hours, then enter here." errorTitle="Too many hours" error="Maximum annual hours is 8760" sqref="H38">
      <formula1>H38&lt;8761</formula1>
    </dataValidation>
    <dataValidation allowBlank="1" showInputMessage="1" showErrorMessage="1" prompt="When there is an entry for bhp here, it will be used to estimate the compressor's full load kW demand.  If there is no entry, nominal compressor hp will be used to estimate full load kW, assuming the motor is loaded up into the service factor." sqref="P22 J22:L22"/>
    <dataValidation type="whole" allowBlank="1" showInputMessage="1" showErrorMessage="1" prompt="Enter a value for the flow reduction at each level.  This must be a &#10;single value, a flow range such as 25-30 will not work." error="You must enter an single value for flow reduction between 0 and 1,000.  A range similar to 25-30 will not work." sqref="R42:R45">
      <formula1>0</formula1>
      <formula2>1000</formula2>
    </dataValidation>
    <dataValidation type="decimal" allowBlank="1" showInputMessage="1" showErrorMessage="1" prompt="Please enter a value for the estimated operating or maintenance cost reduction." error="You must input a number." sqref="P29">
      <formula1>-50000</formula1>
      <formula2>150000</formula2>
    </dataValidation>
    <dataValidation type="decimal" allowBlank="1" showInputMessage="1" showErrorMessage="1" prompt="Please enter a value for estimated non-energy benefits associated with this measure." error="You must input a number." sqref="P30">
      <formula1>-50000</formula1>
      <formula2>150000</formula2>
    </dataValidation>
    <dataValidation type="decimal" allowBlank="1" showInputMessage="1" showErrorMessage="1" prompt="You must enter a single value for the % time and % flow.  A range of values (10-20%) is not a valid input." error="You must enter a single value for the % time and % flow.  A range of values (10-20%) is not a valid input." sqref="D42:D45 C42:C46">
      <formula1>0</formula1>
      <formula2>1</formula2>
    </dataValidation>
    <dataValidation allowBlank="1" showInputMessage="1" showErrorMessage="1" prompt="Nominal horsepower of the compressor drive motor." sqref="J18:L18 P18"/>
    <dataValidation allowBlank="1" showInputMessage="1" showErrorMessage="1" prompt="Rated flow from compressor datasheet." sqref="J19:L19 P19"/>
    <dataValidation allowBlank="1" showInputMessage="1" showErrorMessage="1" prompt="Enter the plant elevation here.  This provides a correction factor to properly account for demand side flow reduction and dryer calculations." sqref="J20:L20"/>
    <dataValidation allowBlank="1" showInputMessage="1" showErrorMessage="1" prompt="Pressure at which rated flow above is given in compressor datasheet.  NOTE:  This is not necessarily the same as the system operating pressure below." sqref="J24:L24 P24"/>
    <dataValidation allowBlank="1" showInputMessage="1" showErrorMessage="1" prompt="Average pressure that compressor sees at its discharge.  In practice, these are often different from the rated pressure values above." sqref="H36:H37"/>
    <dataValidation allowBlank="1" showInputMessage="1" showErrorMessage="1" prompt="Nominal horsepower of the cooling fan motor." sqref="J32:L32 P32"/>
  </dataValidations>
  <printOptions horizontalCentered="1"/>
  <pageMargins left="0.29" right="0.4" top="0.25" bottom="0.25" header="0" footer="0"/>
  <pageSetup fitToHeight="1" fitToWidth="1" horizontalDpi="600" verticalDpi="600" orientation="portrait" scale="83" r:id="rId4"/>
  <drawing r:id="rId3"/>
  <legacyDrawing r:id="rId2"/>
</worksheet>
</file>

<file path=xl/worksheets/sheet3.xml><?xml version="1.0" encoding="utf-8"?>
<worksheet xmlns="http://schemas.openxmlformats.org/spreadsheetml/2006/main" xmlns:r="http://schemas.openxmlformats.org/officeDocument/2006/relationships">
  <sheetPr codeName="Sheet11">
    <pageSetUpPr fitToPage="1"/>
  </sheetPr>
  <dimension ref="A1:AS152"/>
  <sheetViews>
    <sheetView showGridLines="0" zoomScale="145" zoomScaleNormal="145" zoomScaleSheetLayoutView="115" zoomScalePageLayoutView="0" workbookViewId="0" topLeftCell="A1">
      <selection activeCell="I14" sqref="I14:J14"/>
    </sheetView>
  </sheetViews>
  <sheetFormatPr defaultColWidth="9.140625" defaultRowHeight="12.75"/>
  <cols>
    <col min="1" max="1" width="2.421875" style="443" customWidth="1"/>
    <col min="2" max="2" width="4.57421875" style="443" customWidth="1"/>
    <col min="3" max="4" width="9.140625" style="443" customWidth="1"/>
    <col min="5" max="5" width="10.00390625" style="443" customWidth="1"/>
    <col min="6" max="6" width="9.421875" style="443" customWidth="1"/>
    <col min="7" max="7" width="6.57421875" style="443" customWidth="1"/>
    <col min="8" max="8" width="8.140625" style="443" customWidth="1"/>
    <col min="9" max="9" width="7.57421875" style="443" customWidth="1"/>
    <col min="10" max="10" width="8.421875" style="443" customWidth="1"/>
    <col min="11" max="11" width="3.00390625" style="443" customWidth="1"/>
    <col min="12" max="12" width="7.57421875" style="443" customWidth="1"/>
    <col min="13" max="13" width="8.57421875" style="443" customWidth="1"/>
    <col min="14" max="14" width="9.140625" style="443" customWidth="1"/>
    <col min="15" max="15" width="4.57421875" style="443" customWidth="1"/>
    <col min="16" max="16" width="3.00390625" style="443" customWidth="1"/>
    <col min="17" max="17" width="9.140625" style="443" customWidth="1"/>
    <col min="18" max="18" width="15.00390625" style="443" customWidth="1"/>
    <col min="19" max="19" width="13.00390625" style="443" customWidth="1"/>
    <col min="20" max="20" width="10.421875" style="443" customWidth="1"/>
    <col min="21" max="31" width="9.140625" style="443" customWidth="1"/>
    <col min="32" max="32" width="9.140625" style="359" customWidth="1"/>
    <col min="33" max="16384" width="9.140625" style="443" customWidth="1"/>
  </cols>
  <sheetData>
    <row r="1" spans="1:45" ht="12.75" customHeight="1">
      <c r="A1" s="483"/>
      <c r="B1" s="483"/>
      <c r="C1" s="483"/>
      <c r="D1" s="483"/>
      <c r="E1" s="483"/>
      <c r="F1" s="483"/>
      <c r="G1" s="483"/>
      <c r="H1" s="483"/>
      <c r="I1" s="483"/>
      <c r="J1" s="483"/>
      <c r="K1" s="483"/>
      <c r="L1" s="483"/>
      <c r="M1" s="483"/>
      <c r="N1" s="483"/>
      <c r="O1" s="483"/>
      <c r="P1" s="483"/>
      <c r="Q1" s="483"/>
      <c r="R1" s="483"/>
      <c r="S1" s="483"/>
      <c r="T1" s="483"/>
      <c r="U1" s="483"/>
      <c r="V1" s="483"/>
      <c r="W1" s="483"/>
      <c r="X1" s="483"/>
      <c r="Y1" s="483"/>
      <c r="Z1" s="483"/>
      <c r="AA1" s="483"/>
      <c r="AB1" s="483"/>
      <c r="AC1" s="483"/>
      <c r="AD1" s="483"/>
      <c r="AE1" s="483"/>
      <c r="AF1" s="357"/>
      <c r="AG1" s="483"/>
      <c r="AH1" s="483"/>
      <c r="AI1" s="483"/>
      <c r="AJ1" s="483"/>
      <c r="AK1" s="483"/>
      <c r="AL1" s="483"/>
      <c r="AM1" s="483"/>
      <c r="AN1" s="483"/>
      <c r="AO1" s="483"/>
      <c r="AP1" s="483"/>
      <c r="AQ1" s="483"/>
      <c r="AR1" s="483"/>
      <c r="AS1" s="483"/>
    </row>
    <row r="2" spans="1:45" ht="12.75">
      <c r="A2" s="483"/>
      <c r="B2" s="484"/>
      <c r="C2" s="484"/>
      <c r="D2" s="484"/>
      <c r="E2" s="484"/>
      <c r="F2" s="484"/>
      <c r="G2" s="484"/>
      <c r="H2" s="484"/>
      <c r="I2" s="484"/>
      <c r="J2" s="484"/>
      <c r="K2" s="484"/>
      <c r="L2" s="484"/>
      <c r="M2" s="484"/>
      <c r="N2" s="484"/>
      <c r="O2" s="484"/>
      <c r="P2" s="357"/>
      <c r="Q2" s="483"/>
      <c r="R2" s="483"/>
      <c r="S2" s="483"/>
      <c r="T2" s="483"/>
      <c r="U2" s="483"/>
      <c r="V2" s="483"/>
      <c r="W2" s="483"/>
      <c r="X2" s="483"/>
      <c r="Y2" s="483"/>
      <c r="Z2" s="483"/>
      <c r="AA2" s="483"/>
      <c r="AB2" s="483"/>
      <c r="AC2" s="483"/>
      <c r="AD2" s="483"/>
      <c r="AE2" s="483"/>
      <c r="AF2" s="357"/>
      <c r="AG2" s="483"/>
      <c r="AH2" s="483"/>
      <c r="AI2" s="483"/>
      <c r="AJ2" s="483"/>
      <c r="AK2" s="483"/>
      <c r="AL2" s="483"/>
      <c r="AM2" s="483"/>
      <c r="AN2" s="483"/>
      <c r="AO2" s="483"/>
      <c r="AP2" s="483"/>
      <c r="AQ2" s="483"/>
      <c r="AR2" s="483"/>
      <c r="AS2" s="483"/>
    </row>
    <row r="3" spans="1:45" ht="16.5" customHeight="1">
      <c r="A3" s="483"/>
      <c r="B3" s="484"/>
      <c r="C3" s="352" t="s">
        <v>958</v>
      </c>
      <c r="D3" s="485"/>
      <c r="E3" s="485"/>
      <c r="F3" s="485"/>
      <c r="G3" s="485"/>
      <c r="H3" s="485"/>
      <c r="I3" s="486"/>
      <c r="J3" s="359"/>
      <c r="K3" s="487"/>
      <c r="L3" s="359"/>
      <c r="M3" s="484"/>
      <c r="N3" s="484"/>
      <c r="O3" s="484"/>
      <c r="P3" s="357"/>
      <c r="Q3" s="483"/>
      <c r="R3" s="483"/>
      <c r="S3" s="483"/>
      <c r="T3" s="483"/>
      <c r="U3" s="483"/>
      <c r="V3" s="483"/>
      <c r="W3" s="483"/>
      <c r="X3" s="483"/>
      <c r="Y3" s="483"/>
      <c r="Z3" s="483"/>
      <c r="AA3" s="483"/>
      <c r="AB3" s="483"/>
      <c r="AC3" s="483"/>
      <c r="AD3" s="483"/>
      <c r="AE3" s="483"/>
      <c r="AF3" s="357"/>
      <c r="AG3" s="483"/>
      <c r="AH3" s="483"/>
      <c r="AI3" s="483"/>
      <c r="AJ3" s="483"/>
      <c r="AK3" s="483"/>
      <c r="AL3" s="483"/>
      <c r="AM3" s="483"/>
      <c r="AN3" s="483"/>
      <c r="AO3" s="483"/>
      <c r="AP3" s="483"/>
      <c r="AQ3" s="483"/>
      <c r="AR3" s="483"/>
      <c r="AS3" s="483"/>
    </row>
    <row r="4" spans="1:45" s="626" customFormat="1" ht="15" customHeight="1">
      <c r="A4" s="621"/>
      <c r="B4" s="622"/>
      <c r="C4" s="623"/>
      <c r="D4" s="619" t="s">
        <v>791</v>
      </c>
      <c r="E4" s="364" t="str">
        <f>IF(ISBLANK(CompanyName),"",CompanyName&amp;":  "&amp;SiteCity&amp;", "&amp;SiteState)</f>
        <v>:  , WA</v>
      </c>
      <c r="F4" s="366"/>
      <c r="G4" s="366"/>
      <c r="H4" s="366"/>
      <c r="I4" s="622"/>
      <c r="J4" s="622"/>
      <c r="K4" s="622"/>
      <c r="L4" s="622"/>
      <c r="M4" s="624"/>
      <c r="N4" s="624"/>
      <c r="O4" s="624"/>
      <c r="P4" s="625"/>
      <c r="Q4" s="621"/>
      <c r="R4" s="621"/>
      <c r="S4" s="621"/>
      <c r="T4" s="621"/>
      <c r="U4" s="621"/>
      <c r="V4" s="621"/>
      <c r="W4" s="621"/>
      <c r="X4" s="621"/>
      <c r="Y4" s="621"/>
      <c r="Z4" s="621"/>
      <c r="AA4" s="621"/>
      <c r="AB4" s="621"/>
      <c r="AC4" s="621"/>
      <c r="AD4" s="621"/>
      <c r="AE4" s="621"/>
      <c r="AF4" s="625"/>
      <c r="AG4" s="621"/>
      <c r="AH4" s="621"/>
      <c r="AI4" s="621"/>
      <c r="AJ4" s="621"/>
      <c r="AK4" s="621"/>
      <c r="AL4" s="621"/>
      <c r="AM4" s="621"/>
      <c r="AN4" s="621"/>
      <c r="AO4" s="621"/>
      <c r="AP4" s="621"/>
      <c r="AQ4" s="621"/>
      <c r="AR4" s="621"/>
      <c r="AS4" s="621"/>
    </row>
    <row r="5" spans="1:45" s="626" customFormat="1" ht="15" customHeight="1">
      <c r="A5" s="621"/>
      <c r="B5" s="622"/>
      <c r="C5" s="627"/>
      <c r="D5" s="619" t="s">
        <v>792</v>
      </c>
      <c r="E5" s="364">
        <f>VendorCompany</f>
      </c>
      <c r="F5" s="628"/>
      <c r="G5" s="622"/>
      <c r="H5" s="622"/>
      <c r="I5" s="622"/>
      <c r="J5" s="622"/>
      <c r="K5" s="622"/>
      <c r="L5" s="622"/>
      <c r="M5" s="624"/>
      <c r="N5" s="624"/>
      <c r="O5" s="624"/>
      <c r="P5" s="625"/>
      <c r="Q5" s="621"/>
      <c r="R5" s="621"/>
      <c r="S5" s="621"/>
      <c r="T5" s="621"/>
      <c r="U5" s="621"/>
      <c r="V5" s="621"/>
      <c r="W5" s="621"/>
      <c r="X5" s="621"/>
      <c r="Y5" s="621"/>
      <c r="Z5" s="621"/>
      <c r="AA5" s="621"/>
      <c r="AB5" s="621"/>
      <c r="AC5" s="621"/>
      <c r="AD5" s="621"/>
      <c r="AE5" s="621"/>
      <c r="AF5" s="625"/>
      <c r="AG5" s="621"/>
      <c r="AH5" s="621"/>
      <c r="AI5" s="621"/>
      <c r="AJ5" s="621"/>
      <c r="AK5" s="621"/>
      <c r="AL5" s="621"/>
      <c r="AM5" s="621"/>
      <c r="AN5" s="621"/>
      <c r="AO5" s="621"/>
      <c r="AP5" s="621"/>
      <c r="AQ5" s="621"/>
      <c r="AR5" s="621"/>
      <c r="AS5" s="621"/>
    </row>
    <row r="6" spans="1:45" ht="7.5" customHeight="1">
      <c r="A6" s="483"/>
      <c r="B6" s="359"/>
      <c r="C6" s="488"/>
      <c r="D6" s="424"/>
      <c r="E6" s="355"/>
      <c r="F6" s="489"/>
      <c r="G6" s="359"/>
      <c r="H6" s="359"/>
      <c r="I6" s="359"/>
      <c r="J6" s="359"/>
      <c r="K6" s="359"/>
      <c r="L6" s="359"/>
      <c r="M6" s="484"/>
      <c r="N6" s="484"/>
      <c r="O6" s="484"/>
      <c r="P6" s="357"/>
      <c r="Q6" s="483"/>
      <c r="R6" s="483"/>
      <c r="S6" s="483"/>
      <c r="T6" s="483"/>
      <c r="U6" s="483"/>
      <c r="V6" s="483"/>
      <c r="W6" s="483"/>
      <c r="X6" s="483"/>
      <c r="Y6" s="483"/>
      <c r="Z6" s="483"/>
      <c r="AA6" s="483"/>
      <c r="AB6" s="483"/>
      <c r="AC6" s="483"/>
      <c r="AD6" s="483"/>
      <c r="AE6" s="483"/>
      <c r="AF6" s="357"/>
      <c r="AG6" s="483"/>
      <c r="AH6" s="483"/>
      <c r="AI6" s="483"/>
      <c r="AJ6" s="483"/>
      <c r="AK6" s="483"/>
      <c r="AL6" s="483"/>
      <c r="AM6" s="483"/>
      <c r="AN6" s="483"/>
      <c r="AO6" s="483"/>
      <c r="AP6" s="483"/>
      <c r="AQ6" s="483"/>
      <c r="AR6" s="483"/>
      <c r="AS6" s="483"/>
    </row>
    <row r="7" spans="1:45" ht="13.5" customHeight="1">
      <c r="A7" s="483"/>
      <c r="B7" s="488"/>
      <c r="C7" s="490" t="s">
        <v>13</v>
      </c>
      <c r="D7" s="653"/>
      <c r="E7" s="653"/>
      <c r="F7" s="653"/>
      <c r="G7" s="653"/>
      <c r="H7" s="653"/>
      <c r="I7" s="653"/>
      <c r="J7" s="653"/>
      <c r="K7" s="653"/>
      <c r="L7" s="653"/>
      <c r="M7" s="653"/>
      <c r="N7" s="653"/>
      <c r="O7" s="637"/>
      <c r="P7" s="357"/>
      <c r="Q7" s="483"/>
      <c r="R7" s="483"/>
      <c r="S7" s="483"/>
      <c r="T7" s="483"/>
      <c r="U7" s="483"/>
      <c r="V7" s="483"/>
      <c r="W7" s="483"/>
      <c r="X7" s="483"/>
      <c r="Y7" s="483"/>
      <c r="Z7" s="483"/>
      <c r="AA7" s="483"/>
      <c r="AB7" s="483"/>
      <c r="AC7" s="483"/>
      <c r="AD7" s="483"/>
      <c r="AE7" s="483"/>
      <c r="AF7" s="357"/>
      <c r="AG7" s="483"/>
      <c r="AH7" s="483"/>
      <c r="AI7" s="483"/>
      <c r="AJ7" s="483"/>
      <c r="AK7" s="483"/>
      <c r="AL7" s="483"/>
      <c r="AM7" s="483"/>
      <c r="AN7" s="483"/>
      <c r="AO7" s="483"/>
      <c r="AP7" s="483"/>
      <c r="AQ7" s="483"/>
      <c r="AR7" s="483"/>
      <c r="AS7" s="483"/>
    </row>
    <row r="8" spans="1:45" ht="7.5" customHeight="1">
      <c r="A8" s="483"/>
      <c r="B8" s="1154"/>
      <c r="C8" s="1154"/>
      <c r="D8" s="488"/>
      <c r="E8" s="654"/>
      <c r="F8" s="654"/>
      <c r="G8" s="654"/>
      <c r="H8" s="654"/>
      <c r="I8" s="654"/>
      <c r="J8" s="488"/>
      <c r="K8" s="654"/>
      <c r="L8" s="488"/>
      <c r="M8" s="637"/>
      <c r="N8" s="637"/>
      <c r="O8" s="637"/>
      <c r="P8" s="357"/>
      <c r="Q8" s="491"/>
      <c r="R8" s="357"/>
      <c r="S8" s="491"/>
      <c r="T8" s="491"/>
      <c r="U8" s="491"/>
      <c r="V8" s="491"/>
      <c r="W8" s="491"/>
      <c r="X8" s="491"/>
      <c r="Y8" s="491"/>
      <c r="Z8" s="491"/>
      <c r="AA8" s="491"/>
      <c r="AB8" s="491"/>
      <c r="AC8" s="491"/>
      <c r="AD8" s="491"/>
      <c r="AE8" s="491"/>
      <c r="AF8" s="357"/>
      <c r="AG8" s="483"/>
      <c r="AH8" s="483"/>
      <c r="AI8" s="483"/>
      <c r="AJ8" s="483"/>
      <c r="AK8" s="483"/>
      <c r="AL8" s="483"/>
      <c r="AM8" s="483"/>
      <c r="AN8" s="483"/>
      <c r="AO8" s="483"/>
      <c r="AP8" s="483"/>
      <c r="AQ8" s="483"/>
      <c r="AR8" s="483"/>
      <c r="AS8" s="483"/>
    </row>
    <row r="9" spans="1:45" ht="12.75">
      <c r="A9" s="483"/>
      <c r="B9" s="488"/>
      <c r="C9" s="488"/>
      <c r="D9" s="488"/>
      <c r="E9" s="488"/>
      <c r="F9" s="1155" t="s">
        <v>14</v>
      </c>
      <c r="G9" s="1155"/>
      <c r="H9" s="1155"/>
      <c r="I9" s="1155" t="s">
        <v>15</v>
      </c>
      <c r="J9" s="1155"/>
      <c r="K9" s="1155"/>
      <c r="L9" s="488"/>
      <c r="M9" s="637"/>
      <c r="N9" s="637"/>
      <c r="O9" s="637"/>
      <c r="P9" s="357"/>
      <c r="Q9" s="491"/>
      <c r="R9" s="492"/>
      <c r="S9" s="491"/>
      <c r="T9" s="491"/>
      <c r="U9" s="491"/>
      <c r="V9" s="491"/>
      <c r="W9" s="491"/>
      <c r="X9" s="491"/>
      <c r="Y9" s="491"/>
      <c r="Z9" s="491"/>
      <c r="AA9" s="491"/>
      <c r="AB9" s="491"/>
      <c r="AC9" s="491"/>
      <c r="AD9" s="491"/>
      <c r="AE9" s="491"/>
      <c r="AF9" s="357"/>
      <c r="AG9" s="483"/>
      <c r="AH9" s="483"/>
      <c r="AI9" s="483"/>
      <c r="AJ9" s="483"/>
      <c r="AK9" s="483"/>
      <c r="AL9" s="483"/>
      <c r="AM9" s="483"/>
      <c r="AN9" s="483"/>
      <c r="AO9" s="483"/>
      <c r="AP9" s="483"/>
      <c r="AQ9" s="483"/>
      <c r="AR9" s="483"/>
      <c r="AS9" s="483"/>
    </row>
    <row r="10" spans="1:45" ht="13.5" customHeight="1">
      <c r="A10" s="483"/>
      <c r="B10" s="488"/>
      <c r="C10" s="488" t="s">
        <v>16</v>
      </c>
      <c r="D10" s="488"/>
      <c r="E10" s="1152" t="s">
        <v>17</v>
      </c>
      <c r="F10" s="1156"/>
      <c r="G10" s="1153"/>
      <c r="H10" s="488"/>
      <c r="I10" s="1152" t="s">
        <v>18</v>
      </c>
      <c r="J10" s="1156"/>
      <c r="K10" s="1156"/>
      <c r="L10" s="1153"/>
      <c r="M10" s="637"/>
      <c r="N10" s="637"/>
      <c r="O10" s="637"/>
      <c r="P10" s="483"/>
      <c r="Q10" s="491"/>
      <c r="R10" s="357"/>
      <c r="S10" s="491"/>
      <c r="T10" s="491"/>
      <c r="U10" s="491"/>
      <c r="V10" s="491"/>
      <c r="W10" s="491"/>
      <c r="X10" s="491"/>
      <c r="Y10" s="491"/>
      <c r="Z10" s="491"/>
      <c r="AA10" s="491"/>
      <c r="AB10" s="491"/>
      <c r="AC10" s="491"/>
      <c r="AD10" s="491"/>
      <c r="AE10" s="491"/>
      <c r="AF10" s="357"/>
      <c r="AG10" s="483"/>
      <c r="AH10" s="483"/>
      <c r="AI10" s="483"/>
      <c r="AJ10" s="483"/>
      <c r="AK10" s="483"/>
      <c r="AL10" s="483"/>
      <c r="AM10" s="483"/>
      <c r="AN10" s="483"/>
      <c r="AO10" s="483"/>
      <c r="AP10" s="483"/>
      <c r="AQ10" s="483"/>
      <c r="AR10" s="483"/>
      <c r="AS10" s="483"/>
    </row>
    <row r="11" spans="1:45" ht="13.5" customHeight="1">
      <c r="A11" s="483"/>
      <c r="B11" s="488"/>
      <c r="C11" s="488" t="s">
        <v>19</v>
      </c>
      <c r="D11" s="488"/>
      <c r="E11" s="488"/>
      <c r="F11" s="1152">
        <v>150</v>
      </c>
      <c r="G11" s="1153"/>
      <c r="H11" s="488" t="s">
        <v>718</v>
      </c>
      <c r="I11" s="1152">
        <v>300</v>
      </c>
      <c r="J11" s="1153"/>
      <c r="K11" s="488" t="s">
        <v>718</v>
      </c>
      <c r="L11" s="637"/>
      <c r="M11" s="637"/>
      <c r="N11" s="637"/>
      <c r="O11" s="637"/>
      <c r="P11" s="357"/>
      <c r="Q11" s="491"/>
      <c r="R11" s="491"/>
      <c r="S11" s="491"/>
      <c r="T11" s="491"/>
      <c r="U11" s="491"/>
      <c r="V11" s="491"/>
      <c r="W11" s="491"/>
      <c r="X11" s="491"/>
      <c r="Y11" s="491"/>
      <c r="Z11" s="491"/>
      <c r="AA11" s="491"/>
      <c r="AB11" s="491"/>
      <c r="AC11" s="491"/>
      <c r="AD11" s="491"/>
      <c r="AE11" s="491"/>
      <c r="AF11" s="357"/>
      <c r="AG11" s="483"/>
      <c r="AH11" s="483"/>
      <c r="AI11" s="483"/>
      <c r="AJ11" s="483"/>
      <c r="AK11" s="483"/>
      <c r="AL11" s="483"/>
      <c r="AM11" s="483"/>
      <c r="AN11" s="483"/>
      <c r="AO11" s="483"/>
      <c r="AP11" s="483"/>
      <c r="AQ11" s="483"/>
      <c r="AR11" s="483"/>
      <c r="AS11" s="483"/>
    </row>
    <row r="12" spans="1:45" ht="12" customHeight="1" thickBot="1">
      <c r="A12" s="483"/>
      <c r="B12" s="488"/>
      <c r="C12" s="488"/>
      <c r="D12" s="488"/>
      <c r="E12" s="488"/>
      <c r="F12" s="637"/>
      <c r="G12" s="637"/>
      <c r="H12" s="637"/>
      <c r="I12" s="637"/>
      <c r="J12" s="637"/>
      <c r="K12" s="637"/>
      <c r="L12" s="637"/>
      <c r="M12" s="637"/>
      <c r="N12" s="637"/>
      <c r="O12" s="637"/>
      <c r="P12" s="357"/>
      <c r="Q12" s="491"/>
      <c r="R12" s="491"/>
      <c r="S12" s="491"/>
      <c r="T12" s="491"/>
      <c r="U12" s="491"/>
      <c r="V12" s="491"/>
      <c r="W12" s="491"/>
      <c r="X12" s="491"/>
      <c r="Y12" s="491"/>
      <c r="Z12" s="491"/>
      <c r="AA12" s="491"/>
      <c r="AB12" s="491"/>
      <c r="AC12" s="491"/>
      <c r="AD12" s="491"/>
      <c r="AE12" s="491"/>
      <c r="AF12" s="357"/>
      <c r="AG12" s="483"/>
      <c r="AH12" s="483"/>
      <c r="AI12" s="483"/>
      <c r="AJ12" s="483"/>
      <c r="AK12" s="483"/>
      <c r="AL12" s="483"/>
      <c r="AM12" s="483"/>
      <c r="AN12" s="483"/>
      <c r="AO12" s="483"/>
      <c r="AP12" s="483"/>
      <c r="AQ12" s="483"/>
      <c r="AR12" s="483"/>
      <c r="AS12" s="483"/>
    </row>
    <row r="13" spans="1:45" ht="14.25" customHeight="1">
      <c r="A13" s="483"/>
      <c r="B13" s="488"/>
      <c r="C13" s="655" t="s">
        <v>20</v>
      </c>
      <c r="D13" s="488"/>
      <c r="E13" s="488"/>
      <c r="F13" s="488"/>
      <c r="G13" s="488"/>
      <c r="H13" s="637"/>
      <c r="I13" s="656"/>
      <c r="J13" s="635"/>
      <c r="K13" s="488"/>
      <c r="L13" s="488"/>
      <c r="M13" s="637"/>
      <c r="N13" s="637"/>
      <c r="O13" s="637"/>
      <c r="P13" s="357"/>
      <c r="Q13" s="491"/>
      <c r="R13" s="491"/>
      <c r="S13" s="491"/>
      <c r="T13" s="494" t="s">
        <v>21</v>
      </c>
      <c r="U13" s="495"/>
      <c r="V13" s="495"/>
      <c r="W13" s="495" t="s">
        <v>22</v>
      </c>
      <c r="X13" s="496"/>
      <c r="Y13" s="491"/>
      <c r="Z13" s="491"/>
      <c r="AA13" s="491"/>
      <c r="AB13" s="491"/>
      <c r="AC13" s="491"/>
      <c r="AD13" s="491"/>
      <c r="AE13" s="491"/>
      <c r="AF13" s="357"/>
      <c r="AG13" s="483"/>
      <c r="AH13" s="483"/>
      <c r="AI13" s="483"/>
      <c r="AJ13" s="483"/>
      <c r="AK13" s="483"/>
      <c r="AL13" s="483"/>
      <c r="AM13" s="483"/>
      <c r="AN13" s="483"/>
      <c r="AO13" s="483"/>
      <c r="AP13" s="483"/>
      <c r="AQ13" s="483"/>
      <c r="AR13" s="483"/>
      <c r="AS13" s="483"/>
    </row>
    <row r="14" spans="1:45" ht="13.5" customHeight="1">
      <c r="A14" s="483"/>
      <c r="B14" s="488"/>
      <c r="C14" s="655" t="s">
        <v>23</v>
      </c>
      <c r="D14" s="497"/>
      <c r="E14" s="389"/>
      <c r="F14" s="1158">
        <v>1.185</v>
      </c>
      <c r="G14" s="1159"/>
      <c r="H14" s="388" t="s">
        <v>669</v>
      </c>
      <c r="I14" s="1160">
        <v>2.54</v>
      </c>
      <c r="J14" s="1159"/>
      <c r="K14" s="635" t="s">
        <v>669</v>
      </c>
      <c r="L14" s="488"/>
      <c r="M14" s="637"/>
      <c r="N14" s="637"/>
      <c r="O14" s="637"/>
      <c r="P14" s="357"/>
      <c r="Q14" s="491"/>
      <c r="R14" s="491"/>
      <c r="S14" s="491"/>
      <c r="T14" s="498" t="s">
        <v>17</v>
      </c>
      <c r="U14" s="492"/>
      <c r="V14" s="492"/>
      <c r="W14" s="492" t="s">
        <v>18</v>
      </c>
      <c r="X14" s="499"/>
      <c r="Y14" s="491"/>
      <c r="Z14" s="491"/>
      <c r="AA14" s="491"/>
      <c r="AB14" s="491"/>
      <c r="AC14" s="491"/>
      <c r="AD14" s="491"/>
      <c r="AE14" s="491"/>
      <c r="AF14" s="357"/>
      <c r="AG14" s="483"/>
      <c r="AH14" s="483"/>
      <c r="AI14" s="483"/>
      <c r="AJ14" s="483"/>
      <c r="AK14" s="483"/>
      <c r="AL14" s="483"/>
      <c r="AM14" s="483"/>
      <c r="AN14" s="483"/>
      <c r="AO14" s="483"/>
      <c r="AP14" s="483"/>
      <c r="AQ14" s="483"/>
      <c r="AR14" s="483"/>
      <c r="AS14" s="483"/>
    </row>
    <row r="15" spans="1:45" ht="12.75" customHeight="1" thickBot="1">
      <c r="A15" s="483"/>
      <c r="B15" s="488"/>
      <c r="C15" s="497"/>
      <c r="D15" s="497"/>
      <c r="E15" s="488"/>
      <c r="F15" s="488"/>
      <c r="G15" s="488"/>
      <c r="H15" s="488"/>
      <c r="I15" s="635"/>
      <c r="J15" s="635"/>
      <c r="K15" s="488"/>
      <c r="L15" s="488"/>
      <c r="M15" s="637"/>
      <c r="N15" s="637"/>
      <c r="O15" s="637"/>
      <c r="P15" s="357"/>
      <c r="Q15" s="491"/>
      <c r="R15" s="491"/>
      <c r="S15" s="491"/>
      <c r="T15" s="500" t="s">
        <v>24</v>
      </c>
      <c r="U15" s="501"/>
      <c r="V15" s="501"/>
      <c r="W15" s="501" t="s">
        <v>25</v>
      </c>
      <c r="X15" s="502"/>
      <c r="Y15" s="491"/>
      <c r="Z15" s="491"/>
      <c r="AA15" s="491"/>
      <c r="AB15" s="491"/>
      <c r="AC15" s="491"/>
      <c r="AD15" s="491"/>
      <c r="AE15" s="491"/>
      <c r="AF15" s="357"/>
      <c r="AG15" s="483"/>
      <c r="AH15" s="483"/>
      <c r="AI15" s="483"/>
      <c r="AJ15" s="483"/>
      <c r="AK15" s="483"/>
      <c r="AL15" s="483"/>
      <c r="AM15" s="483"/>
      <c r="AN15" s="483"/>
      <c r="AO15" s="483"/>
      <c r="AP15" s="483"/>
      <c r="AQ15" s="483"/>
      <c r="AR15" s="483"/>
      <c r="AS15" s="483"/>
    </row>
    <row r="16" spans="1:45" ht="12.75" customHeight="1">
      <c r="A16" s="483"/>
      <c r="B16" s="488"/>
      <c r="C16" s="488"/>
      <c r="D16" s="488"/>
      <c r="E16" s="426" t="s">
        <v>26</v>
      </c>
      <c r="F16" s="761">
        <f>'Savings Calculations'!H37</f>
        <v>0</v>
      </c>
      <c r="G16" s="388" t="s">
        <v>674</v>
      </c>
      <c r="H16" s="637"/>
      <c r="I16" s="637"/>
      <c r="J16" s="637"/>
      <c r="K16" s="637"/>
      <c r="L16" s="635"/>
      <c r="M16" s="388"/>
      <c r="N16" s="388"/>
      <c r="O16" s="637"/>
      <c r="P16" s="357"/>
      <c r="Q16" s="491"/>
      <c r="R16" s="491"/>
      <c r="S16" s="491"/>
      <c r="T16" s="491"/>
      <c r="U16" s="491"/>
      <c r="V16" s="491"/>
      <c r="W16" s="491"/>
      <c r="X16" s="491"/>
      <c r="Y16" s="491"/>
      <c r="Z16" s="491"/>
      <c r="AA16" s="491"/>
      <c r="AB16" s="491"/>
      <c r="AC16" s="491"/>
      <c r="AD16" s="491"/>
      <c r="AE16" s="491"/>
      <c r="AF16" s="357"/>
      <c r="AG16" s="483"/>
      <c r="AH16" s="483"/>
      <c r="AI16" s="483"/>
      <c r="AJ16" s="483"/>
      <c r="AK16" s="483"/>
      <c r="AL16" s="483"/>
      <c r="AM16" s="483"/>
      <c r="AN16" s="483"/>
      <c r="AO16" s="483"/>
      <c r="AP16" s="483"/>
      <c r="AQ16" s="483"/>
      <c r="AR16" s="483"/>
      <c r="AS16" s="483"/>
    </row>
    <row r="17" spans="1:45" ht="13.5" customHeight="1" thickBot="1">
      <c r="A17" s="483"/>
      <c r="B17" s="488"/>
      <c r="C17" s="488"/>
      <c r="D17" s="488"/>
      <c r="E17" s="505" t="s">
        <v>27</v>
      </c>
      <c r="F17" s="1170" t="s">
        <v>28</v>
      </c>
      <c r="G17" s="1171"/>
      <c r="H17" s="1172"/>
      <c r="I17" s="1173"/>
      <c r="J17" s="1173"/>
      <c r="K17" s="1172"/>
      <c r="L17" s="1174"/>
      <c r="M17" s="1175"/>
      <c r="N17" s="1175"/>
      <c r="O17" s="637"/>
      <c r="P17" s="357"/>
      <c r="Q17" s="491"/>
      <c r="R17" s="491"/>
      <c r="S17" s="491"/>
      <c r="T17" s="491"/>
      <c r="U17" s="491"/>
      <c r="V17" s="491"/>
      <c r="W17" s="491"/>
      <c r="X17" s="491"/>
      <c r="Y17" s="491"/>
      <c r="Z17" s="491"/>
      <c r="AA17" s="491"/>
      <c r="AB17" s="491"/>
      <c r="AC17" s="491"/>
      <c r="AD17" s="491"/>
      <c r="AE17" s="491"/>
      <c r="AF17" s="357"/>
      <c r="AG17" s="483"/>
      <c r="AH17" s="483"/>
      <c r="AI17" s="483"/>
      <c r="AJ17" s="483"/>
      <c r="AK17" s="483"/>
      <c r="AL17" s="483"/>
      <c r="AM17" s="483"/>
      <c r="AN17" s="483"/>
      <c r="AO17" s="483"/>
      <c r="AP17" s="483"/>
      <c r="AQ17" s="483"/>
      <c r="AR17" s="483"/>
      <c r="AS17" s="483"/>
    </row>
    <row r="18" spans="1:45" ht="13.5" customHeight="1">
      <c r="A18" s="483"/>
      <c r="B18" s="488"/>
      <c r="C18" s="488"/>
      <c r="D18" s="488"/>
      <c r="E18" s="505" t="s">
        <v>29</v>
      </c>
      <c r="F18" s="846">
        <v>85</v>
      </c>
      <c r="G18" s="488" t="s">
        <v>30</v>
      </c>
      <c r="H18" s="341"/>
      <c r="I18" s="341"/>
      <c r="J18" s="341"/>
      <c r="K18" s="341"/>
      <c r="L18" s="730"/>
      <c r="M18" s="731"/>
      <c r="N18" s="731"/>
      <c r="O18" s="637"/>
      <c r="P18" s="357"/>
      <c r="Q18" s="491"/>
      <c r="R18" s="491"/>
      <c r="S18" s="491"/>
      <c r="T18" s="491" t="s">
        <v>28</v>
      </c>
      <c r="U18" s="483"/>
      <c r="V18" s="491"/>
      <c r="W18" s="494" t="s">
        <v>31</v>
      </c>
      <c r="X18" s="496"/>
      <c r="Y18" s="491"/>
      <c r="Z18" s="491"/>
      <c r="AA18" s="494" t="s">
        <v>32</v>
      </c>
      <c r="AB18" s="495" t="s">
        <v>33</v>
      </c>
      <c r="AC18" s="495" t="s">
        <v>6</v>
      </c>
      <c r="AD18" s="496" t="s">
        <v>34</v>
      </c>
      <c r="AE18" s="491"/>
      <c r="AF18" s="357"/>
      <c r="AG18" s="483"/>
      <c r="AH18" s="483"/>
      <c r="AI18" s="483"/>
      <c r="AJ18" s="483"/>
      <c r="AK18" s="483"/>
      <c r="AL18" s="483"/>
      <c r="AM18" s="483"/>
      <c r="AN18" s="483"/>
      <c r="AO18" s="483"/>
      <c r="AP18" s="483"/>
      <c r="AQ18" s="483"/>
      <c r="AR18" s="483"/>
      <c r="AS18" s="483"/>
    </row>
    <row r="19" spans="1:45" ht="12.75" customHeight="1">
      <c r="A19" s="483"/>
      <c r="B19" s="488"/>
      <c r="C19" s="488"/>
      <c r="D19" s="488"/>
      <c r="E19" s="505" t="s">
        <v>35</v>
      </c>
      <c r="F19" s="762">
        <f>IF(BaselineType=T14,InsideAirTemp+15,InsideAirTemp+25)+IF(IndoorOutdoorSelection="outdoors",T35,0)</f>
        <v>100</v>
      </c>
      <c r="G19" s="488" t="s">
        <v>30</v>
      </c>
      <c r="H19" s="732" t="str">
        <f>IF(BaselineType=T14,"(15 °F CDT from localized ambient)","(25 °F CDT from localized ambient)")</f>
        <v>(15 °F CDT from localized ambient)</v>
      </c>
      <c r="I19" s="341"/>
      <c r="J19" s="341"/>
      <c r="K19" s="341"/>
      <c r="L19" s="341"/>
      <c r="M19" s="733"/>
      <c r="N19" s="733"/>
      <c r="O19" s="637"/>
      <c r="P19" s="357"/>
      <c r="Q19" s="491"/>
      <c r="R19" s="491"/>
      <c r="S19" s="491"/>
      <c r="T19" s="491" t="s">
        <v>36</v>
      </c>
      <c r="U19" s="483"/>
      <c r="V19" s="491"/>
      <c r="W19" s="498" t="s">
        <v>37</v>
      </c>
      <c r="X19" s="499"/>
      <c r="Y19" s="491"/>
      <c r="Z19" s="491"/>
      <c r="AA19" s="498" t="s">
        <v>38</v>
      </c>
      <c r="AB19" s="503">
        <v>1</v>
      </c>
      <c r="AC19" s="503">
        <v>1</v>
      </c>
      <c r="AD19" s="504" t="e">
        <f>INDEX(Weather!$A$1:$F$493,MATCH(WeatherLocation,Weather!$A$1:$A$493,0)+AC19-1,6)</f>
        <v>#N/A</v>
      </c>
      <c r="AE19" s="491"/>
      <c r="AF19" s="357"/>
      <c r="AG19" s="483"/>
      <c r="AH19" s="483"/>
      <c r="AI19" s="483"/>
      <c r="AJ19" s="483"/>
      <c r="AK19" s="483"/>
      <c r="AL19" s="483"/>
      <c r="AM19" s="483"/>
      <c r="AN19" s="483"/>
      <c r="AO19" s="483"/>
      <c r="AP19" s="483"/>
      <c r="AQ19" s="483"/>
      <c r="AR19" s="483"/>
      <c r="AS19" s="483"/>
    </row>
    <row r="20" spans="1:45" ht="12.75">
      <c r="A20" s="483"/>
      <c r="B20" s="488"/>
      <c r="C20" s="488"/>
      <c r="D20" s="488"/>
      <c r="E20" s="505"/>
      <c r="F20" s="505"/>
      <c r="G20" s="488"/>
      <c r="H20" s="488"/>
      <c r="I20" s="488"/>
      <c r="J20" s="488"/>
      <c r="K20" s="488"/>
      <c r="L20" s="488"/>
      <c r="M20" s="637"/>
      <c r="N20" s="637"/>
      <c r="O20" s="637"/>
      <c r="P20" s="357"/>
      <c r="Q20" s="491"/>
      <c r="R20" s="491"/>
      <c r="S20" s="491"/>
      <c r="T20" s="491"/>
      <c r="U20" s="483"/>
      <c r="V20" s="491"/>
      <c r="W20" s="498" t="s">
        <v>39</v>
      </c>
      <c r="X20" s="499"/>
      <c r="Y20" s="491"/>
      <c r="Z20" s="491"/>
      <c r="AA20" s="498" t="s">
        <v>38</v>
      </c>
      <c r="AB20" s="503">
        <v>2</v>
      </c>
      <c r="AC20" s="503">
        <v>2</v>
      </c>
      <c r="AD20" s="504" t="e">
        <f>INDEX(Weather!$A$1:$F$493,MATCH(WeatherLocation,Weather!$A$1:$A$493,0)+AC20-1,6)</f>
        <v>#N/A</v>
      </c>
      <c r="AE20" s="491"/>
      <c r="AF20" s="357"/>
      <c r="AG20" s="483"/>
      <c r="AH20" s="483"/>
      <c r="AI20" s="483"/>
      <c r="AJ20" s="483"/>
      <c r="AK20" s="483"/>
      <c r="AL20" s="483"/>
      <c r="AM20" s="483"/>
      <c r="AN20" s="483"/>
      <c r="AO20" s="483"/>
      <c r="AP20" s="483"/>
      <c r="AQ20" s="483"/>
      <c r="AR20" s="483"/>
      <c r="AS20" s="483"/>
    </row>
    <row r="21" spans="1:45" ht="14.25">
      <c r="A21" s="483"/>
      <c r="B21" s="488"/>
      <c r="C21" s="444"/>
      <c r="D21" s="488"/>
      <c r="E21" s="505" t="s">
        <v>267</v>
      </c>
      <c r="F21" s="1161">
        <f>IF(ISNUMBER(T28),T28,"")</f>
        <v>73.26478954913846</v>
      </c>
      <c r="G21" s="1162"/>
      <c r="H21" s="488" t="s">
        <v>718</v>
      </c>
      <c r="I21" s="1161">
        <f>IF(ISNUMBER(T29),T29,"")</f>
        <v>146.5295790982769</v>
      </c>
      <c r="J21" s="1162"/>
      <c r="K21" s="488" t="s">
        <v>718</v>
      </c>
      <c r="L21" s="637"/>
      <c r="M21" s="637"/>
      <c r="N21" s="637"/>
      <c r="O21" s="637"/>
      <c r="P21" s="483"/>
      <c r="Q21" s="491"/>
      <c r="R21" s="491"/>
      <c r="S21" s="491"/>
      <c r="T21" s="491"/>
      <c r="U21" s="483"/>
      <c r="V21" s="491"/>
      <c r="W21" s="498" t="s">
        <v>40</v>
      </c>
      <c r="X21" s="499"/>
      <c r="Y21" s="491"/>
      <c r="Z21" s="491"/>
      <c r="AA21" s="498" t="s">
        <v>38</v>
      </c>
      <c r="AB21" s="503">
        <v>3</v>
      </c>
      <c r="AC21" s="503">
        <v>3</v>
      </c>
      <c r="AD21" s="504" t="e">
        <f>INDEX(Weather!$A$1:$F$493,MATCH(WeatherLocation,Weather!$A$1:$A$493,0)+AC21-1,6)</f>
        <v>#N/A</v>
      </c>
      <c r="AE21" s="491"/>
      <c r="AF21" s="357"/>
      <c r="AG21" s="483"/>
      <c r="AH21" s="483"/>
      <c r="AI21" s="483"/>
      <c r="AJ21" s="483"/>
      <c r="AK21" s="483"/>
      <c r="AL21" s="483"/>
      <c r="AM21" s="483"/>
      <c r="AN21" s="483"/>
      <c r="AO21" s="483"/>
      <c r="AP21" s="483"/>
      <c r="AQ21" s="483"/>
      <c r="AR21" s="483"/>
      <c r="AS21" s="483"/>
    </row>
    <row r="22" spans="1:45" ht="18.75" customHeight="1">
      <c r="A22" s="483"/>
      <c r="B22" s="488"/>
      <c r="C22" s="488"/>
      <c r="D22" s="650" t="s">
        <v>359</v>
      </c>
      <c r="E22" s="444"/>
      <c r="F22" s="444"/>
      <c r="G22" s="657"/>
      <c r="H22" s="657"/>
      <c r="I22" s="657"/>
      <c r="J22" s="657"/>
      <c r="K22" s="657"/>
      <c r="L22" s="637"/>
      <c r="M22" s="637"/>
      <c r="N22" s="637"/>
      <c r="O22" s="637"/>
      <c r="P22" s="483"/>
      <c r="Q22" s="491"/>
      <c r="R22" s="491"/>
      <c r="S22" s="491"/>
      <c r="T22" s="491"/>
      <c r="U22" s="483"/>
      <c r="V22" s="491"/>
      <c r="W22" s="498" t="s">
        <v>41</v>
      </c>
      <c r="X22" s="499"/>
      <c r="Y22" s="491"/>
      <c r="Z22" s="491"/>
      <c r="AA22" s="498" t="s">
        <v>42</v>
      </c>
      <c r="AB22" s="503">
        <v>1</v>
      </c>
      <c r="AC22" s="503">
        <v>4</v>
      </c>
      <c r="AD22" s="504" t="e">
        <f>INDEX(Weather!$A$1:$F$493,MATCH(WeatherLocation,Weather!$A$1:$A$493,0)+AC22-1,6)</f>
        <v>#N/A</v>
      </c>
      <c r="AE22" s="491"/>
      <c r="AF22" s="357"/>
      <c r="AG22" s="483"/>
      <c r="AH22" s="483"/>
      <c r="AI22" s="483"/>
      <c r="AJ22" s="483"/>
      <c r="AK22" s="483"/>
      <c r="AL22" s="483"/>
      <c r="AM22" s="483"/>
      <c r="AN22" s="483"/>
      <c r="AO22" s="483"/>
      <c r="AP22" s="483"/>
      <c r="AQ22" s="483"/>
      <c r="AR22" s="483"/>
      <c r="AS22" s="483"/>
    </row>
    <row r="23" spans="1:45" ht="13.5" customHeight="1">
      <c r="A23" s="483"/>
      <c r="B23" s="488"/>
      <c r="C23" s="490" t="s">
        <v>43</v>
      </c>
      <c r="D23" s="653"/>
      <c r="E23" s="653"/>
      <c r="F23" s="653"/>
      <c r="G23" s="653"/>
      <c r="H23" s="653"/>
      <c r="I23" s="653"/>
      <c r="J23" s="653"/>
      <c r="K23" s="653"/>
      <c r="L23" s="653"/>
      <c r="M23" s="653"/>
      <c r="N23" s="653"/>
      <c r="O23" s="637"/>
      <c r="P23" s="506"/>
      <c r="Q23" s="491"/>
      <c r="R23" s="491"/>
      <c r="S23" s="491"/>
      <c r="T23" s="491"/>
      <c r="U23" s="491"/>
      <c r="V23" s="491"/>
      <c r="W23" s="498" t="s">
        <v>44</v>
      </c>
      <c r="X23" s="499"/>
      <c r="Y23" s="491"/>
      <c r="Z23" s="491"/>
      <c r="AA23" s="498" t="s">
        <v>42</v>
      </c>
      <c r="AB23" s="503">
        <v>2</v>
      </c>
      <c r="AC23" s="503">
        <v>5</v>
      </c>
      <c r="AD23" s="504" t="e">
        <f>INDEX(Weather!$A$1:$F$493,MATCH(WeatherLocation,Weather!$A$1:$A$493,0)+AC23-1,6)</f>
        <v>#N/A</v>
      </c>
      <c r="AE23" s="491"/>
      <c r="AF23" s="357"/>
      <c r="AG23" s="483"/>
      <c r="AH23" s="483"/>
      <c r="AI23" s="483"/>
      <c r="AJ23" s="483"/>
      <c r="AK23" s="483"/>
      <c r="AL23" s="483"/>
      <c r="AM23" s="483"/>
      <c r="AN23" s="483"/>
      <c r="AO23" s="483"/>
      <c r="AP23" s="483"/>
      <c r="AQ23" s="483"/>
      <c r="AR23" s="483"/>
      <c r="AS23" s="483"/>
    </row>
    <row r="24" spans="1:45" ht="7.5" customHeight="1" thickBot="1">
      <c r="A24" s="483"/>
      <c r="B24" s="488"/>
      <c r="C24" s="488"/>
      <c r="D24" s="488"/>
      <c r="E24" s="657"/>
      <c r="F24" s="657"/>
      <c r="G24" s="657"/>
      <c r="H24" s="488"/>
      <c r="I24" s="488"/>
      <c r="J24" s="488"/>
      <c r="K24" s="488"/>
      <c r="L24" s="637"/>
      <c r="M24" s="637"/>
      <c r="N24" s="637"/>
      <c r="O24" s="637"/>
      <c r="P24" s="357"/>
      <c r="Q24" s="491"/>
      <c r="R24" s="492"/>
      <c r="S24" s="492"/>
      <c r="T24" s="492"/>
      <c r="U24" s="492"/>
      <c r="V24" s="491"/>
      <c r="W24" s="498" t="s">
        <v>45</v>
      </c>
      <c r="X24" s="499"/>
      <c r="Y24" s="491"/>
      <c r="Z24" s="491"/>
      <c r="AA24" s="498" t="s">
        <v>42</v>
      </c>
      <c r="AB24" s="503">
        <v>3</v>
      </c>
      <c r="AC24" s="503">
        <v>6</v>
      </c>
      <c r="AD24" s="504" t="e">
        <f>INDEX(Weather!$A$1:$F$493,MATCH(WeatherLocation,Weather!$A$1:$A$493,0)+AC24-1,6)</f>
        <v>#N/A</v>
      </c>
      <c r="AE24" s="491"/>
      <c r="AF24" s="357"/>
      <c r="AG24" s="483"/>
      <c r="AH24" s="483"/>
      <c r="AI24" s="483"/>
      <c r="AJ24" s="483"/>
      <c r="AK24" s="483"/>
      <c r="AL24" s="483"/>
      <c r="AM24" s="483"/>
      <c r="AN24" s="483"/>
      <c r="AO24" s="483"/>
      <c r="AP24" s="483"/>
      <c r="AQ24" s="483"/>
      <c r="AR24" s="483"/>
      <c r="AS24" s="483"/>
    </row>
    <row r="25" spans="1:45" ht="12.75">
      <c r="A25" s="483"/>
      <c r="B25" s="488"/>
      <c r="C25" s="497"/>
      <c r="D25" s="497"/>
      <c r="E25" s="426" t="s">
        <v>268</v>
      </c>
      <c r="F25" s="1161">
        <f>'Savings Calculations'!P18</f>
        <v>0</v>
      </c>
      <c r="G25" s="1162"/>
      <c r="H25" s="488" t="s">
        <v>616</v>
      </c>
      <c r="I25" s="698"/>
      <c r="J25" s="698"/>
      <c r="K25" s="698"/>
      <c r="L25" s="698"/>
      <c r="M25" s="698"/>
      <c r="N25" s="698"/>
      <c r="O25" s="637"/>
      <c r="P25" s="357"/>
      <c r="Q25" s="491"/>
      <c r="R25" s="507" t="s">
        <v>46</v>
      </c>
      <c r="S25" s="508"/>
      <c r="T25" s="509">
        <f>F16^3*'Correction Factors'!L18+'Dryer Inputs and Calculations'!F16^2*'Correction Factors'!L17+'Dryer Inputs and Calculations'!F16*inlet_p_intercept+inlet_p_slope</f>
        <v>0.4219336838048615</v>
      </c>
      <c r="U25" s="496"/>
      <c r="V25" s="491"/>
      <c r="W25" s="498" t="s">
        <v>47</v>
      </c>
      <c r="X25" s="499"/>
      <c r="Y25" s="491"/>
      <c r="Z25" s="491"/>
      <c r="AA25" s="498" t="s">
        <v>48</v>
      </c>
      <c r="AB25" s="503">
        <v>1</v>
      </c>
      <c r="AC25" s="503">
        <v>7</v>
      </c>
      <c r="AD25" s="504" t="e">
        <f>INDEX(Weather!$A$1:$F$493,MATCH(WeatherLocation,Weather!$A$1:$A$493,0)+AC25-1,6)</f>
        <v>#N/A</v>
      </c>
      <c r="AE25" s="491"/>
      <c r="AF25" s="357"/>
      <c r="AG25" s="483"/>
      <c r="AH25" s="483"/>
      <c r="AI25" s="483"/>
      <c r="AJ25" s="483"/>
      <c r="AK25" s="483"/>
      <c r="AL25" s="483"/>
      <c r="AM25" s="483"/>
      <c r="AN25" s="483"/>
      <c r="AO25" s="483"/>
      <c r="AP25" s="483"/>
      <c r="AQ25" s="483"/>
      <c r="AR25" s="483"/>
      <c r="AS25" s="483"/>
    </row>
    <row r="26" spans="1:45" ht="12.75">
      <c r="A26" s="483"/>
      <c r="B26" s="488"/>
      <c r="C26" s="497"/>
      <c r="D26" s="497"/>
      <c r="E26" s="505" t="s">
        <v>49</v>
      </c>
      <c r="F26" s="1161">
        <f>'Savings Calculations'!P19</f>
        <v>0</v>
      </c>
      <c r="G26" s="1162"/>
      <c r="H26" s="488" t="s">
        <v>778</v>
      </c>
      <c r="I26" s="698"/>
      <c r="J26" s="698"/>
      <c r="K26" s="698"/>
      <c r="L26" s="698"/>
      <c r="M26" s="698"/>
      <c r="N26" s="698"/>
      <c r="O26" s="637"/>
      <c r="P26" s="357"/>
      <c r="Q26" s="491"/>
      <c r="R26" s="498" t="s">
        <v>50</v>
      </c>
      <c r="S26" s="492"/>
      <c r="T26" s="510">
        <f>F19^3*'Correction Factors'!E18+'Dryer Inputs and Calculations'!F19^2*'Correction Factors'!E17+'Dryer Inputs and Calculations'!F19*'Correction Factors'!E16+'Correction Factors'!E15</f>
        <v>1.0012493640469007</v>
      </c>
      <c r="U26" s="499"/>
      <c r="V26" s="491"/>
      <c r="W26" s="498" t="s">
        <v>51</v>
      </c>
      <c r="X26" s="499"/>
      <c r="Y26" s="491"/>
      <c r="Z26" s="491"/>
      <c r="AA26" s="498" t="s">
        <v>48</v>
      </c>
      <c r="AB26" s="503">
        <v>2</v>
      </c>
      <c r="AC26" s="503">
        <v>8</v>
      </c>
      <c r="AD26" s="504" t="e">
        <f>INDEX(Weather!$A$1:$F$493,MATCH(WeatherLocation,Weather!$A$1:$A$493,0)+AC26-1,6)</f>
        <v>#N/A</v>
      </c>
      <c r="AE26" s="491"/>
      <c r="AF26" s="357"/>
      <c r="AG26" s="483"/>
      <c r="AH26" s="483"/>
      <c r="AI26" s="483"/>
      <c r="AJ26" s="483"/>
      <c r="AK26" s="483"/>
      <c r="AL26" s="483"/>
      <c r="AM26" s="483"/>
      <c r="AN26" s="483"/>
      <c r="AO26" s="483"/>
      <c r="AP26" s="483"/>
      <c r="AQ26" s="483"/>
      <c r="AR26" s="483"/>
      <c r="AS26" s="483"/>
    </row>
    <row r="27" spans="1:45" ht="13.5" customHeight="1">
      <c r="A27" s="483"/>
      <c r="B27" s="488"/>
      <c r="C27" s="497"/>
      <c r="D27" s="497"/>
      <c r="E27" s="505" t="s">
        <v>52</v>
      </c>
      <c r="F27" s="1161">
        <f>'Savings Calculations'!J20</f>
        <v>0</v>
      </c>
      <c r="G27" s="1162"/>
      <c r="H27" s="388" t="s">
        <v>53</v>
      </c>
      <c r="I27" s="698"/>
      <c r="J27" s="698"/>
      <c r="K27" s="698"/>
      <c r="L27" s="698"/>
      <c r="M27" s="698"/>
      <c r="N27" s="698"/>
      <c r="O27" s="637"/>
      <c r="P27" s="357"/>
      <c r="Q27" s="491"/>
      <c r="R27" s="498" t="s">
        <v>54</v>
      </c>
      <c r="S27" s="492"/>
      <c r="T27" s="511">
        <f>InsideAirTemp*ambient_slope+ambient_intercept</f>
        <v>1.15615908661918</v>
      </c>
      <c r="U27" s="499"/>
      <c r="V27" s="491"/>
      <c r="W27" s="498" t="s">
        <v>55</v>
      </c>
      <c r="X27" s="499"/>
      <c r="Y27" s="491"/>
      <c r="Z27" s="491"/>
      <c r="AA27" s="498" t="s">
        <v>48</v>
      </c>
      <c r="AB27" s="503">
        <v>3</v>
      </c>
      <c r="AC27" s="503">
        <v>9</v>
      </c>
      <c r="AD27" s="504" t="e">
        <f>INDEX(Weather!$A$1:$F$493,MATCH(WeatherLocation,Weather!$A$1:$A$493,0)+AC27-1,6)</f>
        <v>#N/A</v>
      </c>
      <c r="AE27" s="491"/>
      <c r="AF27" s="357"/>
      <c r="AG27" s="483"/>
      <c r="AH27" s="483"/>
      <c r="AI27" s="483"/>
      <c r="AJ27" s="483"/>
      <c r="AK27" s="483"/>
      <c r="AL27" s="483"/>
      <c r="AM27" s="483"/>
      <c r="AN27" s="483"/>
      <c r="AO27" s="483"/>
      <c r="AP27" s="483"/>
      <c r="AQ27" s="483"/>
      <c r="AR27" s="483"/>
      <c r="AS27" s="483"/>
    </row>
    <row r="28" spans="1:45" ht="12.75" customHeight="1">
      <c r="A28" s="483"/>
      <c r="B28" s="488"/>
      <c r="C28" s="497"/>
      <c r="D28" s="497"/>
      <c r="E28" s="505" t="s">
        <v>56</v>
      </c>
      <c r="F28" s="1163">
        <f>'Savings Calculations'!CQ80</f>
        <v>0</v>
      </c>
      <c r="G28" s="1164"/>
      <c r="H28" s="388" t="s">
        <v>718</v>
      </c>
      <c r="I28" s="698"/>
      <c r="J28" s="698"/>
      <c r="K28" s="698"/>
      <c r="L28" s="698"/>
      <c r="M28" s="698"/>
      <c r="N28" s="698"/>
      <c r="O28" s="637"/>
      <c r="P28" s="512"/>
      <c r="Q28" s="513"/>
      <c r="R28" s="1167" t="s">
        <v>57</v>
      </c>
      <c r="S28" s="1168"/>
      <c r="T28" s="514">
        <f>BaselineRating*(T26*T39*T25)</f>
        <v>73.26478954913846</v>
      </c>
      <c r="U28" s="515"/>
      <c r="V28" s="491"/>
      <c r="W28" s="498" t="s">
        <v>58</v>
      </c>
      <c r="X28" s="499"/>
      <c r="Y28" s="491"/>
      <c r="Z28" s="491"/>
      <c r="AA28" s="498" t="s">
        <v>59</v>
      </c>
      <c r="AB28" s="503">
        <v>1</v>
      </c>
      <c r="AC28" s="503">
        <v>10</v>
      </c>
      <c r="AD28" s="504" t="e">
        <f>INDEX(Weather!$A$1:$F$493,MATCH(WeatherLocation,Weather!$A$1:$A$493,0)+AC28-1,6)</f>
        <v>#N/A</v>
      </c>
      <c r="AE28" s="491"/>
      <c r="AF28" s="357"/>
      <c r="AG28" s="483"/>
      <c r="AH28" s="483"/>
      <c r="AI28" s="483"/>
      <c r="AJ28" s="483"/>
      <c r="AK28" s="483"/>
      <c r="AL28" s="483"/>
      <c r="AM28" s="483"/>
      <c r="AN28" s="483"/>
      <c r="AO28" s="483"/>
      <c r="AP28" s="483"/>
      <c r="AQ28" s="483"/>
      <c r="AR28" s="483"/>
      <c r="AS28" s="483"/>
    </row>
    <row r="29" spans="1:45" ht="7.5" customHeight="1" thickBot="1">
      <c r="A29" s="483"/>
      <c r="B29" s="637"/>
      <c r="C29" s="637"/>
      <c r="D29" s="637"/>
      <c r="E29" s="637"/>
      <c r="F29" s="637"/>
      <c r="G29" s="637"/>
      <c r="H29" s="637"/>
      <c r="I29" s="444"/>
      <c r="J29" s="444"/>
      <c r="K29" s="444"/>
      <c r="L29" s="444"/>
      <c r="M29" s="444"/>
      <c r="N29" s="444"/>
      <c r="O29" s="637"/>
      <c r="P29" s="357"/>
      <c r="Q29" s="491"/>
      <c r="R29" s="500" t="s">
        <v>60</v>
      </c>
      <c r="S29" s="501"/>
      <c r="T29" s="516">
        <f>UpgradeRating*(T26*T39*T25)</f>
        <v>146.5295790982769</v>
      </c>
      <c r="U29" s="502"/>
      <c r="V29" s="491"/>
      <c r="W29" s="498" t="s">
        <v>61</v>
      </c>
      <c r="X29" s="499"/>
      <c r="Y29" s="491"/>
      <c r="Z29" s="491"/>
      <c r="AA29" s="498" t="s">
        <v>59</v>
      </c>
      <c r="AB29" s="503">
        <v>2</v>
      </c>
      <c r="AC29" s="503">
        <v>11</v>
      </c>
      <c r="AD29" s="504" t="e">
        <f>INDEX(Weather!$A$1:$F$493,MATCH(WeatherLocation,Weather!$A$1:$A$493,0)+AC29-1,6)</f>
        <v>#N/A</v>
      </c>
      <c r="AE29" s="491"/>
      <c r="AF29" s="357"/>
      <c r="AG29" s="483"/>
      <c r="AH29" s="483"/>
      <c r="AI29" s="483"/>
      <c r="AJ29" s="483"/>
      <c r="AK29" s="483"/>
      <c r="AL29" s="483"/>
      <c r="AM29" s="483"/>
      <c r="AN29" s="483"/>
      <c r="AO29" s="483"/>
      <c r="AP29" s="483"/>
      <c r="AQ29" s="483"/>
      <c r="AR29" s="483"/>
      <c r="AS29" s="483"/>
    </row>
    <row r="30" spans="1:45" ht="13.5" customHeight="1" thickBot="1">
      <c r="A30" s="517"/>
      <c r="B30" s="637"/>
      <c r="C30" s="490" t="s">
        <v>726</v>
      </c>
      <c r="D30" s="653"/>
      <c r="E30" s="653"/>
      <c r="F30" s="653"/>
      <c r="G30" s="653"/>
      <c r="H30" s="653"/>
      <c r="I30" s="653"/>
      <c r="J30" s="653"/>
      <c r="K30" s="653"/>
      <c r="L30" s="653"/>
      <c r="M30" s="653"/>
      <c r="N30" s="653"/>
      <c r="O30" s="637"/>
      <c r="P30" s="357"/>
      <c r="Q30" s="491"/>
      <c r="R30" s="491"/>
      <c r="S30" s="491"/>
      <c r="T30" s="491"/>
      <c r="U30" s="491"/>
      <c r="V30" s="513"/>
      <c r="W30" s="518" t="s">
        <v>62</v>
      </c>
      <c r="X30" s="515"/>
      <c r="Y30" s="513"/>
      <c r="Z30" s="513"/>
      <c r="AA30" s="519" t="s">
        <v>59</v>
      </c>
      <c r="AB30" s="520">
        <v>3</v>
      </c>
      <c r="AC30" s="520">
        <v>12</v>
      </c>
      <c r="AD30" s="521" t="e">
        <f>INDEX(Weather!$A$1:$F$493,MATCH(WeatherLocation,Weather!$A$1:$A$493,0)+AC30-1,6)</f>
        <v>#N/A</v>
      </c>
      <c r="AE30" s="513"/>
      <c r="AF30" s="512"/>
      <c r="AG30" s="517"/>
      <c r="AH30" s="517"/>
      <c r="AI30" s="517"/>
      <c r="AJ30" s="517"/>
      <c r="AK30" s="517"/>
      <c r="AL30" s="517"/>
      <c r="AM30" s="517"/>
      <c r="AN30" s="483"/>
      <c r="AO30" s="483"/>
      <c r="AP30" s="483"/>
      <c r="AQ30" s="483"/>
      <c r="AR30" s="483"/>
      <c r="AS30" s="483"/>
    </row>
    <row r="31" spans="1:45" ht="7.5" customHeight="1">
      <c r="A31" s="483"/>
      <c r="B31" s="637"/>
      <c r="C31" s="637"/>
      <c r="D31" s="637"/>
      <c r="E31" s="637"/>
      <c r="F31" s="637"/>
      <c r="G31" s="637"/>
      <c r="H31" s="637"/>
      <c r="I31" s="637"/>
      <c r="J31" s="637"/>
      <c r="K31" s="637"/>
      <c r="L31" s="637"/>
      <c r="M31" s="637"/>
      <c r="N31" s="637"/>
      <c r="O31" s="637"/>
      <c r="P31" s="357"/>
      <c r="Q31" s="491"/>
      <c r="R31" s="494" t="s">
        <v>63</v>
      </c>
      <c r="S31" s="495"/>
      <c r="T31" s="495"/>
      <c r="U31" s="496"/>
      <c r="V31" s="491"/>
      <c r="W31" s="498" t="s">
        <v>64</v>
      </c>
      <c r="X31" s="499"/>
      <c r="Y31" s="491"/>
      <c r="Z31" s="491"/>
      <c r="AA31" s="491"/>
      <c r="AB31" s="491"/>
      <c r="AC31" s="491"/>
      <c r="AD31" s="491"/>
      <c r="AE31" s="491"/>
      <c r="AF31" s="357"/>
      <c r="AG31" s="483"/>
      <c r="AH31" s="483"/>
      <c r="AI31" s="483"/>
      <c r="AJ31" s="483"/>
      <c r="AK31" s="483"/>
      <c r="AL31" s="483"/>
      <c r="AM31" s="483"/>
      <c r="AN31" s="483"/>
      <c r="AO31" s="483"/>
      <c r="AP31" s="483"/>
      <c r="AQ31" s="483"/>
      <c r="AR31" s="483"/>
      <c r="AS31" s="483"/>
    </row>
    <row r="32" spans="1:45" ht="12.75">
      <c r="A32" s="483"/>
      <c r="B32" s="637"/>
      <c r="C32" s="444"/>
      <c r="D32" s="488"/>
      <c r="E32" s="505" t="s">
        <v>65</v>
      </c>
      <c r="F32" s="1169">
        <f>'Savings Calculations'!H38</f>
        <v>0</v>
      </c>
      <c r="G32" s="1169"/>
      <c r="H32" s="488" t="s">
        <v>66</v>
      </c>
      <c r="I32" s="637"/>
      <c r="J32" s="637"/>
      <c r="K32" s="637"/>
      <c r="L32" s="637"/>
      <c r="M32" s="637"/>
      <c r="N32" s="637"/>
      <c r="O32" s="637"/>
      <c r="P32" s="357"/>
      <c r="Q32" s="491"/>
      <c r="R32" s="498" t="s">
        <v>67</v>
      </c>
      <c r="S32" s="492"/>
      <c r="T32" s="492">
        <f>IF(F32&gt;6000,3,IF(F32&lt;3000,1,2))</f>
        <v>1</v>
      </c>
      <c r="U32" s="499"/>
      <c r="V32" s="491"/>
      <c r="W32" s="498" t="s">
        <v>68</v>
      </c>
      <c r="X32" s="499"/>
      <c r="Y32" s="491"/>
      <c r="Z32" s="491"/>
      <c r="AA32" s="491"/>
      <c r="AB32" s="491"/>
      <c r="AC32" s="491"/>
      <c r="AD32" s="491"/>
      <c r="AE32" s="491"/>
      <c r="AF32" s="357"/>
      <c r="AG32" s="483"/>
      <c r="AH32" s="483"/>
      <c r="AI32" s="483"/>
      <c r="AJ32" s="483"/>
      <c r="AK32" s="483"/>
      <c r="AL32" s="483"/>
      <c r="AM32" s="483"/>
      <c r="AN32" s="483"/>
      <c r="AO32" s="483"/>
      <c r="AP32" s="483"/>
      <c r="AQ32" s="483"/>
      <c r="AR32" s="483"/>
      <c r="AS32" s="483"/>
    </row>
    <row r="33" spans="1:45" ht="7.5" customHeight="1">
      <c r="A33" s="483"/>
      <c r="B33" s="637"/>
      <c r="C33" s="637"/>
      <c r="D33" s="637"/>
      <c r="E33" s="637"/>
      <c r="F33" s="637"/>
      <c r="G33" s="637"/>
      <c r="H33" s="637"/>
      <c r="I33" s="637"/>
      <c r="J33" s="637"/>
      <c r="K33" s="637"/>
      <c r="L33" s="637"/>
      <c r="M33" s="637"/>
      <c r="N33" s="637"/>
      <c r="O33" s="637"/>
      <c r="P33" s="357"/>
      <c r="Q33" s="491"/>
      <c r="R33" s="498" t="s">
        <v>69</v>
      </c>
      <c r="S33" s="492"/>
      <c r="T33" s="492"/>
      <c r="U33" s="499"/>
      <c r="V33" s="491"/>
      <c r="W33" s="498" t="s">
        <v>70</v>
      </c>
      <c r="X33" s="499"/>
      <c r="Y33" s="491"/>
      <c r="Z33" s="491"/>
      <c r="AA33" s="491"/>
      <c r="AB33" s="491"/>
      <c r="AC33" s="491"/>
      <c r="AD33" s="491"/>
      <c r="AE33" s="491"/>
      <c r="AF33" s="357"/>
      <c r="AG33" s="483"/>
      <c r="AH33" s="483"/>
      <c r="AI33" s="483"/>
      <c r="AJ33" s="483"/>
      <c r="AK33" s="483"/>
      <c r="AL33" s="483"/>
      <c r="AM33" s="483"/>
      <c r="AN33" s="483"/>
      <c r="AO33" s="483"/>
      <c r="AP33" s="483"/>
      <c r="AQ33" s="483"/>
      <c r="AR33" s="483"/>
      <c r="AS33" s="483"/>
    </row>
    <row r="34" spans="1:45" ht="13.5" customHeight="1">
      <c r="A34" s="483"/>
      <c r="B34" s="637"/>
      <c r="C34" s="1165" t="s">
        <v>591</v>
      </c>
      <c r="D34" s="1165"/>
      <c r="E34" s="1165"/>
      <c r="F34" s="1165"/>
      <c r="G34" s="637"/>
      <c r="H34" s="637"/>
      <c r="I34" s="637"/>
      <c r="J34" s="637"/>
      <c r="K34" s="637"/>
      <c r="L34" s="637"/>
      <c r="M34" s="637"/>
      <c r="N34" s="637"/>
      <c r="O34" s="637"/>
      <c r="P34" s="357"/>
      <c r="Q34" s="491"/>
      <c r="R34" s="498" t="s">
        <v>73</v>
      </c>
      <c r="S34" s="492"/>
      <c r="T34" s="522" t="e">
        <f>IF(T32=3,AVERAGE(AD19:AD30),IF(T32=2,AVERAGE(AD19:AD20,AD22:AD23,AD25:AD26,AD28:AD29),AVERAGE(AD19,AD22,AD25,AD28)))</f>
        <v>#N/A</v>
      </c>
      <c r="U34" s="499" t="s">
        <v>30</v>
      </c>
      <c r="V34" s="491"/>
      <c r="W34" s="498" t="s">
        <v>74</v>
      </c>
      <c r="X34" s="499"/>
      <c r="Y34" s="491"/>
      <c r="Z34" s="491"/>
      <c r="AA34" s="491"/>
      <c r="AB34" s="491"/>
      <c r="AC34" s="491"/>
      <c r="AD34" s="491"/>
      <c r="AE34" s="491"/>
      <c r="AF34" s="357"/>
      <c r="AG34" s="483"/>
      <c r="AH34" s="483"/>
      <c r="AI34" s="483"/>
      <c r="AJ34" s="483"/>
      <c r="AK34" s="483"/>
      <c r="AL34" s="483"/>
      <c r="AM34" s="483"/>
      <c r="AN34" s="483"/>
      <c r="AO34" s="483"/>
      <c r="AP34" s="483"/>
      <c r="AQ34" s="483"/>
      <c r="AR34" s="483"/>
      <c r="AS34" s="483"/>
    </row>
    <row r="35" spans="1:45" ht="13.5" customHeight="1" thickBot="1">
      <c r="A35" s="483"/>
      <c r="B35" s="637"/>
      <c r="C35" s="1166"/>
      <c r="D35" s="1166"/>
      <c r="E35" s="1166"/>
      <c r="F35" s="1166"/>
      <c r="G35" s="637"/>
      <c r="H35" s="397" t="s">
        <v>71</v>
      </c>
      <c r="I35" s="397"/>
      <c r="J35" s="397"/>
      <c r="K35" s="637"/>
      <c r="L35" s="394" t="s">
        <v>72</v>
      </c>
      <c r="M35" s="394"/>
      <c r="N35" s="394"/>
      <c r="O35" s="637"/>
      <c r="P35" s="357"/>
      <c r="Q35" s="491"/>
      <c r="R35" s="498" t="s">
        <v>75</v>
      </c>
      <c r="S35" s="492"/>
      <c r="T35" s="523">
        <v>15</v>
      </c>
      <c r="U35" s="499" t="s">
        <v>30</v>
      </c>
      <c r="V35" s="491"/>
      <c r="W35" s="498" t="s">
        <v>76</v>
      </c>
      <c r="X35" s="499"/>
      <c r="Y35" s="491"/>
      <c r="Z35" s="491"/>
      <c r="AA35" s="491"/>
      <c r="AB35" s="491"/>
      <c r="AC35" s="491"/>
      <c r="AD35" s="491"/>
      <c r="AE35" s="491"/>
      <c r="AF35" s="357"/>
      <c r="AG35" s="483"/>
      <c r="AH35" s="483"/>
      <c r="AI35" s="483"/>
      <c r="AJ35" s="483"/>
      <c r="AK35" s="483"/>
      <c r="AL35" s="483"/>
      <c r="AM35" s="483"/>
      <c r="AN35" s="483"/>
      <c r="AO35" s="483"/>
      <c r="AP35" s="483"/>
      <c r="AQ35" s="483"/>
      <c r="AR35" s="483"/>
      <c r="AS35" s="483"/>
    </row>
    <row r="36" spans="1:45" ht="13.5" thickBot="1">
      <c r="A36" s="483"/>
      <c r="B36" s="658"/>
      <c r="C36" s="659" t="s">
        <v>666</v>
      </c>
      <c r="D36" s="660" t="s">
        <v>665</v>
      </c>
      <c r="E36" s="661" t="s">
        <v>667</v>
      </c>
      <c r="F36" s="662" t="s">
        <v>718</v>
      </c>
      <c r="G36" s="636"/>
      <c r="H36" s="663" t="s">
        <v>631</v>
      </c>
      <c r="I36" s="664" t="s">
        <v>669</v>
      </c>
      <c r="J36" s="665" t="s">
        <v>617</v>
      </c>
      <c r="K36" s="636"/>
      <c r="L36" s="666" t="s">
        <v>631</v>
      </c>
      <c r="M36" s="667" t="s">
        <v>669</v>
      </c>
      <c r="N36" s="668" t="s">
        <v>617</v>
      </c>
      <c r="O36" s="658"/>
      <c r="P36" s="357"/>
      <c r="Q36" s="491"/>
      <c r="R36" s="498" t="s">
        <v>77</v>
      </c>
      <c r="S36" s="492"/>
      <c r="T36" s="522" t="e">
        <f>T35+T34</f>
        <v>#N/A</v>
      </c>
      <c r="U36" s="499" t="s">
        <v>30</v>
      </c>
      <c r="V36" s="491"/>
      <c r="W36" s="498" t="s">
        <v>78</v>
      </c>
      <c r="X36" s="499"/>
      <c r="Y36" s="491"/>
      <c r="Z36" s="491"/>
      <c r="AA36" s="491"/>
      <c r="AB36" s="491"/>
      <c r="AC36" s="491"/>
      <c r="AD36" s="491"/>
      <c r="AE36" s="491"/>
      <c r="AF36" s="357"/>
      <c r="AG36" s="483"/>
      <c r="AH36" s="483"/>
      <c r="AI36" s="483"/>
      <c r="AJ36" s="483"/>
      <c r="AK36" s="483"/>
      <c r="AL36" s="483"/>
      <c r="AM36" s="483"/>
      <c r="AN36" s="483"/>
      <c r="AO36" s="483"/>
      <c r="AP36" s="483"/>
      <c r="AQ36" s="483"/>
      <c r="AR36" s="483"/>
      <c r="AS36" s="483"/>
    </row>
    <row r="37" spans="1:45" ht="12.75">
      <c r="A37" s="483"/>
      <c r="B37" s="637"/>
      <c r="C37" s="669">
        <f>'Savings Calculations'!C42</f>
        <v>0</v>
      </c>
      <c r="D37" s="670" t="e">
        <f>'Savings Calculations'!S42</f>
        <v>#DIV/0!</v>
      </c>
      <c r="E37" s="671">
        <f>IF(C37="","",$F$32*C37)</f>
        <v>0</v>
      </c>
      <c r="F37" s="672" t="e">
        <f>D37*$F$28</f>
        <v>#DIV/0!</v>
      </c>
      <c r="G37" s="637"/>
      <c r="H37" s="673" t="e">
        <f>IF(D37="","",F37/$F$21)</f>
        <v>#DIV/0!</v>
      </c>
      <c r="I37" s="674" t="e">
        <f>IF(H37="","",MIN((H37*'Operating Power'!$Y$13+'Operating Power'!$Y$14)*BaselinekW,BaselinekW))</f>
        <v>#DIV/0!</v>
      </c>
      <c r="J37" s="675" t="e">
        <f>IF(E37="","",I37*E37)</f>
        <v>#DIV/0!</v>
      </c>
      <c r="K37" s="637"/>
      <c r="L37" s="676" t="e">
        <f>IF(D37="","",F37/$I$21)</f>
        <v>#DIV/0!</v>
      </c>
      <c r="M37" s="677" t="e">
        <f>IF(L37="","",MIN((L37*'Operating Power'!$Y$27+'Operating Power'!$Y$28)*UpgradekW,UpgradekW))</f>
        <v>#DIV/0!</v>
      </c>
      <c r="N37" s="678" t="e">
        <f>IF(M37="",0,M37*E37)</f>
        <v>#DIV/0!</v>
      </c>
      <c r="O37" s="637"/>
      <c r="P37" s="357"/>
      <c r="Q37" s="491"/>
      <c r="R37" s="498" t="s">
        <v>79</v>
      </c>
      <c r="S37" s="492"/>
      <c r="T37" s="524" t="e">
        <f>T36*ambient_slope+ambient_intercept</f>
        <v>#N/A</v>
      </c>
      <c r="U37" s="499"/>
      <c r="V37" s="491"/>
      <c r="W37" s="498" t="s">
        <v>80</v>
      </c>
      <c r="X37" s="499"/>
      <c r="Y37" s="491"/>
      <c r="Z37" s="491"/>
      <c r="AA37" s="491"/>
      <c r="AB37" s="491"/>
      <c r="AC37" s="491"/>
      <c r="AD37" s="491"/>
      <c r="AE37" s="491"/>
      <c r="AF37" s="357"/>
      <c r="AG37" s="483"/>
      <c r="AH37" s="483"/>
      <c r="AI37" s="483"/>
      <c r="AJ37" s="483"/>
      <c r="AK37" s="483"/>
      <c r="AL37" s="483"/>
      <c r="AM37" s="483"/>
      <c r="AN37" s="483"/>
      <c r="AO37" s="483"/>
      <c r="AP37" s="483"/>
      <c r="AQ37" s="483"/>
      <c r="AR37" s="483"/>
      <c r="AS37" s="483"/>
    </row>
    <row r="38" spans="1:45" ht="12.75">
      <c r="A38" s="483"/>
      <c r="B38" s="637"/>
      <c r="C38" s="679">
        <f>'Savings Calculations'!C43</f>
        <v>0</v>
      </c>
      <c r="D38" s="680" t="e">
        <f>'Savings Calculations'!S43</f>
        <v>#DIV/0!</v>
      </c>
      <c r="E38" s="681">
        <f>IF(C38="","",$F$32*C38)</f>
        <v>0</v>
      </c>
      <c r="F38" s="672" t="e">
        <f>D38*$F$28-FlowReductionEEM*'Savings Calculations'!$R43</f>
        <v>#DIV/0!</v>
      </c>
      <c r="G38" s="637"/>
      <c r="H38" s="676" t="e">
        <f>IF(D38="","",F38/$F$21)</f>
        <v>#DIV/0!</v>
      </c>
      <c r="I38" s="677" t="e">
        <f>IF(H38="","",MIN((H38*'Operating Power'!$Y$13+'Operating Power'!$Y$14)*BaselinekW,BaselinekW))</f>
        <v>#DIV/0!</v>
      </c>
      <c r="J38" s="678" t="e">
        <f>IF(E38="","",I38*E38)</f>
        <v>#DIV/0!</v>
      </c>
      <c r="K38" s="637"/>
      <c r="L38" s="676" t="e">
        <f>IF(D38="","",F38/$I$21)</f>
        <v>#DIV/0!</v>
      </c>
      <c r="M38" s="677" t="e">
        <f>IF(L38="","",MIN((L38*'Operating Power'!$Y$27+'Operating Power'!$Y$28)*UpgradekW,UpgradekW))</f>
        <v>#DIV/0!</v>
      </c>
      <c r="N38" s="678" t="e">
        <f>IF(M38="",0,M38*E38)</f>
        <v>#DIV/0!</v>
      </c>
      <c r="O38" s="637"/>
      <c r="P38" s="357"/>
      <c r="Q38" s="491"/>
      <c r="R38" s="498"/>
      <c r="S38" s="492"/>
      <c r="T38" s="492"/>
      <c r="U38" s="499"/>
      <c r="V38" s="491"/>
      <c r="W38" s="498" t="s">
        <v>81</v>
      </c>
      <c r="X38" s="499"/>
      <c r="Y38" s="491"/>
      <c r="Z38" s="491"/>
      <c r="AA38" s="491"/>
      <c r="AB38" s="491"/>
      <c r="AC38" s="491"/>
      <c r="AD38" s="491"/>
      <c r="AE38" s="491"/>
      <c r="AF38" s="357"/>
      <c r="AG38" s="483"/>
      <c r="AH38" s="483"/>
      <c r="AI38" s="483"/>
      <c r="AJ38" s="483"/>
      <c r="AK38" s="483"/>
      <c r="AL38" s="483"/>
      <c r="AM38" s="483"/>
      <c r="AN38" s="483"/>
      <c r="AO38" s="483"/>
      <c r="AP38" s="483"/>
      <c r="AQ38" s="483"/>
      <c r="AR38" s="483"/>
      <c r="AS38" s="483"/>
    </row>
    <row r="39" spans="1:45" ht="13.5" thickBot="1">
      <c r="A39" s="483"/>
      <c r="B39" s="637"/>
      <c r="C39" s="679">
        <f>'Savings Calculations'!C44</f>
        <v>0</v>
      </c>
      <c r="D39" s="680" t="e">
        <f>'Savings Calculations'!S44</f>
        <v>#DIV/0!</v>
      </c>
      <c r="E39" s="681">
        <f>IF(C39="","",$F$32*C39)</f>
        <v>0</v>
      </c>
      <c r="F39" s="672" t="e">
        <f>D39*$F$28-FlowReductionEEM*'Savings Calculations'!$R44</f>
        <v>#DIV/0!</v>
      </c>
      <c r="G39" s="637"/>
      <c r="H39" s="676" t="e">
        <f>IF(D39="","",F39/$F$21)</f>
        <v>#DIV/0!</v>
      </c>
      <c r="I39" s="677" t="e">
        <f>IF(H39="","",MIN((H39*'Operating Power'!$Y$13+'Operating Power'!$Y$14)*BaselinekW,BaselinekW))</f>
        <v>#DIV/0!</v>
      </c>
      <c r="J39" s="678" t="e">
        <f>IF(E39="","",I39*E39)</f>
        <v>#DIV/0!</v>
      </c>
      <c r="K39" s="637"/>
      <c r="L39" s="676" t="e">
        <f>IF(D39="","",F39/$I$21)</f>
        <v>#DIV/0!</v>
      </c>
      <c r="M39" s="677" t="e">
        <f>IF(L39="","",MIN((L39*'Operating Power'!$Y$27+'Operating Power'!$Y$28)*UpgradekW,UpgradekW))</f>
        <v>#DIV/0!</v>
      </c>
      <c r="N39" s="678" t="e">
        <f>IF(M39="",0,M39*E39)</f>
        <v>#DIV/0!</v>
      </c>
      <c r="O39" s="637"/>
      <c r="P39" s="357"/>
      <c r="Q39" s="491"/>
      <c r="R39" s="500" t="s">
        <v>82</v>
      </c>
      <c r="S39" s="501"/>
      <c r="T39" s="525">
        <f>IF(IndoorOutdoorSelection="indoors",T27,T37)</f>
        <v>1.15615908661918</v>
      </c>
      <c r="U39" s="502"/>
      <c r="V39" s="491"/>
      <c r="W39" s="498" t="s">
        <v>83</v>
      </c>
      <c r="X39" s="499"/>
      <c r="Y39" s="491"/>
      <c r="Z39" s="491"/>
      <c r="AA39" s="491"/>
      <c r="AB39" s="491"/>
      <c r="AC39" s="491"/>
      <c r="AD39" s="491"/>
      <c r="AE39" s="491"/>
      <c r="AF39" s="357"/>
      <c r="AG39" s="483"/>
      <c r="AH39" s="483"/>
      <c r="AI39" s="483"/>
      <c r="AJ39" s="483"/>
      <c r="AK39" s="483"/>
      <c r="AL39" s="483"/>
      <c r="AM39" s="483"/>
      <c r="AN39" s="483"/>
      <c r="AO39" s="483"/>
      <c r="AP39" s="483"/>
      <c r="AQ39" s="483"/>
      <c r="AR39" s="483"/>
      <c r="AS39" s="483"/>
    </row>
    <row r="40" spans="1:45" ht="13.5" thickBot="1">
      <c r="A40" s="483"/>
      <c r="B40" s="637"/>
      <c r="C40" s="682">
        <f>'Savings Calculations'!C45</f>
        <v>0</v>
      </c>
      <c r="D40" s="683" t="e">
        <f>'Savings Calculations'!S45</f>
        <v>#DIV/0!</v>
      </c>
      <c r="E40" s="684">
        <f>IF(C40="","",$F$32*C40)</f>
        <v>0</v>
      </c>
      <c r="F40" s="685" t="e">
        <f>D40*$F$28-FlowReductionEEM*'Savings Calculations'!$R45</f>
        <v>#DIV/0!</v>
      </c>
      <c r="G40" s="637"/>
      <c r="H40" s="686" t="e">
        <f>IF(D40="","",F40/$F$21)</f>
        <v>#DIV/0!</v>
      </c>
      <c r="I40" s="687" t="e">
        <f>IF(H40="","",MIN((H40*'Operating Power'!$Y$13+'Operating Power'!$Y$14)*BaselinekW,BaselinekW))</f>
        <v>#DIV/0!</v>
      </c>
      <c r="J40" s="688" t="e">
        <f>IF(E40="","",I40*E40)</f>
        <v>#DIV/0!</v>
      </c>
      <c r="K40" s="637"/>
      <c r="L40" s="686" t="e">
        <f>IF(D40="","",F40/$I$21)</f>
        <v>#DIV/0!</v>
      </c>
      <c r="M40" s="687" t="e">
        <f>IF(L40="","",MIN((L40*'Operating Power'!$Y$27+'Operating Power'!$Y$28)*UpgradekW,UpgradekW))</f>
        <v>#DIV/0!</v>
      </c>
      <c r="N40" s="688" t="e">
        <f>IF(M40="",0,M40*E40)</f>
        <v>#DIV/0!</v>
      </c>
      <c r="O40" s="637"/>
      <c r="P40" s="357"/>
      <c r="Q40" s="491"/>
      <c r="R40" s="491"/>
      <c r="S40" s="491"/>
      <c r="T40" s="491"/>
      <c r="U40" s="491"/>
      <c r="V40" s="491"/>
      <c r="W40" s="498" t="s">
        <v>84</v>
      </c>
      <c r="X40" s="499"/>
      <c r="Y40" s="491"/>
      <c r="Z40" s="491"/>
      <c r="AA40" s="491"/>
      <c r="AB40" s="491"/>
      <c r="AC40" s="491"/>
      <c r="AD40" s="491"/>
      <c r="AE40" s="491"/>
      <c r="AF40" s="357"/>
      <c r="AG40" s="483"/>
      <c r="AH40" s="483"/>
      <c r="AI40" s="483"/>
      <c r="AJ40" s="483"/>
      <c r="AK40" s="483"/>
      <c r="AL40" s="483"/>
      <c r="AM40" s="483"/>
      <c r="AN40" s="483"/>
      <c r="AO40" s="483"/>
      <c r="AP40" s="483"/>
      <c r="AQ40" s="483"/>
      <c r="AR40" s="483"/>
      <c r="AS40" s="483"/>
    </row>
    <row r="41" spans="1:45" ht="13.5" thickBot="1">
      <c r="A41" s="483"/>
      <c r="B41" s="637"/>
      <c r="C41" s="689">
        <f>SUM(C37:C40)</f>
        <v>0</v>
      </c>
      <c r="D41" s="634"/>
      <c r="E41" s="422">
        <f>SUM(E37:E40)</f>
        <v>0</v>
      </c>
      <c r="F41" s="635"/>
      <c r="G41" s="637"/>
      <c r="H41" s="635"/>
      <c r="I41" s="382" t="s">
        <v>671</v>
      </c>
      <c r="J41" s="422" t="e">
        <f>ROUND(SUM(J37:J40),0)</f>
        <v>#DIV/0!</v>
      </c>
      <c r="K41" s="637"/>
      <c r="L41" s="635"/>
      <c r="M41" s="382" t="s">
        <v>671</v>
      </c>
      <c r="N41" s="422" t="e">
        <f>ROUND(SUM(N37:N40),0)</f>
        <v>#DIV/0!</v>
      </c>
      <c r="O41" s="637"/>
      <c r="P41" s="357"/>
      <c r="Q41" s="491" t="s">
        <v>360</v>
      </c>
      <c r="R41" s="491"/>
      <c r="S41" s="491"/>
      <c r="T41" s="491"/>
      <c r="U41" s="491"/>
      <c r="V41" s="491"/>
      <c r="W41" s="498" t="s">
        <v>85</v>
      </c>
      <c r="X41" s="499"/>
      <c r="Y41" s="491"/>
      <c r="Z41" s="491"/>
      <c r="AA41" s="491"/>
      <c r="AB41" s="491"/>
      <c r="AC41" s="491"/>
      <c r="AD41" s="491"/>
      <c r="AE41" s="491"/>
      <c r="AF41" s="357"/>
      <c r="AG41" s="483"/>
      <c r="AH41" s="483"/>
      <c r="AI41" s="483"/>
      <c r="AJ41" s="483"/>
      <c r="AK41" s="483"/>
      <c r="AL41" s="483"/>
      <c r="AM41" s="483"/>
      <c r="AN41" s="483"/>
      <c r="AO41" s="483"/>
      <c r="AP41" s="483"/>
      <c r="AQ41" s="483"/>
      <c r="AR41" s="483"/>
      <c r="AS41" s="483"/>
    </row>
    <row r="42" spans="1:45" ht="12.75">
      <c r="A42" s="483"/>
      <c r="B42" s="637"/>
      <c r="C42" s="637"/>
      <c r="D42" s="637"/>
      <c r="E42" s="637"/>
      <c r="F42" s="637"/>
      <c r="G42" s="637"/>
      <c r="H42" s="637"/>
      <c r="I42" s="637"/>
      <c r="J42" s="637"/>
      <c r="K42" s="637"/>
      <c r="L42" s="637"/>
      <c r="M42" s="637"/>
      <c r="N42" s="637"/>
      <c r="O42" s="637"/>
      <c r="P42" s="357"/>
      <c r="Q42" s="507" t="s">
        <v>86</v>
      </c>
      <c r="R42" s="508"/>
      <c r="S42" s="508"/>
      <c r="T42" s="508"/>
      <c r="U42" s="526">
        <f>F27</f>
        <v>0</v>
      </c>
      <c r="V42" s="491"/>
      <c r="W42" s="498" t="s">
        <v>87</v>
      </c>
      <c r="X42" s="499"/>
      <c r="Y42" s="491"/>
      <c r="Z42" s="491"/>
      <c r="AA42" s="491"/>
      <c r="AB42" s="491"/>
      <c r="AC42" s="491"/>
      <c r="AD42" s="491"/>
      <c r="AE42" s="491"/>
      <c r="AF42" s="357"/>
      <c r="AG42" s="483"/>
      <c r="AH42" s="483"/>
      <c r="AI42" s="483"/>
      <c r="AJ42" s="483"/>
      <c r="AK42" s="483"/>
      <c r="AL42" s="483"/>
      <c r="AM42" s="483"/>
      <c r="AN42" s="483"/>
      <c r="AO42" s="483"/>
      <c r="AP42" s="483"/>
      <c r="AQ42" s="483"/>
      <c r="AR42" s="483"/>
      <c r="AS42" s="483"/>
    </row>
    <row r="43" spans="1:45" ht="12.75">
      <c r="A43" s="483"/>
      <c r="B43" s="637"/>
      <c r="C43" s="637"/>
      <c r="D43" s="637"/>
      <c r="E43" s="637"/>
      <c r="F43" s="637"/>
      <c r="G43" s="637"/>
      <c r="H43" s="637"/>
      <c r="I43" s="637"/>
      <c r="J43" s="637"/>
      <c r="K43" s="637"/>
      <c r="L43" s="637"/>
      <c r="M43" s="637"/>
      <c r="N43" s="637"/>
      <c r="O43" s="637"/>
      <c r="P43" s="357"/>
      <c r="Q43" s="527" t="s">
        <v>88</v>
      </c>
      <c r="R43" s="350"/>
      <c r="S43" s="350"/>
      <c r="T43" s="350"/>
      <c r="U43" s="528">
        <f>local_Patm(U42)</f>
        <v>14.697</v>
      </c>
      <c r="V43" s="491"/>
      <c r="W43" s="498" t="s">
        <v>89</v>
      </c>
      <c r="X43" s="499"/>
      <c r="Y43" s="491"/>
      <c r="Z43" s="491"/>
      <c r="AA43" s="491"/>
      <c r="AB43" s="491"/>
      <c r="AC43" s="491"/>
      <c r="AD43" s="491"/>
      <c r="AE43" s="491"/>
      <c r="AF43" s="357"/>
      <c r="AG43" s="483"/>
      <c r="AH43" s="483"/>
      <c r="AI43" s="483"/>
      <c r="AJ43" s="483"/>
      <c r="AK43" s="483"/>
      <c r="AL43" s="483"/>
      <c r="AM43" s="483"/>
      <c r="AN43" s="483"/>
      <c r="AO43" s="483"/>
      <c r="AP43" s="483"/>
      <c r="AQ43" s="483"/>
      <c r="AR43" s="483"/>
      <c r="AS43" s="483"/>
    </row>
    <row r="44" spans="1:45" ht="12.75">
      <c r="A44" s="483"/>
      <c r="B44" s="637"/>
      <c r="C44" s="637"/>
      <c r="D44" s="637"/>
      <c r="E44" s="637"/>
      <c r="F44" s="637"/>
      <c r="G44" s="637"/>
      <c r="H44" s="637"/>
      <c r="I44" s="637"/>
      <c r="J44" s="637"/>
      <c r="K44" s="637"/>
      <c r="L44" s="637"/>
      <c r="M44" s="637"/>
      <c r="N44" s="637"/>
      <c r="O44" s="637"/>
      <c r="P44" s="357"/>
      <c r="Q44" s="527" t="s">
        <v>90</v>
      </c>
      <c r="R44" s="350"/>
      <c r="S44" s="350"/>
      <c r="T44" s="350"/>
      <c r="U44" s="528">
        <v>14.5</v>
      </c>
      <c r="V44" s="491"/>
      <c r="W44" s="498" t="s">
        <v>91</v>
      </c>
      <c r="X44" s="499"/>
      <c r="Y44" s="491"/>
      <c r="Z44" s="491"/>
      <c r="AA44" s="491"/>
      <c r="AB44" s="491"/>
      <c r="AC44" s="491"/>
      <c r="AD44" s="491"/>
      <c r="AE44" s="491"/>
      <c r="AF44" s="357"/>
      <c r="AG44" s="483"/>
      <c r="AH44" s="483"/>
      <c r="AI44" s="483"/>
      <c r="AJ44" s="483"/>
      <c r="AK44" s="483"/>
      <c r="AL44" s="483"/>
      <c r="AM44" s="483"/>
      <c r="AN44" s="483"/>
      <c r="AO44" s="483"/>
      <c r="AP44" s="483"/>
      <c r="AQ44" s="483"/>
      <c r="AR44" s="483"/>
      <c r="AS44" s="483"/>
    </row>
    <row r="45" spans="1:45" ht="13.5" thickBot="1">
      <c r="A45" s="483"/>
      <c r="B45" s="637"/>
      <c r="C45" s="637"/>
      <c r="D45" s="637"/>
      <c r="E45" s="637"/>
      <c r="F45" s="637"/>
      <c r="G45" s="637"/>
      <c r="H45" s="637"/>
      <c r="I45" s="637"/>
      <c r="J45" s="637"/>
      <c r="K45" s="637"/>
      <c r="L45" s="637"/>
      <c r="M45" s="637"/>
      <c r="N45" s="637"/>
      <c r="O45" s="637"/>
      <c r="P45" s="357"/>
      <c r="Q45" s="529" t="s">
        <v>92</v>
      </c>
      <c r="R45" s="530"/>
      <c r="S45" s="530"/>
      <c r="T45" s="530"/>
      <c r="U45" s="531">
        <f>U43/U44</f>
        <v>1.0135862068965518</v>
      </c>
      <c r="V45" s="491"/>
      <c r="W45" s="498" t="s">
        <v>93</v>
      </c>
      <c r="X45" s="499"/>
      <c r="Y45" s="491"/>
      <c r="Z45" s="491"/>
      <c r="AA45" s="491"/>
      <c r="AB45" s="491"/>
      <c r="AC45" s="491"/>
      <c r="AD45" s="491"/>
      <c r="AE45" s="491"/>
      <c r="AF45" s="357"/>
      <c r="AG45" s="483"/>
      <c r="AH45" s="483"/>
      <c r="AI45" s="483"/>
      <c r="AJ45" s="483"/>
      <c r="AK45" s="483"/>
      <c r="AL45" s="483"/>
      <c r="AM45" s="483"/>
      <c r="AN45" s="483"/>
      <c r="AO45" s="483"/>
      <c r="AP45" s="483"/>
      <c r="AQ45" s="483"/>
      <c r="AR45" s="483"/>
      <c r="AS45" s="483"/>
    </row>
    <row r="46" spans="1:45" ht="12.75">
      <c r="A46" s="483"/>
      <c r="B46" s="637"/>
      <c r="C46" s="637"/>
      <c r="D46" s="637"/>
      <c r="E46" s="637"/>
      <c r="F46" s="637"/>
      <c r="G46" s="637"/>
      <c r="H46" s="637"/>
      <c r="I46" s="637"/>
      <c r="J46" s="637"/>
      <c r="K46" s="637"/>
      <c r="L46" s="637"/>
      <c r="M46" s="637"/>
      <c r="N46" s="637"/>
      <c r="O46" s="637"/>
      <c r="P46" s="357"/>
      <c r="Q46" s="491"/>
      <c r="R46" s="491"/>
      <c r="S46" s="491"/>
      <c r="T46" s="491"/>
      <c r="U46" s="491"/>
      <c r="V46" s="491"/>
      <c r="W46" s="498" t="s">
        <v>94</v>
      </c>
      <c r="X46" s="499"/>
      <c r="Y46" s="491"/>
      <c r="Z46" s="491"/>
      <c r="AA46" s="491"/>
      <c r="AB46" s="491"/>
      <c r="AC46" s="491"/>
      <c r="AD46" s="491"/>
      <c r="AE46" s="491"/>
      <c r="AF46" s="357"/>
      <c r="AG46" s="483"/>
      <c r="AH46" s="483"/>
      <c r="AI46" s="483"/>
      <c r="AJ46" s="483"/>
      <c r="AK46" s="483"/>
      <c r="AL46" s="483"/>
      <c r="AM46" s="483"/>
      <c r="AN46" s="483"/>
      <c r="AO46" s="483"/>
      <c r="AP46" s="483"/>
      <c r="AQ46" s="483"/>
      <c r="AR46" s="483"/>
      <c r="AS46" s="483"/>
    </row>
    <row r="47" spans="1:45" ht="12.75">
      <c r="A47" s="483"/>
      <c r="B47" s="637"/>
      <c r="C47" s="637"/>
      <c r="D47" s="637"/>
      <c r="E47" s="637"/>
      <c r="F47" s="637"/>
      <c r="G47" s="637"/>
      <c r="H47" s="637"/>
      <c r="I47" s="637"/>
      <c r="J47" s="637"/>
      <c r="K47" s="637"/>
      <c r="L47" s="637"/>
      <c r="M47" s="637"/>
      <c r="N47" s="637"/>
      <c r="O47" s="637"/>
      <c r="P47" s="357"/>
      <c r="Q47" s="491"/>
      <c r="R47" s="491"/>
      <c r="S47" s="491"/>
      <c r="T47" s="491"/>
      <c r="U47" s="491" t="s">
        <v>95</v>
      </c>
      <c r="V47" s="491"/>
      <c r="W47" s="498" t="s">
        <v>96</v>
      </c>
      <c r="X47" s="499"/>
      <c r="Y47" s="491"/>
      <c r="Z47" s="491"/>
      <c r="AA47" s="491"/>
      <c r="AB47" s="491"/>
      <c r="AC47" s="491"/>
      <c r="AD47" s="491"/>
      <c r="AE47" s="491"/>
      <c r="AF47" s="357"/>
      <c r="AG47" s="483"/>
      <c r="AH47" s="483"/>
      <c r="AI47" s="483"/>
      <c r="AJ47" s="483"/>
      <c r="AK47" s="483"/>
      <c r="AL47" s="483"/>
      <c r="AM47" s="483"/>
      <c r="AN47" s="483"/>
      <c r="AO47" s="483"/>
      <c r="AP47" s="483"/>
      <c r="AQ47" s="483"/>
      <c r="AR47" s="483"/>
      <c r="AS47" s="483"/>
    </row>
    <row r="48" spans="1:45" ht="12.75">
      <c r="A48" s="483"/>
      <c r="B48" s="637"/>
      <c r="C48" s="637"/>
      <c r="D48" s="637"/>
      <c r="E48" s="637"/>
      <c r="F48" s="637"/>
      <c r="G48" s="637"/>
      <c r="H48" s="637"/>
      <c r="I48" s="637"/>
      <c r="J48" s="637"/>
      <c r="K48" s="637"/>
      <c r="L48" s="637"/>
      <c r="M48" s="637"/>
      <c r="N48" s="637"/>
      <c r="O48" s="637"/>
      <c r="P48" s="357"/>
      <c r="Q48" s="491" t="s">
        <v>97</v>
      </c>
      <c r="R48" s="491"/>
      <c r="S48" s="491"/>
      <c r="T48" s="491"/>
      <c r="U48" s="491">
        <v>70</v>
      </c>
      <c r="V48" s="491"/>
      <c r="W48" s="498" t="s">
        <v>98</v>
      </c>
      <c r="X48" s="499"/>
      <c r="Y48" s="491"/>
      <c r="Z48" s="491"/>
      <c r="AA48" s="491"/>
      <c r="AB48" s="491"/>
      <c r="AC48" s="491"/>
      <c r="AD48" s="491"/>
      <c r="AE48" s="491"/>
      <c r="AF48" s="357"/>
      <c r="AG48" s="483"/>
      <c r="AH48" s="483"/>
      <c r="AI48" s="483"/>
      <c r="AJ48" s="483"/>
      <c r="AK48" s="483"/>
      <c r="AL48" s="483"/>
      <c r="AM48" s="483"/>
      <c r="AN48" s="483"/>
      <c r="AO48" s="483"/>
      <c r="AP48" s="483"/>
      <c r="AQ48" s="483"/>
      <c r="AR48" s="483"/>
      <c r="AS48" s="483"/>
    </row>
    <row r="49" spans="1:45" ht="12.75">
      <c r="A49" s="483"/>
      <c r="B49" s="637"/>
      <c r="C49" s="637"/>
      <c r="D49" s="637"/>
      <c r="E49" s="637"/>
      <c r="F49" s="637"/>
      <c r="G49" s="637"/>
      <c r="H49" s="637"/>
      <c r="I49" s="637"/>
      <c r="J49" s="637"/>
      <c r="K49" s="637"/>
      <c r="L49" s="637"/>
      <c r="M49" s="637"/>
      <c r="N49" s="637"/>
      <c r="O49" s="637"/>
      <c r="P49" s="357"/>
      <c r="Q49" s="491"/>
      <c r="R49" s="491"/>
      <c r="S49" s="491"/>
      <c r="T49" s="491"/>
      <c r="U49" s="491">
        <v>75</v>
      </c>
      <c r="V49" s="491"/>
      <c r="W49" s="498" t="s">
        <v>99</v>
      </c>
      <c r="X49" s="499"/>
      <c r="Y49" s="491"/>
      <c r="Z49" s="491"/>
      <c r="AA49" s="491"/>
      <c r="AB49" s="491"/>
      <c r="AC49" s="491"/>
      <c r="AD49" s="491"/>
      <c r="AE49" s="491"/>
      <c r="AF49" s="357"/>
      <c r="AG49" s="483"/>
      <c r="AH49" s="483"/>
      <c r="AI49" s="483"/>
      <c r="AJ49" s="483"/>
      <c r="AK49" s="483"/>
      <c r="AL49" s="483"/>
      <c r="AM49" s="483"/>
      <c r="AN49" s="483"/>
      <c r="AO49" s="483"/>
      <c r="AP49" s="483"/>
      <c r="AQ49" s="483"/>
      <c r="AR49" s="483"/>
      <c r="AS49" s="483"/>
    </row>
    <row r="50" spans="1:45" ht="12.75">
      <c r="A50" s="483"/>
      <c r="B50" s="637"/>
      <c r="C50" s="637"/>
      <c r="D50" s="637"/>
      <c r="E50" s="637"/>
      <c r="F50" s="637"/>
      <c r="G50" s="637"/>
      <c r="H50" s="637"/>
      <c r="I50" s="637"/>
      <c r="J50" s="637"/>
      <c r="K50" s="637"/>
      <c r="L50" s="637"/>
      <c r="M50" s="637"/>
      <c r="N50" s="637"/>
      <c r="O50" s="637"/>
      <c r="P50" s="357"/>
      <c r="Q50" s="491"/>
      <c r="R50" s="491"/>
      <c r="S50" s="491"/>
      <c r="T50" s="491"/>
      <c r="U50" s="491">
        <v>80</v>
      </c>
      <c r="V50" s="491"/>
      <c r="W50" s="498" t="s">
        <v>100</v>
      </c>
      <c r="X50" s="499"/>
      <c r="Y50" s="491"/>
      <c r="Z50" s="491"/>
      <c r="AA50" s="491"/>
      <c r="AB50" s="491"/>
      <c r="AC50" s="491"/>
      <c r="AD50" s="491"/>
      <c r="AE50" s="491"/>
      <c r="AF50" s="357"/>
      <c r="AG50" s="483"/>
      <c r="AH50" s="483"/>
      <c r="AI50" s="483"/>
      <c r="AJ50" s="483"/>
      <c r="AK50" s="483"/>
      <c r="AL50" s="483"/>
      <c r="AM50" s="483"/>
      <c r="AN50" s="483"/>
      <c r="AO50" s="483"/>
      <c r="AP50" s="483"/>
      <c r="AQ50" s="483"/>
      <c r="AR50" s="483"/>
      <c r="AS50" s="483"/>
    </row>
    <row r="51" spans="1:45" ht="12.75">
      <c r="A51" s="483"/>
      <c r="B51" s="637"/>
      <c r="C51" s="637"/>
      <c r="D51" s="637"/>
      <c r="E51" s="637"/>
      <c r="F51" s="637"/>
      <c r="G51" s="637"/>
      <c r="H51" s="637"/>
      <c r="I51" s="637"/>
      <c r="J51" s="637"/>
      <c r="K51" s="637"/>
      <c r="L51" s="637"/>
      <c r="M51" s="637"/>
      <c r="N51" s="637"/>
      <c r="O51" s="637"/>
      <c r="P51" s="357"/>
      <c r="Q51" s="491"/>
      <c r="R51" s="483"/>
      <c r="S51" s="491"/>
      <c r="T51" s="483"/>
      <c r="U51" s="491">
        <v>85</v>
      </c>
      <c r="V51" s="491"/>
      <c r="W51" s="498" t="s">
        <v>101</v>
      </c>
      <c r="X51" s="499"/>
      <c r="Y51" s="491"/>
      <c r="Z51" s="491"/>
      <c r="AA51" s="491"/>
      <c r="AB51" s="491"/>
      <c r="AC51" s="491"/>
      <c r="AD51" s="491"/>
      <c r="AE51" s="491"/>
      <c r="AF51" s="357"/>
      <c r="AG51" s="483"/>
      <c r="AH51" s="483"/>
      <c r="AI51" s="483"/>
      <c r="AJ51" s="483"/>
      <c r="AK51" s="483"/>
      <c r="AL51" s="483"/>
      <c r="AM51" s="483"/>
      <c r="AN51" s="483"/>
      <c r="AO51" s="483"/>
      <c r="AP51" s="483"/>
      <c r="AQ51" s="483"/>
      <c r="AR51" s="483"/>
      <c r="AS51" s="483"/>
    </row>
    <row r="52" spans="1:45" ht="12.75">
      <c r="A52" s="483"/>
      <c r="B52" s="637"/>
      <c r="C52" s="637"/>
      <c r="D52" s="637"/>
      <c r="E52" s="637"/>
      <c r="F52" s="637"/>
      <c r="G52" s="637"/>
      <c r="H52" s="637"/>
      <c r="I52" s="637"/>
      <c r="J52" s="637"/>
      <c r="K52" s="637"/>
      <c r="L52" s="637"/>
      <c r="M52" s="637"/>
      <c r="N52" s="637"/>
      <c r="O52" s="637"/>
      <c r="P52" s="357"/>
      <c r="Q52" s="491"/>
      <c r="R52" s="491"/>
      <c r="S52" s="491"/>
      <c r="T52" s="483"/>
      <c r="U52" s="491">
        <v>90</v>
      </c>
      <c r="V52" s="491"/>
      <c r="W52" s="498" t="s">
        <v>102</v>
      </c>
      <c r="X52" s="499"/>
      <c r="Y52" s="491"/>
      <c r="Z52" s="491"/>
      <c r="AA52" s="491"/>
      <c r="AB52" s="491"/>
      <c r="AC52" s="491"/>
      <c r="AD52" s="491"/>
      <c r="AE52" s="491"/>
      <c r="AF52" s="357"/>
      <c r="AG52" s="483"/>
      <c r="AH52" s="483"/>
      <c r="AI52" s="483"/>
      <c r="AJ52" s="483"/>
      <c r="AK52" s="483"/>
      <c r="AL52" s="483"/>
      <c r="AM52" s="483"/>
      <c r="AN52" s="483"/>
      <c r="AO52" s="483"/>
      <c r="AP52" s="483"/>
      <c r="AQ52" s="483"/>
      <c r="AR52" s="483"/>
      <c r="AS52" s="483"/>
    </row>
    <row r="53" spans="1:45" ht="12.75">
      <c r="A53" s="483"/>
      <c r="B53" s="637"/>
      <c r="C53" s="637"/>
      <c r="D53" s="637"/>
      <c r="E53" s="637"/>
      <c r="F53" s="637"/>
      <c r="G53" s="637"/>
      <c r="H53" s="637"/>
      <c r="I53" s="637"/>
      <c r="J53" s="637"/>
      <c r="K53" s="637"/>
      <c r="L53" s="637"/>
      <c r="M53" s="637"/>
      <c r="N53" s="637"/>
      <c r="O53" s="637"/>
      <c r="P53" s="357"/>
      <c r="Q53" s="491"/>
      <c r="R53" s="491"/>
      <c r="S53" s="491"/>
      <c r="T53" s="483"/>
      <c r="U53" s="491">
        <v>95</v>
      </c>
      <c r="V53" s="491"/>
      <c r="W53" s="498" t="s">
        <v>103</v>
      </c>
      <c r="X53" s="499"/>
      <c r="Y53" s="491"/>
      <c r="Z53" s="491"/>
      <c r="AA53" s="491"/>
      <c r="AB53" s="491"/>
      <c r="AC53" s="491"/>
      <c r="AD53" s="491"/>
      <c r="AE53" s="491"/>
      <c r="AF53" s="357"/>
      <c r="AG53" s="483"/>
      <c r="AH53" s="483"/>
      <c r="AI53" s="483"/>
      <c r="AJ53" s="483"/>
      <c r="AK53" s="483"/>
      <c r="AL53" s="483"/>
      <c r="AM53" s="483"/>
      <c r="AN53" s="483"/>
      <c r="AO53" s="483"/>
      <c r="AP53" s="483"/>
      <c r="AQ53" s="483"/>
      <c r="AR53" s="483"/>
      <c r="AS53" s="483"/>
    </row>
    <row r="54" spans="1:45" ht="12.75">
      <c r="A54" s="483"/>
      <c r="B54" s="637"/>
      <c r="C54" s="637"/>
      <c r="D54" s="637"/>
      <c r="E54" s="637"/>
      <c r="F54" s="637"/>
      <c r="G54" s="637"/>
      <c r="H54" s="637"/>
      <c r="I54" s="637"/>
      <c r="J54" s="637"/>
      <c r="K54" s="637"/>
      <c r="L54" s="637"/>
      <c r="M54" s="637"/>
      <c r="N54" s="637"/>
      <c r="O54" s="637"/>
      <c r="P54" s="357"/>
      <c r="Q54" s="491"/>
      <c r="R54" s="491"/>
      <c r="S54" s="491"/>
      <c r="T54" s="483"/>
      <c r="U54" s="491">
        <v>100</v>
      </c>
      <c r="V54" s="491"/>
      <c r="W54" s="498" t="s">
        <v>104</v>
      </c>
      <c r="X54" s="499"/>
      <c r="Y54" s="491"/>
      <c r="Z54" s="491"/>
      <c r="AA54" s="491"/>
      <c r="AB54" s="491"/>
      <c r="AC54" s="491"/>
      <c r="AD54" s="491"/>
      <c r="AE54" s="491"/>
      <c r="AF54" s="357"/>
      <c r="AG54" s="483"/>
      <c r="AH54" s="483"/>
      <c r="AI54" s="483"/>
      <c r="AJ54" s="483"/>
      <c r="AK54" s="483"/>
      <c r="AL54" s="483"/>
      <c r="AM54" s="483"/>
      <c r="AN54" s="483"/>
      <c r="AO54" s="483"/>
      <c r="AP54" s="483"/>
      <c r="AQ54" s="483"/>
      <c r="AR54" s="483"/>
      <c r="AS54" s="483"/>
    </row>
    <row r="55" spans="1:45" ht="12.75">
      <c r="A55" s="483"/>
      <c r="B55" s="637"/>
      <c r="C55" s="637"/>
      <c r="D55" s="637"/>
      <c r="E55" s="637"/>
      <c r="F55" s="637"/>
      <c r="G55" s="637"/>
      <c r="H55" s="637"/>
      <c r="I55" s="637"/>
      <c r="J55" s="637"/>
      <c r="K55" s="637"/>
      <c r="L55" s="637"/>
      <c r="M55" s="637"/>
      <c r="N55" s="637"/>
      <c r="O55" s="637"/>
      <c r="P55" s="357"/>
      <c r="Q55" s="491"/>
      <c r="R55" s="491"/>
      <c r="S55" s="491"/>
      <c r="T55" s="483"/>
      <c r="U55" s="491">
        <v>105</v>
      </c>
      <c r="V55" s="491"/>
      <c r="W55" s="498" t="s">
        <v>105</v>
      </c>
      <c r="X55" s="499"/>
      <c r="Y55" s="491"/>
      <c r="Z55" s="491"/>
      <c r="AA55" s="491"/>
      <c r="AB55" s="491"/>
      <c r="AC55" s="491"/>
      <c r="AD55" s="491"/>
      <c r="AE55" s="491"/>
      <c r="AF55" s="357"/>
      <c r="AG55" s="483"/>
      <c r="AH55" s="483"/>
      <c r="AI55" s="483"/>
      <c r="AJ55" s="483"/>
      <c r="AK55" s="483"/>
      <c r="AL55" s="483"/>
      <c r="AM55" s="483"/>
      <c r="AN55" s="483"/>
      <c r="AO55" s="483"/>
      <c r="AP55" s="483"/>
      <c r="AQ55" s="483"/>
      <c r="AR55" s="483"/>
      <c r="AS55" s="483"/>
    </row>
    <row r="56" spans="1:45" ht="12.75">
      <c r="A56" s="483"/>
      <c r="B56" s="637"/>
      <c r="C56" s="637"/>
      <c r="D56" s="637"/>
      <c r="E56" s="637"/>
      <c r="F56" s="637"/>
      <c r="G56" s="637"/>
      <c r="H56" s="637"/>
      <c r="I56" s="637"/>
      <c r="J56" s="637"/>
      <c r="K56" s="637"/>
      <c r="L56" s="637"/>
      <c r="M56" s="637"/>
      <c r="N56" s="637"/>
      <c r="O56" s="637"/>
      <c r="P56" s="357"/>
      <c r="Q56" s="491"/>
      <c r="R56" s="491"/>
      <c r="S56" s="491"/>
      <c r="T56" s="491"/>
      <c r="U56" s="491">
        <v>110</v>
      </c>
      <c r="V56" s="491"/>
      <c r="W56" s="498" t="s">
        <v>106</v>
      </c>
      <c r="X56" s="499"/>
      <c r="Y56" s="491"/>
      <c r="Z56" s="491"/>
      <c r="AA56" s="491"/>
      <c r="AB56" s="491"/>
      <c r="AC56" s="491"/>
      <c r="AD56" s="491"/>
      <c r="AE56" s="491"/>
      <c r="AF56" s="357"/>
      <c r="AG56" s="483"/>
      <c r="AH56" s="483"/>
      <c r="AI56" s="483"/>
      <c r="AJ56" s="483"/>
      <c r="AK56" s="483"/>
      <c r="AL56" s="483"/>
      <c r="AM56" s="483"/>
      <c r="AN56" s="483"/>
      <c r="AO56" s="483"/>
      <c r="AP56" s="483"/>
      <c r="AQ56" s="483"/>
      <c r="AR56" s="483"/>
      <c r="AS56" s="483"/>
    </row>
    <row r="57" spans="1:45" ht="12.75">
      <c r="A57" s="483"/>
      <c r="B57" s="637"/>
      <c r="C57" s="490" t="s">
        <v>888</v>
      </c>
      <c r="D57" s="653"/>
      <c r="E57" s="653"/>
      <c r="F57" s="653"/>
      <c r="G57" s="653"/>
      <c r="H57" s="653"/>
      <c r="I57" s="653"/>
      <c r="J57" s="653"/>
      <c r="K57" s="653"/>
      <c r="L57" s="653"/>
      <c r="M57" s="653"/>
      <c r="N57" s="653"/>
      <c r="O57" s="637"/>
      <c r="P57" s="357"/>
      <c r="Q57" s="491"/>
      <c r="R57" s="491"/>
      <c r="S57" s="491"/>
      <c r="T57" s="491"/>
      <c r="U57" s="491">
        <v>115</v>
      </c>
      <c r="V57" s="491"/>
      <c r="W57" s="498" t="s">
        <v>107</v>
      </c>
      <c r="X57" s="499"/>
      <c r="Y57" s="491"/>
      <c r="Z57" s="491"/>
      <c r="AA57" s="491"/>
      <c r="AB57" s="491"/>
      <c r="AC57" s="491"/>
      <c r="AD57" s="491"/>
      <c r="AE57" s="491"/>
      <c r="AF57" s="357"/>
      <c r="AG57" s="483"/>
      <c r="AH57" s="483"/>
      <c r="AI57" s="483"/>
      <c r="AJ57" s="483"/>
      <c r="AK57" s="483"/>
      <c r="AL57" s="483"/>
      <c r="AM57" s="483"/>
      <c r="AN57" s="483"/>
      <c r="AO57" s="483"/>
      <c r="AP57" s="483"/>
      <c r="AQ57" s="483"/>
      <c r="AR57" s="483"/>
      <c r="AS57" s="483"/>
    </row>
    <row r="58" spans="1:45" ht="7.5" customHeight="1">
      <c r="A58" s="483"/>
      <c r="B58" s="637"/>
      <c r="C58" s="637"/>
      <c r="D58" s="637"/>
      <c r="E58" s="637"/>
      <c r="F58" s="637"/>
      <c r="G58" s="637"/>
      <c r="H58" s="637"/>
      <c r="I58" s="637"/>
      <c r="J58" s="637"/>
      <c r="K58" s="637"/>
      <c r="L58" s="637"/>
      <c r="M58" s="637"/>
      <c r="N58" s="637"/>
      <c r="O58" s="637"/>
      <c r="P58" s="357"/>
      <c r="Q58" s="491"/>
      <c r="R58" s="491"/>
      <c r="S58" s="491"/>
      <c r="T58" s="491"/>
      <c r="U58" s="491">
        <v>120</v>
      </c>
      <c r="V58" s="491"/>
      <c r="W58" s="498" t="s">
        <v>108</v>
      </c>
      <c r="X58" s="499"/>
      <c r="Y58" s="491"/>
      <c r="Z58" s="491"/>
      <c r="AA58" s="491"/>
      <c r="AB58" s="491"/>
      <c r="AC58" s="491"/>
      <c r="AD58" s="491"/>
      <c r="AE58" s="491"/>
      <c r="AF58" s="357"/>
      <c r="AG58" s="483"/>
      <c r="AH58" s="483"/>
      <c r="AI58" s="483"/>
      <c r="AJ58" s="483"/>
      <c r="AK58" s="483"/>
      <c r="AL58" s="483"/>
      <c r="AM58" s="483"/>
      <c r="AN58" s="483"/>
      <c r="AO58" s="483"/>
      <c r="AP58" s="483"/>
      <c r="AQ58" s="483"/>
      <c r="AR58" s="483"/>
      <c r="AS58" s="483"/>
    </row>
    <row r="59" spans="1:45" ht="13.5" customHeight="1" thickBot="1">
      <c r="A59" s="483"/>
      <c r="B59" s="637"/>
      <c r="C59" s="388"/>
      <c r="D59" s="444"/>
      <c r="E59" s="690" t="s">
        <v>728</v>
      </c>
      <c r="F59" s="644" t="e">
        <f>J41</f>
        <v>#DIV/0!</v>
      </c>
      <c r="G59" s="373" t="s">
        <v>617</v>
      </c>
      <c r="H59" s="691"/>
      <c r="I59" s="691"/>
      <c r="J59" s="690" t="s">
        <v>109</v>
      </c>
      <c r="K59" s="691"/>
      <c r="L59" s="645" t="e">
        <f>IF(F61=0,"",ROUND((F61/E41)*0.75,1))</f>
        <v>#DIV/0!</v>
      </c>
      <c r="M59" s="646" t="s">
        <v>110</v>
      </c>
      <c r="N59" s="692"/>
      <c r="O59" s="637"/>
      <c r="P59" s="357"/>
      <c r="Q59" s="491"/>
      <c r="R59" s="491"/>
      <c r="S59" s="491"/>
      <c r="T59" s="491"/>
      <c r="U59" s="491"/>
      <c r="V59" s="491"/>
      <c r="W59" s="500" t="s">
        <v>111</v>
      </c>
      <c r="X59" s="502"/>
      <c r="Y59" s="491"/>
      <c r="Z59" s="491"/>
      <c r="AA59" s="491"/>
      <c r="AB59" s="491"/>
      <c r="AC59" s="491"/>
      <c r="AD59" s="491"/>
      <c r="AE59" s="491"/>
      <c r="AF59" s="357"/>
      <c r="AG59" s="483"/>
      <c r="AH59" s="483"/>
      <c r="AI59" s="483"/>
      <c r="AJ59" s="483"/>
      <c r="AK59" s="483"/>
      <c r="AL59" s="483"/>
      <c r="AM59" s="483"/>
      <c r="AN59" s="483"/>
      <c r="AO59" s="483"/>
      <c r="AP59" s="483"/>
      <c r="AQ59" s="483"/>
      <c r="AR59" s="483"/>
      <c r="AS59" s="483"/>
    </row>
    <row r="60" spans="1:45" ht="13.5" customHeight="1">
      <c r="A60" s="483"/>
      <c r="B60" s="637"/>
      <c r="C60" s="388"/>
      <c r="D60" s="444"/>
      <c r="E60" s="690" t="s">
        <v>729</v>
      </c>
      <c r="F60" s="647" t="e">
        <f>N41</f>
        <v>#DIV/0!</v>
      </c>
      <c r="G60" s="373" t="s">
        <v>617</v>
      </c>
      <c r="H60" s="375"/>
      <c r="I60" s="375"/>
      <c r="J60" s="375"/>
      <c r="K60" s="693"/>
      <c r="L60" s="383"/>
      <c r="M60" s="648"/>
      <c r="N60" s="692"/>
      <c r="O60" s="637"/>
      <c r="P60" s="357"/>
      <c r="Q60" s="491"/>
      <c r="R60" s="491"/>
      <c r="S60" s="491"/>
      <c r="T60" s="491"/>
      <c r="U60" s="491"/>
      <c r="V60" s="491"/>
      <c r="W60" s="491"/>
      <c r="X60" s="491"/>
      <c r="Y60" s="491"/>
      <c r="Z60" s="491"/>
      <c r="AA60" s="491"/>
      <c r="AB60" s="491"/>
      <c r="AC60" s="491"/>
      <c r="AD60" s="491"/>
      <c r="AE60" s="491"/>
      <c r="AF60" s="357"/>
      <c r="AG60" s="483"/>
      <c r="AH60" s="483"/>
      <c r="AI60" s="483"/>
      <c r="AJ60" s="483"/>
      <c r="AK60" s="483"/>
      <c r="AL60" s="483"/>
      <c r="AM60" s="483"/>
      <c r="AN60" s="483"/>
      <c r="AO60" s="483"/>
      <c r="AP60" s="483"/>
      <c r="AQ60" s="483"/>
      <c r="AR60" s="483"/>
      <c r="AS60" s="483"/>
    </row>
    <row r="61" spans="1:45" ht="13.5" customHeight="1">
      <c r="A61" s="483"/>
      <c r="B61" s="637"/>
      <c r="C61" s="388"/>
      <c r="D61" s="444"/>
      <c r="E61" s="690" t="s">
        <v>112</v>
      </c>
      <c r="F61" s="644" t="e">
        <f>F59-F60</f>
        <v>#DIV/0!</v>
      </c>
      <c r="G61" s="373" t="s">
        <v>617</v>
      </c>
      <c r="H61" s="375"/>
      <c r="I61" s="375"/>
      <c r="J61" s="375"/>
      <c r="K61" s="693"/>
      <c r="L61" s="383"/>
      <c r="M61" s="694"/>
      <c r="N61" s="692"/>
      <c r="O61" s="637"/>
      <c r="P61" s="357"/>
      <c r="Q61" s="491"/>
      <c r="R61" s="491"/>
      <c r="S61" s="491"/>
      <c r="T61" s="491"/>
      <c r="U61" s="491"/>
      <c r="V61" s="491"/>
      <c r="W61" s="491"/>
      <c r="X61" s="491"/>
      <c r="Y61" s="491"/>
      <c r="Z61" s="491"/>
      <c r="AA61" s="491"/>
      <c r="AB61" s="491"/>
      <c r="AC61" s="491"/>
      <c r="AD61" s="491"/>
      <c r="AE61" s="491"/>
      <c r="AF61" s="357"/>
      <c r="AG61" s="483"/>
      <c r="AH61" s="483"/>
      <c r="AI61" s="483"/>
      <c r="AJ61" s="483"/>
      <c r="AK61" s="483"/>
      <c r="AL61" s="483"/>
      <c r="AM61" s="483"/>
      <c r="AN61" s="483"/>
      <c r="AO61" s="483"/>
      <c r="AP61" s="483"/>
      <c r="AQ61" s="483"/>
      <c r="AR61" s="483"/>
      <c r="AS61" s="483"/>
    </row>
    <row r="62" spans="1:45" ht="13.5" customHeight="1">
      <c r="A62" s="483"/>
      <c r="B62" s="637"/>
      <c r="C62" s="635"/>
      <c r="D62" s="444"/>
      <c r="E62" s="690" t="s">
        <v>113</v>
      </c>
      <c r="F62" s="649" t="e">
        <f>IF(F59=0,"",F61/F59*100)</f>
        <v>#DIV/0!</v>
      </c>
      <c r="G62" s="695" t="s">
        <v>114</v>
      </c>
      <c r="H62" s="696"/>
      <c r="I62" s="375"/>
      <c r="J62" s="627"/>
      <c r="K62" s="693"/>
      <c r="L62" s="697"/>
      <c r="M62" s="373"/>
      <c r="N62" s="637"/>
      <c r="O62" s="637"/>
      <c r="P62" s="357"/>
      <c r="Q62" s="491"/>
      <c r="R62" s="491"/>
      <c r="S62" s="491"/>
      <c r="T62" s="491"/>
      <c r="U62" s="491"/>
      <c r="V62" s="491"/>
      <c r="W62" s="491"/>
      <c r="X62" s="491"/>
      <c r="Y62" s="491"/>
      <c r="Z62" s="491"/>
      <c r="AA62" s="491"/>
      <c r="AB62" s="491"/>
      <c r="AC62" s="491"/>
      <c r="AD62" s="491"/>
      <c r="AE62" s="491"/>
      <c r="AF62" s="357"/>
      <c r="AG62" s="483"/>
      <c r="AH62" s="483"/>
      <c r="AI62" s="483"/>
      <c r="AJ62" s="483"/>
      <c r="AK62" s="483"/>
      <c r="AL62" s="483"/>
      <c r="AM62" s="483"/>
      <c r="AN62" s="483"/>
      <c r="AO62" s="483"/>
      <c r="AP62" s="483"/>
      <c r="AQ62" s="483"/>
      <c r="AR62" s="483"/>
      <c r="AS62" s="483"/>
    </row>
    <row r="63" spans="1:45" ht="13.5" customHeight="1">
      <c r="A63" s="483"/>
      <c r="B63" s="484"/>
      <c r="C63" s="349"/>
      <c r="D63" s="349"/>
      <c r="E63" s="349"/>
      <c r="F63" s="349"/>
      <c r="G63" s="484"/>
      <c r="H63" s="359"/>
      <c r="I63" s="359"/>
      <c r="J63" s="359"/>
      <c r="K63" s="532"/>
      <c r="L63" s="505"/>
      <c r="M63" s="533"/>
      <c r="N63" s="534"/>
      <c r="O63" s="484"/>
      <c r="P63" s="357"/>
      <c r="Q63" s="491"/>
      <c r="R63" s="491"/>
      <c r="S63" s="491"/>
      <c r="T63" s="491"/>
      <c r="U63" s="491"/>
      <c r="V63" s="491"/>
      <c r="W63" s="491"/>
      <c r="X63" s="491"/>
      <c r="Y63" s="491"/>
      <c r="Z63" s="491"/>
      <c r="AA63" s="491"/>
      <c r="AB63" s="491"/>
      <c r="AC63" s="491"/>
      <c r="AD63" s="491"/>
      <c r="AE63" s="491"/>
      <c r="AF63" s="357"/>
      <c r="AG63" s="483"/>
      <c r="AH63" s="483"/>
      <c r="AI63" s="483"/>
      <c r="AJ63" s="483"/>
      <c r="AK63" s="483"/>
      <c r="AL63" s="483"/>
      <c r="AM63" s="483"/>
      <c r="AN63" s="483"/>
      <c r="AO63" s="483"/>
      <c r="AP63" s="483"/>
      <c r="AQ63" s="483"/>
      <c r="AR63" s="483"/>
      <c r="AS63" s="483"/>
    </row>
    <row r="64" spans="1:45" ht="12.75">
      <c r="A64" s="483"/>
      <c r="B64" s="428" t="str">
        <f>'Customer Information'!B64</f>
        <v> Cascade Energy, Inc. © 2023</v>
      </c>
      <c r="D64" s="484"/>
      <c r="E64" s="484"/>
      <c r="F64" s="484"/>
      <c r="G64" s="484"/>
      <c r="H64" s="359"/>
      <c r="I64" s="359"/>
      <c r="K64" s="532"/>
      <c r="M64" s="359"/>
      <c r="N64" s="1157">
        <f ca="1">TODAY()</f>
        <v>44939</v>
      </c>
      <c r="O64" s="1157"/>
      <c r="P64" s="357"/>
      <c r="Q64" s="491"/>
      <c r="R64" s="491"/>
      <c r="S64" s="491"/>
      <c r="T64" s="491"/>
      <c r="U64" s="491"/>
      <c r="V64" s="491"/>
      <c r="W64" s="491"/>
      <c r="X64" s="491"/>
      <c r="Y64" s="491"/>
      <c r="Z64" s="491"/>
      <c r="AA64" s="491"/>
      <c r="AB64" s="491"/>
      <c r="AC64" s="491"/>
      <c r="AD64" s="491"/>
      <c r="AE64" s="491"/>
      <c r="AF64" s="357"/>
      <c r="AG64" s="483"/>
      <c r="AH64" s="483"/>
      <c r="AI64" s="483"/>
      <c r="AJ64" s="483"/>
      <c r="AK64" s="483"/>
      <c r="AL64" s="483"/>
      <c r="AM64" s="483"/>
      <c r="AN64" s="483"/>
      <c r="AO64" s="483"/>
      <c r="AP64" s="483"/>
      <c r="AQ64" s="483"/>
      <c r="AR64" s="483"/>
      <c r="AS64" s="483"/>
    </row>
    <row r="65" spans="1:45" ht="12.75">
      <c r="A65" s="483"/>
      <c r="B65" s="483"/>
      <c r="C65" s="483"/>
      <c r="D65" s="483"/>
      <c r="E65" s="483"/>
      <c r="F65" s="483"/>
      <c r="G65" s="483"/>
      <c r="H65" s="483"/>
      <c r="I65" s="483"/>
      <c r="J65" s="483"/>
      <c r="K65" s="483"/>
      <c r="L65" s="483"/>
      <c r="M65" s="483"/>
      <c r="N65" s="483"/>
      <c r="O65" s="483"/>
      <c r="P65" s="357"/>
      <c r="Q65" s="491"/>
      <c r="R65" s="491"/>
      <c r="S65" s="491"/>
      <c r="T65" s="491"/>
      <c r="U65" s="491"/>
      <c r="V65" s="491"/>
      <c r="W65" s="491"/>
      <c r="X65" s="491"/>
      <c r="Y65" s="491"/>
      <c r="Z65" s="491"/>
      <c r="AA65" s="491"/>
      <c r="AB65" s="491"/>
      <c r="AC65" s="491"/>
      <c r="AD65" s="491"/>
      <c r="AE65" s="491"/>
      <c r="AF65" s="357"/>
      <c r="AG65" s="483"/>
      <c r="AH65" s="483"/>
      <c r="AI65" s="483"/>
      <c r="AJ65" s="483"/>
      <c r="AK65" s="483"/>
      <c r="AL65" s="483"/>
      <c r="AM65" s="483"/>
      <c r="AN65" s="483"/>
      <c r="AO65" s="483"/>
      <c r="AP65" s="483"/>
      <c r="AQ65" s="483"/>
      <c r="AR65" s="483"/>
      <c r="AS65" s="483"/>
    </row>
    <row r="66" spans="1:45" ht="12.75">
      <c r="A66" s="483"/>
      <c r="B66" s="483"/>
      <c r="C66" s="483"/>
      <c r="D66" s="483"/>
      <c r="E66" s="483"/>
      <c r="F66" s="483"/>
      <c r="G66" s="483"/>
      <c r="H66" s="483"/>
      <c r="I66" s="483"/>
      <c r="J66" s="483"/>
      <c r="K66" s="483"/>
      <c r="L66" s="483"/>
      <c r="M66" s="483"/>
      <c r="N66" s="483"/>
      <c r="O66" s="483"/>
      <c r="P66" s="357"/>
      <c r="Q66" s="491"/>
      <c r="R66" s="491"/>
      <c r="S66" s="491"/>
      <c r="T66" s="491"/>
      <c r="U66" s="491"/>
      <c r="V66" s="491"/>
      <c r="W66" s="491"/>
      <c r="X66" s="491"/>
      <c r="Y66" s="491"/>
      <c r="Z66" s="491"/>
      <c r="AA66" s="491"/>
      <c r="AB66" s="491"/>
      <c r="AC66" s="491"/>
      <c r="AD66" s="491"/>
      <c r="AE66" s="491"/>
      <c r="AF66" s="357"/>
      <c r="AG66" s="483"/>
      <c r="AH66" s="483"/>
      <c r="AI66" s="483"/>
      <c r="AJ66" s="483"/>
      <c r="AK66" s="483"/>
      <c r="AL66" s="483"/>
      <c r="AM66" s="483"/>
      <c r="AN66" s="483"/>
      <c r="AO66" s="483"/>
      <c r="AP66" s="483"/>
      <c r="AQ66" s="483"/>
      <c r="AR66" s="483"/>
      <c r="AS66" s="483"/>
    </row>
    <row r="67" spans="1:45" ht="12.75">
      <c r="A67" s="483"/>
      <c r="B67" s="483"/>
      <c r="C67" s="483"/>
      <c r="D67" s="483"/>
      <c r="E67" s="483"/>
      <c r="F67" s="483"/>
      <c r="G67" s="483"/>
      <c r="H67" s="483"/>
      <c r="I67" s="483"/>
      <c r="J67" s="483"/>
      <c r="K67" s="483"/>
      <c r="L67" s="483"/>
      <c r="M67" s="483"/>
      <c r="N67" s="483"/>
      <c r="O67" s="483"/>
      <c r="P67" s="357"/>
      <c r="Q67" s="491"/>
      <c r="R67" s="491"/>
      <c r="S67" s="491"/>
      <c r="T67" s="491"/>
      <c r="U67" s="491"/>
      <c r="V67" s="491"/>
      <c r="W67" s="491"/>
      <c r="X67" s="491"/>
      <c r="Y67" s="491"/>
      <c r="Z67" s="491"/>
      <c r="AA67" s="491"/>
      <c r="AB67" s="491"/>
      <c r="AC67" s="491"/>
      <c r="AD67" s="491"/>
      <c r="AE67" s="491"/>
      <c r="AF67" s="357"/>
      <c r="AG67" s="483"/>
      <c r="AH67" s="483"/>
      <c r="AI67" s="483"/>
      <c r="AJ67" s="483"/>
      <c r="AK67" s="483"/>
      <c r="AL67" s="483"/>
      <c r="AM67" s="483"/>
      <c r="AN67" s="483"/>
      <c r="AO67" s="483"/>
      <c r="AP67" s="483"/>
      <c r="AQ67" s="483"/>
      <c r="AR67" s="483"/>
      <c r="AS67" s="483"/>
    </row>
    <row r="68" spans="1:45" ht="12.75">
      <c r="A68" s="483"/>
      <c r="B68" s="483"/>
      <c r="C68" s="483"/>
      <c r="D68" s="483"/>
      <c r="E68" s="483"/>
      <c r="F68" s="483"/>
      <c r="G68" s="483"/>
      <c r="H68" s="483"/>
      <c r="I68" s="483"/>
      <c r="J68" s="483"/>
      <c r="K68" s="483"/>
      <c r="L68" s="483"/>
      <c r="M68" s="483"/>
      <c r="N68" s="483"/>
      <c r="O68" s="483"/>
      <c r="P68" s="357"/>
      <c r="Q68" s="491"/>
      <c r="R68" s="491"/>
      <c r="S68" s="491"/>
      <c r="T68" s="491"/>
      <c r="U68" s="491"/>
      <c r="V68" s="491"/>
      <c r="W68" s="491"/>
      <c r="X68" s="491"/>
      <c r="Y68" s="491"/>
      <c r="Z68" s="491"/>
      <c r="AA68" s="491"/>
      <c r="AB68" s="491"/>
      <c r="AC68" s="491"/>
      <c r="AD68" s="491"/>
      <c r="AE68" s="491"/>
      <c r="AF68" s="357"/>
      <c r="AG68" s="483"/>
      <c r="AH68" s="483"/>
      <c r="AI68" s="483"/>
      <c r="AJ68" s="483"/>
      <c r="AK68" s="483"/>
      <c r="AL68" s="483"/>
      <c r="AM68" s="483"/>
      <c r="AN68" s="483"/>
      <c r="AO68" s="483"/>
      <c r="AP68" s="483"/>
      <c r="AQ68" s="483"/>
      <c r="AR68" s="483"/>
      <c r="AS68" s="483"/>
    </row>
    <row r="69" spans="1:45" ht="12.75">
      <c r="A69" s="483"/>
      <c r="B69" s="483"/>
      <c r="C69" s="483"/>
      <c r="D69" s="483"/>
      <c r="E69" s="483"/>
      <c r="F69" s="483"/>
      <c r="G69" s="483"/>
      <c r="H69" s="483"/>
      <c r="I69" s="483"/>
      <c r="J69" s="483"/>
      <c r="K69" s="483"/>
      <c r="L69" s="483"/>
      <c r="M69" s="483"/>
      <c r="N69" s="483"/>
      <c r="O69" s="483"/>
      <c r="P69" s="357"/>
      <c r="Q69" s="491"/>
      <c r="R69" s="535"/>
      <c r="S69" s="491"/>
      <c r="T69" s="491"/>
      <c r="U69" s="491"/>
      <c r="V69" s="491"/>
      <c r="W69" s="491"/>
      <c r="X69" s="491"/>
      <c r="Y69" s="491"/>
      <c r="Z69" s="491"/>
      <c r="AA69" s="491"/>
      <c r="AB69" s="491"/>
      <c r="AC69" s="491"/>
      <c r="AD69" s="491"/>
      <c r="AE69" s="491"/>
      <c r="AF69" s="357"/>
      <c r="AG69" s="483"/>
      <c r="AH69" s="483"/>
      <c r="AI69" s="483"/>
      <c r="AJ69" s="483"/>
      <c r="AK69" s="483"/>
      <c r="AL69" s="483"/>
      <c r="AM69" s="483"/>
      <c r="AN69" s="483"/>
      <c r="AO69" s="483"/>
      <c r="AP69" s="483"/>
      <c r="AQ69" s="483"/>
      <c r="AR69" s="483"/>
      <c r="AS69" s="483"/>
    </row>
    <row r="70" spans="1:45" ht="12.75">
      <c r="A70" s="483"/>
      <c r="B70" s="483"/>
      <c r="C70" s="483"/>
      <c r="D70" s="483"/>
      <c r="E70" s="483"/>
      <c r="F70" s="483"/>
      <c r="G70" s="483"/>
      <c r="H70" s="483"/>
      <c r="I70" s="483"/>
      <c r="J70" s="483"/>
      <c r="K70" s="483"/>
      <c r="L70" s="483"/>
      <c r="M70" s="483"/>
      <c r="N70" s="483"/>
      <c r="O70" s="483"/>
      <c r="P70" s="357"/>
      <c r="Q70" s="491"/>
      <c r="R70" s="491"/>
      <c r="S70" s="491"/>
      <c r="T70" s="491"/>
      <c r="U70" s="491"/>
      <c r="V70" s="491"/>
      <c r="W70" s="491"/>
      <c r="X70" s="491"/>
      <c r="Y70" s="491"/>
      <c r="Z70" s="491"/>
      <c r="AA70" s="491"/>
      <c r="AB70" s="491"/>
      <c r="AC70" s="491"/>
      <c r="AD70" s="491"/>
      <c r="AE70" s="491"/>
      <c r="AF70" s="357"/>
      <c r="AG70" s="483"/>
      <c r="AH70" s="483"/>
      <c r="AI70" s="483"/>
      <c r="AJ70" s="483"/>
      <c r="AK70" s="483"/>
      <c r="AL70" s="483"/>
      <c r="AM70" s="483"/>
      <c r="AN70" s="483"/>
      <c r="AO70" s="483"/>
      <c r="AP70" s="483"/>
      <c r="AQ70" s="483"/>
      <c r="AR70" s="483"/>
      <c r="AS70" s="483"/>
    </row>
    <row r="71" spans="1:45" ht="12.75">
      <c r="A71" s="483"/>
      <c r="B71" s="483"/>
      <c r="C71" s="483"/>
      <c r="D71" s="483"/>
      <c r="E71" s="483"/>
      <c r="F71" s="483"/>
      <c r="G71" s="483"/>
      <c r="H71" s="483"/>
      <c r="I71" s="483"/>
      <c r="J71" s="483"/>
      <c r="K71" s="483"/>
      <c r="L71" s="483"/>
      <c r="M71" s="483"/>
      <c r="N71" s="483"/>
      <c r="O71" s="483"/>
      <c r="P71" s="491"/>
      <c r="Q71" s="491"/>
      <c r="R71" s="491"/>
      <c r="S71" s="491"/>
      <c r="T71" s="491"/>
      <c r="U71" s="491"/>
      <c r="V71" s="491"/>
      <c r="W71" s="491"/>
      <c r="X71" s="491"/>
      <c r="Y71" s="491"/>
      <c r="Z71" s="491"/>
      <c r="AA71" s="491"/>
      <c r="AB71" s="491"/>
      <c r="AC71" s="491"/>
      <c r="AD71" s="491"/>
      <c r="AE71" s="491"/>
      <c r="AF71" s="357"/>
      <c r="AG71" s="483"/>
      <c r="AH71" s="483"/>
      <c r="AI71" s="483"/>
      <c r="AJ71" s="483"/>
      <c r="AK71" s="483"/>
      <c r="AL71" s="483"/>
      <c r="AM71" s="483"/>
      <c r="AN71" s="483"/>
      <c r="AO71" s="483"/>
      <c r="AP71" s="483"/>
      <c r="AQ71" s="483"/>
      <c r="AR71" s="483"/>
      <c r="AS71" s="483"/>
    </row>
    <row r="72" spans="1:45" ht="12.75">
      <c r="A72" s="483"/>
      <c r="B72" s="483"/>
      <c r="C72" s="483"/>
      <c r="D72" s="483"/>
      <c r="E72" s="483"/>
      <c r="F72" s="483"/>
      <c r="G72" s="483"/>
      <c r="H72" s="483"/>
      <c r="I72" s="483"/>
      <c r="J72" s="483"/>
      <c r="K72" s="483"/>
      <c r="L72" s="483"/>
      <c r="M72" s="483"/>
      <c r="N72" s="483"/>
      <c r="O72" s="483"/>
      <c r="P72" s="491"/>
      <c r="Q72" s="491"/>
      <c r="R72" s="491"/>
      <c r="S72" s="491"/>
      <c r="T72" s="491"/>
      <c r="U72" s="491"/>
      <c r="V72" s="491"/>
      <c r="W72" s="491"/>
      <c r="X72" s="491"/>
      <c r="Y72" s="491"/>
      <c r="Z72" s="491"/>
      <c r="AA72" s="491"/>
      <c r="AB72" s="491"/>
      <c r="AC72" s="491"/>
      <c r="AD72" s="491"/>
      <c r="AE72" s="491"/>
      <c r="AF72" s="357"/>
      <c r="AG72" s="483"/>
      <c r="AH72" s="483"/>
      <c r="AI72" s="483"/>
      <c r="AJ72" s="483"/>
      <c r="AK72" s="483"/>
      <c r="AL72" s="483"/>
      <c r="AM72" s="483"/>
      <c r="AN72" s="483"/>
      <c r="AO72" s="483"/>
      <c r="AP72" s="483"/>
      <c r="AQ72" s="483"/>
      <c r="AR72" s="483"/>
      <c r="AS72" s="483"/>
    </row>
    <row r="73" spans="1:45" ht="12.75">
      <c r="A73" s="483"/>
      <c r="B73" s="483"/>
      <c r="C73" s="483"/>
      <c r="D73" s="483"/>
      <c r="E73" s="483"/>
      <c r="F73" s="483"/>
      <c r="G73" s="483"/>
      <c r="H73" s="483"/>
      <c r="I73" s="483"/>
      <c r="J73" s="483"/>
      <c r="K73" s="483"/>
      <c r="L73" s="483"/>
      <c r="M73" s="483"/>
      <c r="N73" s="483"/>
      <c r="O73" s="483"/>
      <c r="P73" s="491"/>
      <c r="Q73" s="491"/>
      <c r="R73" s="491"/>
      <c r="S73" s="491"/>
      <c r="T73" s="491"/>
      <c r="U73" s="491"/>
      <c r="V73" s="491"/>
      <c r="W73" s="491"/>
      <c r="X73" s="491"/>
      <c r="Y73" s="491"/>
      <c r="Z73" s="491"/>
      <c r="AA73" s="491"/>
      <c r="AB73" s="491"/>
      <c r="AC73" s="491"/>
      <c r="AD73" s="491"/>
      <c r="AE73" s="491"/>
      <c r="AF73" s="357"/>
      <c r="AG73" s="483"/>
      <c r="AH73" s="483"/>
      <c r="AI73" s="483"/>
      <c r="AJ73" s="483"/>
      <c r="AK73" s="483"/>
      <c r="AL73" s="483"/>
      <c r="AM73" s="483"/>
      <c r="AN73" s="483"/>
      <c r="AO73" s="483"/>
      <c r="AP73" s="483"/>
      <c r="AQ73" s="483"/>
      <c r="AR73" s="483"/>
      <c r="AS73" s="483"/>
    </row>
    <row r="74" spans="1:45" ht="12.75">
      <c r="A74" s="483"/>
      <c r="B74" s="483"/>
      <c r="C74" s="483"/>
      <c r="D74" s="483"/>
      <c r="E74" s="483"/>
      <c r="F74" s="483"/>
      <c r="G74" s="483"/>
      <c r="H74" s="483"/>
      <c r="I74" s="483"/>
      <c r="J74" s="483"/>
      <c r="K74" s="483"/>
      <c r="L74" s="483"/>
      <c r="M74" s="483"/>
      <c r="N74" s="483"/>
      <c r="O74" s="483"/>
      <c r="P74" s="491"/>
      <c r="Q74" s="491"/>
      <c r="R74" s="491"/>
      <c r="S74" s="491"/>
      <c r="T74" s="491"/>
      <c r="U74" s="491"/>
      <c r="V74" s="491"/>
      <c r="W74" s="491"/>
      <c r="X74" s="491"/>
      <c r="Y74" s="491"/>
      <c r="Z74" s="491"/>
      <c r="AA74" s="491"/>
      <c r="AB74" s="491"/>
      <c r="AC74" s="491"/>
      <c r="AD74" s="491"/>
      <c r="AE74" s="491"/>
      <c r="AF74" s="357"/>
      <c r="AG74" s="483"/>
      <c r="AH74" s="483"/>
      <c r="AI74" s="483"/>
      <c r="AJ74" s="483"/>
      <c r="AK74" s="483"/>
      <c r="AL74" s="483"/>
      <c r="AM74" s="483"/>
      <c r="AN74" s="483"/>
      <c r="AO74" s="483"/>
      <c r="AP74" s="483"/>
      <c r="AQ74" s="483"/>
      <c r="AR74" s="483"/>
      <c r="AS74" s="483"/>
    </row>
    <row r="75" spans="1:45" ht="12.75">
      <c r="A75" s="483"/>
      <c r="B75" s="483"/>
      <c r="C75" s="483"/>
      <c r="D75" s="483"/>
      <c r="E75" s="483"/>
      <c r="F75" s="483"/>
      <c r="G75" s="483"/>
      <c r="H75" s="483"/>
      <c r="I75" s="483"/>
      <c r="J75" s="483"/>
      <c r="K75" s="483"/>
      <c r="L75" s="483"/>
      <c r="M75" s="483"/>
      <c r="N75" s="483"/>
      <c r="O75" s="483"/>
      <c r="P75" s="491"/>
      <c r="Q75" s="491"/>
      <c r="R75" s="491"/>
      <c r="S75" s="491"/>
      <c r="T75" s="491"/>
      <c r="U75" s="491"/>
      <c r="V75" s="491"/>
      <c r="W75" s="491"/>
      <c r="X75" s="491"/>
      <c r="Y75" s="491"/>
      <c r="Z75" s="491"/>
      <c r="AA75" s="491"/>
      <c r="AB75" s="491"/>
      <c r="AC75" s="491"/>
      <c r="AD75" s="491"/>
      <c r="AE75" s="491"/>
      <c r="AF75" s="357"/>
      <c r="AG75" s="483"/>
      <c r="AH75" s="483"/>
      <c r="AI75" s="483"/>
      <c r="AJ75" s="483"/>
      <c r="AK75" s="483"/>
      <c r="AL75" s="483"/>
      <c r="AM75" s="483"/>
      <c r="AN75" s="483"/>
      <c r="AO75" s="483"/>
      <c r="AP75" s="483"/>
      <c r="AQ75" s="483"/>
      <c r="AR75" s="483"/>
      <c r="AS75" s="483"/>
    </row>
    <row r="76" spans="1:45" ht="12.75">
      <c r="A76" s="483"/>
      <c r="B76" s="483"/>
      <c r="C76" s="483"/>
      <c r="D76" s="483"/>
      <c r="E76" s="483"/>
      <c r="F76" s="483"/>
      <c r="G76" s="483"/>
      <c r="H76" s="483"/>
      <c r="I76" s="483"/>
      <c r="J76" s="483"/>
      <c r="K76" s="483"/>
      <c r="L76" s="483"/>
      <c r="M76" s="483"/>
      <c r="N76" s="483"/>
      <c r="O76" s="483"/>
      <c r="P76" s="491"/>
      <c r="Q76" s="483"/>
      <c r="R76" s="483"/>
      <c r="S76" s="483"/>
      <c r="T76" s="483"/>
      <c r="U76" s="483"/>
      <c r="V76" s="491"/>
      <c r="W76" s="491"/>
      <c r="X76" s="491"/>
      <c r="Y76" s="491"/>
      <c r="Z76" s="491"/>
      <c r="AA76" s="491"/>
      <c r="AB76" s="491"/>
      <c r="AC76" s="491"/>
      <c r="AD76" s="491"/>
      <c r="AE76" s="491"/>
      <c r="AF76" s="357"/>
      <c r="AG76" s="483"/>
      <c r="AH76" s="483"/>
      <c r="AI76" s="483"/>
      <c r="AJ76" s="483"/>
      <c r="AK76" s="483"/>
      <c r="AL76" s="483"/>
      <c r="AM76" s="483"/>
      <c r="AN76" s="483"/>
      <c r="AO76" s="483"/>
      <c r="AP76" s="483"/>
      <c r="AQ76" s="483"/>
      <c r="AR76" s="483"/>
      <c r="AS76" s="483"/>
    </row>
    <row r="77" spans="1:45" ht="12.75">
      <c r="A77" s="483"/>
      <c r="B77" s="483"/>
      <c r="C77" s="483"/>
      <c r="D77" s="483"/>
      <c r="E77" s="483"/>
      <c r="F77" s="483"/>
      <c r="G77" s="483"/>
      <c r="H77" s="483"/>
      <c r="I77" s="483"/>
      <c r="J77" s="483"/>
      <c r="K77" s="483"/>
      <c r="L77" s="483"/>
      <c r="M77" s="483"/>
      <c r="N77" s="483"/>
      <c r="O77" s="483"/>
      <c r="P77" s="491"/>
      <c r="Q77" s="483"/>
      <c r="R77" s="483"/>
      <c r="S77" s="483"/>
      <c r="T77" s="483"/>
      <c r="U77" s="483"/>
      <c r="V77" s="491"/>
      <c r="W77" s="491"/>
      <c r="X77" s="491"/>
      <c r="Y77" s="491"/>
      <c r="Z77" s="491"/>
      <c r="AA77" s="491"/>
      <c r="AB77" s="491"/>
      <c r="AC77" s="491"/>
      <c r="AD77" s="491"/>
      <c r="AE77" s="491"/>
      <c r="AF77" s="357"/>
      <c r="AG77" s="483"/>
      <c r="AH77" s="483"/>
      <c r="AI77" s="483"/>
      <c r="AJ77" s="483"/>
      <c r="AK77" s="483"/>
      <c r="AL77" s="483"/>
      <c r="AM77" s="483"/>
      <c r="AN77" s="483"/>
      <c r="AO77" s="483"/>
      <c r="AP77" s="483"/>
      <c r="AQ77" s="483"/>
      <c r="AR77" s="483"/>
      <c r="AS77" s="483"/>
    </row>
    <row r="78" spans="1:45" ht="12.75">
      <c r="A78" s="483"/>
      <c r="B78" s="483"/>
      <c r="C78" s="483"/>
      <c r="D78" s="483"/>
      <c r="E78" s="483"/>
      <c r="F78" s="483"/>
      <c r="G78" s="483"/>
      <c r="H78" s="483"/>
      <c r="I78" s="483"/>
      <c r="J78" s="483"/>
      <c r="K78" s="483"/>
      <c r="L78" s="483"/>
      <c r="M78" s="483"/>
      <c r="N78" s="483"/>
      <c r="O78" s="483"/>
      <c r="P78" s="483"/>
      <c r="Q78" s="483"/>
      <c r="R78" s="483"/>
      <c r="S78" s="483"/>
      <c r="T78" s="483"/>
      <c r="U78" s="483"/>
      <c r="V78" s="491"/>
      <c r="W78" s="491"/>
      <c r="X78" s="491"/>
      <c r="Y78" s="491"/>
      <c r="Z78" s="491"/>
      <c r="AA78" s="491"/>
      <c r="AB78" s="491"/>
      <c r="AC78" s="491"/>
      <c r="AD78" s="491"/>
      <c r="AE78" s="491"/>
      <c r="AF78" s="357"/>
      <c r="AG78" s="483"/>
      <c r="AH78" s="483"/>
      <c r="AI78" s="483"/>
      <c r="AJ78" s="483"/>
      <c r="AK78" s="483"/>
      <c r="AL78" s="483"/>
      <c r="AM78" s="483"/>
      <c r="AN78" s="483"/>
      <c r="AO78" s="483"/>
      <c r="AP78" s="483"/>
      <c r="AQ78" s="483"/>
      <c r="AR78" s="483"/>
      <c r="AS78" s="483"/>
    </row>
    <row r="79" spans="1:45" ht="12.75">
      <c r="A79" s="483"/>
      <c r="B79" s="483"/>
      <c r="C79" s="483"/>
      <c r="D79" s="483"/>
      <c r="E79" s="483"/>
      <c r="F79" s="483"/>
      <c r="G79" s="483"/>
      <c r="H79" s="483"/>
      <c r="I79" s="483"/>
      <c r="J79" s="483"/>
      <c r="K79" s="483"/>
      <c r="L79" s="483"/>
      <c r="M79" s="483"/>
      <c r="N79" s="483"/>
      <c r="O79" s="483"/>
      <c r="P79" s="483"/>
      <c r="Q79" s="483"/>
      <c r="R79" s="483"/>
      <c r="S79" s="483"/>
      <c r="T79" s="483"/>
      <c r="U79" s="483"/>
      <c r="V79" s="483"/>
      <c r="W79" s="483"/>
      <c r="X79" s="483"/>
      <c r="Y79" s="483"/>
      <c r="Z79" s="483"/>
      <c r="AA79" s="483"/>
      <c r="AB79" s="483"/>
      <c r="AC79" s="483"/>
      <c r="AD79" s="483"/>
      <c r="AE79" s="483"/>
      <c r="AF79" s="357"/>
      <c r="AG79" s="483"/>
      <c r="AH79" s="483"/>
      <c r="AI79" s="483"/>
      <c r="AJ79" s="483"/>
      <c r="AK79" s="483"/>
      <c r="AL79" s="483"/>
      <c r="AM79" s="483"/>
      <c r="AN79" s="483"/>
      <c r="AO79" s="483"/>
      <c r="AP79" s="483"/>
      <c r="AQ79" s="483"/>
      <c r="AR79" s="483"/>
      <c r="AS79" s="483"/>
    </row>
    <row r="80" spans="1:45" ht="12.75">
      <c r="A80" s="483"/>
      <c r="B80" s="483"/>
      <c r="C80" s="483"/>
      <c r="D80" s="483"/>
      <c r="E80" s="483"/>
      <c r="F80" s="483"/>
      <c r="G80" s="483"/>
      <c r="H80" s="483"/>
      <c r="I80" s="483"/>
      <c r="J80" s="483"/>
      <c r="K80" s="483"/>
      <c r="L80" s="483"/>
      <c r="M80" s="483"/>
      <c r="N80" s="483"/>
      <c r="O80" s="483"/>
      <c r="P80" s="483"/>
      <c r="Q80" s="483"/>
      <c r="R80" s="483"/>
      <c r="S80" s="483"/>
      <c r="T80" s="483"/>
      <c r="U80" s="483"/>
      <c r="V80" s="483"/>
      <c r="W80" s="483"/>
      <c r="X80" s="483"/>
      <c r="Y80" s="483"/>
      <c r="Z80" s="483"/>
      <c r="AA80" s="483"/>
      <c r="AB80" s="483"/>
      <c r="AC80" s="483"/>
      <c r="AD80" s="483"/>
      <c r="AE80" s="483"/>
      <c r="AF80" s="357"/>
      <c r="AG80" s="483"/>
      <c r="AH80" s="483"/>
      <c r="AI80" s="483"/>
      <c r="AJ80" s="483"/>
      <c r="AK80" s="483"/>
      <c r="AL80" s="483"/>
      <c r="AM80" s="483"/>
      <c r="AN80" s="483"/>
      <c r="AO80" s="483"/>
      <c r="AP80" s="483"/>
      <c r="AQ80" s="483"/>
      <c r="AR80" s="483"/>
      <c r="AS80" s="483"/>
    </row>
    <row r="81" spans="1:45" ht="12.75">
      <c r="A81" s="483"/>
      <c r="B81" s="483"/>
      <c r="C81" s="483"/>
      <c r="D81" s="483"/>
      <c r="E81" s="483"/>
      <c r="F81" s="483"/>
      <c r="G81" s="483"/>
      <c r="H81" s="483"/>
      <c r="I81" s="483"/>
      <c r="J81" s="483"/>
      <c r="K81" s="483"/>
      <c r="L81" s="483"/>
      <c r="M81" s="483"/>
      <c r="N81" s="483"/>
      <c r="O81" s="483"/>
      <c r="P81" s="483"/>
      <c r="Q81" s="483"/>
      <c r="R81" s="483"/>
      <c r="S81" s="483"/>
      <c r="T81" s="483"/>
      <c r="U81" s="483"/>
      <c r="V81" s="483"/>
      <c r="W81" s="483"/>
      <c r="X81" s="483"/>
      <c r="Y81" s="483"/>
      <c r="Z81" s="483"/>
      <c r="AA81" s="483"/>
      <c r="AB81" s="483"/>
      <c r="AC81" s="483"/>
      <c r="AD81" s="483"/>
      <c r="AE81" s="483"/>
      <c r="AF81" s="357"/>
      <c r="AG81" s="483"/>
      <c r="AH81" s="483"/>
      <c r="AI81" s="483"/>
      <c r="AJ81" s="483"/>
      <c r="AK81" s="483"/>
      <c r="AL81" s="483"/>
      <c r="AM81" s="483"/>
      <c r="AN81" s="483"/>
      <c r="AO81" s="483"/>
      <c r="AP81" s="483"/>
      <c r="AQ81" s="483"/>
      <c r="AR81" s="483"/>
      <c r="AS81" s="483"/>
    </row>
    <row r="82" spans="1:45" ht="12.75">
      <c r="A82" s="483"/>
      <c r="B82" s="483"/>
      <c r="C82" s="483"/>
      <c r="D82" s="483"/>
      <c r="E82" s="483"/>
      <c r="F82" s="483"/>
      <c r="G82" s="483"/>
      <c r="H82" s="483"/>
      <c r="I82" s="483"/>
      <c r="J82" s="483"/>
      <c r="K82" s="483"/>
      <c r="L82" s="483"/>
      <c r="M82" s="483"/>
      <c r="N82" s="483"/>
      <c r="O82" s="483"/>
      <c r="P82" s="483"/>
      <c r="Q82" s="483"/>
      <c r="R82" s="483"/>
      <c r="S82" s="483"/>
      <c r="T82" s="483"/>
      <c r="U82" s="483"/>
      <c r="V82" s="483"/>
      <c r="W82" s="483"/>
      <c r="X82" s="483"/>
      <c r="Y82" s="483"/>
      <c r="Z82" s="483"/>
      <c r="AA82" s="483"/>
      <c r="AB82" s="483"/>
      <c r="AC82" s="483"/>
      <c r="AD82" s="483"/>
      <c r="AE82" s="483"/>
      <c r="AF82" s="357"/>
      <c r="AG82" s="483"/>
      <c r="AH82" s="483"/>
      <c r="AI82" s="483"/>
      <c r="AJ82" s="483"/>
      <c r="AK82" s="483"/>
      <c r="AL82" s="483"/>
      <c r="AM82" s="483"/>
      <c r="AN82" s="483"/>
      <c r="AO82" s="483"/>
      <c r="AP82" s="483"/>
      <c r="AQ82" s="483"/>
      <c r="AR82" s="483"/>
      <c r="AS82" s="483"/>
    </row>
    <row r="83" spans="1:45" ht="12.75">
      <c r="A83" s="483"/>
      <c r="B83" s="483"/>
      <c r="C83" s="483"/>
      <c r="D83" s="483"/>
      <c r="E83" s="483"/>
      <c r="F83" s="483"/>
      <c r="G83" s="483"/>
      <c r="H83" s="483"/>
      <c r="I83" s="483"/>
      <c r="J83" s="483"/>
      <c r="K83" s="483"/>
      <c r="L83" s="483"/>
      <c r="M83" s="483"/>
      <c r="N83" s="483"/>
      <c r="O83" s="483"/>
      <c r="P83" s="483"/>
      <c r="Q83" s="483"/>
      <c r="R83" s="483"/>
      <c r="S83" s="483"/>
      <c r="T83" s="483"/>
      <c r="U83" s="483"/>
      <c r="V83" s="483"/>
      <c r="W83" s="483"/>
      <c r="X83" s="483"/>
      <c r="Y83" s="483"/>
      <c r="Z83" s="483"/>
      <c r="AA83" s="483"/>
      <c r="AB83" s="483"/>
      <c r="AC83" s="483"/>
      <c r="AD83" s="483"/>
      <c r="AE83" s="483"/>
      <c r="AF83" s="357"/>
      <c r="AG83" s="483"/>
      <c r="AH83" s="483"/>
      <c r="AI83" s="483"/>
      <c r="AJ83" s="483"/>
      <c r="AK83" s="483"/>
      <c r="AL83" s="483"/>
      <c r="AM83" s="483"/>
      <c r="AN83" s="483"/>
      <c r="AO83" s="483"/>
      <c r="AP83" s="483"/>
      <c r="AQ83" s="483"/>
      <c r="AR83" s="483"/>
      <c r="AS83" s="483"/>
    </row>
    <row r="84" spans="1:45" ht="12.75">
      <c r="A84" s="483"/>
      <c r="B84" s="483"/>
      <c r="C84" s="483"/>
      <c r="D84" s="483"/>
      <c r="E84" s="483"/>
      <c r="F84" s="483"/>
      <c r="G84" s="483"/>
      <c r="H84" s="483"/>
      <c r="I84" s="483"/>
      <c r="J84" s="483"/>
      <c r="K84" s="483"/>
      <c r="L84" s="483"/>
      <c r="M84" s="483"/>
      <c r="N84" s="483"/>
      <c r="O84" s="483"/>
      <c r="P84" s="483"/>
      <c r="Q84" s="483"/>
      <c r="R84" s="483"/>
      <c r="S84" s="483"/>
      <c r="T84" s="483"/>
      <c r="U84" s="483"/>
      <c r="V84" s="483"/>
      <c r="W84" s="483"/>
      <c r="X84" s="483"/>
      <c r="Y84" s="483"/>
      <c r="Z84" s="483"/>
      <c r="AA84" s="483"/>
      <c r="AB84" s="483"/>
      <c r="AC84" s="483"/>
      <c r="AD84" s="483"/>
      <c r="AE84" s="483"/>
      <c r="AF84" s="357"/>
      <c r="AG84" s="483"/>
      <c r="AH84" s="483"/>
      <c r="AI84" s="483"/>
      <c r="AJ84" s="483"/>
      <c r="AK84" s="483"/>
      <c r="AL84" s="483"/>
      <c r="AM84" s="483"/>
      <c r="AN84" s="483"/>
      <c r="AO84" s="483"/>
      <c r="AP84" s="483"/>
      <c r="AQ84" s="483"/>
      <c r="AR84" s="483"/>
      <c r="AS84" s="483"/>
    </row>
    <row r="85" spans="1:45" ht="12.75">
      <c r="A85" s="483"/>
      <c r="B85" s="483"/>
      <c r="C85" s="483"/>
      <c r="D85" s="483"/>
      <c r="E85" s="483"/>
      <c r="F85" s="483"/>
      <c r="G85" s="483"/>
      <c r="H85" s="483"/>
      <c r="I85" s="483"/>
      <c r="J85" s="483"/>
      <c r="K85" s="483"/>
      <c r="L85" s="483"/>
      <c r="M85" s="483"/>
      <c r="N85" s="483"/>
      <c r="O85" s="483"/>
      <c r="P85" s="483"/>
      <c r="Q85" s="483"/>
      <c r="R85" s="483"/>
      <c r="S85" s="483"/>
      <c r="T85" s="483"/>
      <c r="U85" s="483"/>
      <c r="V85" s="483"/>
      <c r="W85" s="483"/>
      <c r="X85" s="483"/>
      <c r="Y85" s="483"/>
      <c r="Z85" s="483"/>
      <c r="AA85" s="483"/>
      <c r="AB85" s="483"/>
      <c r="AC85" s="483"/>
      <c r="AD85" s="483"/>
      <c r="AE85" s="483"/>
      <c r="AF85" s="357"/>
      <c r="AG85" s="483"/>
      <c r="AH85" s="483"/>
      <c r="AI85" s="483"/>
      <c r="AJ85" s="483"/>
      <c r="AK85" s="483"/>
      <c r="AL85" s="483"/>
      <c r="AM85" s="483"/>
      <c r="AN85" s="483"/>
      <c r="AO85" s="483"/>
      <c r="AP85" s="483"/>
      <c r="AQ85" s="483"/>
      <c r="AR85" s="483"/>
      <c r="AS85" s="483"/>
    </row>
    <row r="86" spans="1:45" ht="12.75">
      <c r="A86" s="483"/>
      <c r="B86" s="483"/>
      <c r="C86" s="483"/>
      <c r="D86" s="483"/>
      <c r="E86" s="483"/>
      <c r="F86" s="483"/>
      <c r="G86" s="483"/>
      <c r="H86" s="483"/>
      <c r="I86" s="483"/>
      <c r="J86" s="483"/>
      <c r="K86" s="483"/>
      <c r="L86" s="483"/>
      <c r="M86" s="483"/>
      <c r="N86" s="483"/>
      <c r="O86" s="483"/>
      <c r="P86" s="483"/>
      <c r="Q86" s="483"/>
      <c r="R86" s="483"/>
      <c r="S86" s="483"/>
      <c r="T86" s="483"/>
      <c r="U86" s="483"/>
      <c r="V86" s="483"/>
      <c r="W86" s="483"/>
      <c r="X86" s="483"/>
      <c r="Y86" s="483"/>
      <c r="Z86" s="483"/>
      <c r="AA86" s="483"/>
      <c r="AB86" s="483"/>
      <c r="AC86" s="483"/>
      <c r="AD86" s="483"/>
      <c r="AE86" s="483"/>
      <c r="AF86" s="357"/>
      <c r="AG86" s="483"/>
      <c r="AH86" s="483"/>
      <c r="AI86" s="483"/>
      <c r="AJ86" s="483"/>
      <c r="AK86" s="483"/>
      <c r="AL86" s="483"/>
      <c r="AM86" s="483"/>
      <c r="AN86" s="483"/>
      <c r="AO86" s="483"/>
      <c r="AP86" s="483"/>
      <c r="AQ86" s="483"/>
      <c r="AR86" s="483"/>
      <c r="AS86" s="483"/>
    </row>
    <row r="87" spans="1:45" ht="12.75">
      <c r="A87" s="483"/>
      <c r="B87" s="483"/>
      <c r="C87" s="483"/>
      <c r="D87" s="483"/>
      <c r="E87" s="483"/>
      <c r="F87" s="483"/>
      <c r="G87" s="483"/>
      <c r="H87" s="483"/>
      <c r="I87" s="483"/>
      <c r="J87" s="483"/>
      <c r="K87" s="483"/>
      <c r="L87" s="483"/>
      <c r="M87" s="483"/>
      <c r="N87" s="483"/>
      <c r="O87" s="483"/>
      <c r="P87" s="483"/>
      <c r="Q87" s="483"/>
      <c r="R87" s="483"/>
      <c r="S87" s="483"/>
      <c r="T87" s="483"/>
      <c r="U87" s="483"/>
      <c r="V87" s="483"/>
      <c r="W87" s="483"/>
      <c r="X87" s="483"/>
      <c r="Y87" s="483"/>
      <c r="Z87" s="483"/>
      <c r="AA87" s="483"/>
      <c r="AB87" s="483"/>
      <c r="AC87" s="483"/>
      <c r="AD87" s="483"/>
      <c r="AE87" s="483"/>
      <c r="AF87" s="357"/>
      <c r="AG87" s="483"/>
      <c r="AH87" s="483"/>
      <c r="AI87" s="483"/>
      <c r="AJ87" s="483"/>
      <c r="AK87" s="483"/>
      <c r="AL87" s="483"/>
      <c r="AM87" s="483"/>
      <c r="AN87" s="483"/>
      <c r="AO87" s="483"/>
      <c r="AP87" s="483"/>
      <c r="AQ87" s="483"/>
      <c r="AR87" s="483"/>
      <c r="AS87" s="483"/>
    </row>
    <row r="88" spans="1:45" ht="12.75">
      <c r="A88" s="483"/>
      <c r="B88" s="483"/>
      <c r="C88" s="483"/>
      <c r="D88" s="483"/>
      <c r="E88" s="483"/>
      <c r="F88" s="483"/>
      <c r="G88" s="483"/>
      <c r="H88" s="483"/>
      <c r="I88" s="483"/>
      <c r="J88" s="483"/>
      <c r="K88" s="483"/>
      <c r="L88" s="483"/>
      <c r="M88" s="483"/>
      <c r="N88" s="483"/>
      <c r="O88" s="483"/>
      <c r="P88" s="483"/>
      <c r="Q88" s="483"/>
      <c r="R88" s="483"/>
      <c r="S88" s="483"/>
      <c r="T88" s="483"/>
      <c r="U88" s="483"/>
      <c r="V88" s="483"/>
      <c r="W88" s="483"/>
      <c r="X88" s="483"/>
      <c r="Y88" s="483"/>
      <c r="Z88" s="483"/>
      <c r="AA88" s="483"/>
      <c r="AB88" s="483"/>
      <c r="AC88" s="483"/>
      <c r="AD88" s="483"/>
      <c r="AE88" s="483"/>
      <c r="AF88" s="357"/>
      <c r="AG88" s="483"/>
      <c r="AH88" s="483"/>
      <c r="AI88" s="483"/>
      <c r="AJ88" s="483"/>
      <c r="AK88" s="483"/>
      <c r="AL88" s="483"/>
      <c r="AM88" s="483"/>
      <c r="AN88" s="483"/>
      <c r="AO88" s="483"/>
      <c r="AP88" s="483"/>
      <c r="AQ88" s="483"/>
      <c r="AR88" s="483"/>
      <c r="AS88" s="483"/>
    </row>
    <row r="89" spans="1:45" ht="12.75">
      <c r="A89" s="483"/>
      <c r="B89" s="483"/>
      <c r="C89" s="483"/>
      <c r="D89" s="483"/>
      <c r="E89" s="483"/>
      <c r="F89" s="483"/>
      <c r="G89" s="483"/>
      <c r="H89" s="483"/>
      <c r="I89" s="483"/>
      <c r="J89" s="483"/>
      <c r="K89" s="483"/>
      <c r="L89" s="483"/>
      <c r="M89" s="483"/>
      <c r="N89" s="483"/>
      <c r="O89" s="483"/>
      <c r="P89" s="483"/>
      <c r="Q89" s="483"/>
      <c r="R89" s="483"/>
      <c r="S89" s="483"/>
      <c r="T89" s="483"/>
      <c r="U89" s="483"/>
      <c r="V89" s="483"/>
      <c r="W89" s="483"/>
      <c r="X89" s="483"/>
      <c r="Y89" s="483"/>
      <c r="Z89" s="483"/>
      <c r="AA89" s="483"/>
      <c r="AB89" s="483"/>
      <c r="AC89" s="483"/>
      <c r="AD89" s="483"/>
      <c r="AE89" s="483"/>
      <c r="AF89" s="357"/>
      <c r="AG89" s="483"/>
      <c r="AH89" s="483"/>
      <c r="AI89" s="483"/>
      <c r="AJ89" s="483"/>
      <c r="AK89" s="483"/>
      <c r="AL89" s="483"/>
      <c r="AM89" s="483"/>
      <c r="AN89" s="483"/>
      <c r="AO89" s="483"/>
      <c r="AP89" s="483"/>
      <c r="AQ89" s="483"/>
      <c r="AR89" s="483"/>
      <c r="AS89" s="483"/>
    </row>
    <row r="90" spans="1:45" ht="12.75">
      <c r="A90" s="483"/>
      <c r="B90" s="483"/>
      <c r="C90" s="483"/>
      <c r="D90" s="483"/>
      <c r="E90" s="483"/>
      <c r="F90" s="483"/>
      <c r="G90" s="483"/>
      <c r="H90" s="483"/>
      <c r="I90" s="483"/>
      <c r="J90" s="483"/>
      <c r="K90" s="483"/>
      <c r="L90" s="483"/>
      <c r="M90" s="483"/>
      <c r="N90" s="483"/>
      <c r="O90" s="483"/>
      <c r="P90" s="483"/>
      <c r="Q90" s="483"/>
      <c r="R90" s="483"/>
      <c r="S90" s="483"/>
      <c r="T90" s="483"/>
      <c r="U90" s="483"/>
      <c r="V90" s="483"/>
      <c r="W90" s="483"/>
      <c r="X90" s="483"/>
      <c r="Y90" s="483"/>
      <c r="Z90" s="483"/>
      <c r="AA90" s="483"/>
      <c r="AB90" s="483"/>
      <c r="AC90" s="483"/>
      <c r="AD90" s="483"/>
      <c r="AE90" s="483"/>
      <c r="AF90" s="357"/>
      <c r="AG90" s="483"/>
      <c r="AH90" s="483"/>
      <c r="AI90" s="483"/>
      <c r="AJ90" s="483"/>
      <c r="AK90" s="483"/>
      <c r="AL90" s="483"/>
      <c r="AM90" s="483"/>
      <c r="AN90" s="483"/>
      <c r="AO90" s="483"/>
      <c r="AP90" s="483"/>
      <c r="AQ90" s="483"/>
      <c r="AR90" s="483"/>
      <c r="AS90" s="483"/>
    </row>
    <row r="91" spans="1:45" ht="12.75">
      <c r="A91" s="483"/>
      <c r="B91" s="483"/>
      <c r="C91" s="483"/>
      <c r="D91" s="483"/>
      <c r="E91" s="483"/>
      <c r="F91" s="483"/>
      <c r="G91" s="483"/>
      <c r="H91" s="483"/>
      <c r="I91" s="483"/>
      <c r="J91" s="483"/>
      <c r="K91" s="483"/>
      <c r="L91" s="483"/>
      <c r="M91" s="483"/>
      <c r="N91" s="483"/>
      <c r="O91" s="483"/>
      <c r="P91" s="483"/>
      <c r="Q91" s="483"/>
      <c r="R91" s="483"/>
      <c r="S91" s="483"/>
      <c r="T91" s="483"/>
      <c r="U91" s="483"/>
      <c r="V91" s="483"/>
      <c r="W91" s="483"/>
      <c r="X91" s="483"/>
      <c r="Y91" s="483"/>
      <c r="Z91" s="483"/>
      <c r="AA91" s="483"/>
      <c r="AB91" s="483"/>
      <c r="AC91" s="483"/>
      <c r="AD91" s="483"/>
      <c r="AE91" s="483"/>
      <c r="AF91" s="357"/>
      <c r="AG91" s="483"/>
      <c r="AH91" s="483"/>
      <c r="AI91" s="483"/>
      <c r="AJ91" s="483"/>
      <c r="AK91" s="483"/>
      <c r="AL91" s="483"/>
      <c r="AM91" s="483"/>
      <c r="AN91" s="483"/>
      <c r="AO91" s="483"/>
      <c r="AP91" s="483"/>
      <c r="AQ91" s="483"/>
      <c r="AR91" s="483"/>
      <c r="AS91" s="483"/>
    </row>
    <row r="92" spans="1:45" ht="12.75">
      <c r="A92" s="483"/>
      <c r="B92" s="483"/>
      <c r="C92" s="483"/>
      <c r="D92" s="483"/>
      <c r="E92" s="483"/>
      <c r="F92" s="483"/>
      <c r="G92" s="483"/>
      <c r="H92" s="483"/>
      <c r="I92" s="483"/>
      <c r="J92" s="483"/>
      <c r="K92" s="483"/>
      <c r="L92" s="483"/>
      <c r="M92" s="483"/>
      <c r="N92" s="483"/>
      <c r="O92" s="483"/>
      <c r="P92" s="483"/>
      <c r="Q92" s="483"/>
      <c r="R92" s="483"/>
      <c r="S92" s="483"/>
      <c r="T92" s="483"/>
      <c r="U92" s="483"/>
      <c r="V92" s="483"/>
      <c r="W92" s="483"/>
      <c r="X92" s="483"/>
      <c r="Y92" s="483"/>
      <c r="Z92" s="483"/>
      <c r="AA92" s="483"/>
      <c r="AB92" s="483"/>
      <c r="AC92" s="483"/>
      <c r="AD92" s="483"/>
      <c r="AE92" s="483"/>
      <c r="AF92" s="357"/>
      <c r="AG92" s="483"/>
      <c r="AH92" s="483"/>
      <c r="AI92" s="483"/>
      <c r="AJ92" s="483"/>
      <c r="AK92" s="483"/>
      <c r="AL92" s="483"/>
      <c r="AM92" s="483"/>
      <c r="AN92" s="483"/>
      <c r="AO92" s="483"/>
      <c r="AP92" s="483"/>
      <c r="AQ92" s="483"/>
      <c r="AR92" s="483"/>
      <c r="AS92" s="483"/>
    </row>
    <row r="93" spans="1:45" ht="12.75">
      <c r="A93" s="483"/>
      <c r="B93" s="483"/>
      <c r="C93" s="483"/>
      <c r="D93" s="483"/>
      <c r="E93" s="483"/>
      <c r="F93" s="483"/>
      <c r="G93" s="483"/>
      <c r="H93" s="483"/>
      <c r="I93" s="483"/>
      <c r="J93" s="483"/>
      <c r="K93" s="483"/>
      <c r="L93" s="483"/>
      <c r="M93" s="483"/>
      <c r="N93" s="483"/>
      <c r="O93" s="483"/>
      <c r="P93" s="483"/>
      <c r="Q93" s="483"/>
      <c r="R93" s="483"/>
      <c r="S93" s="483"/>
      <c r="T93" s="483"/>
      <c r="U93" s="483"/>
      <c r="V93" s="483"/>
      <c r="W93" s="483"/>
      <c r="X93" s="483"/>
      <c r="Y93" s="483"/>
      <c r="Z93" s="483"/>
      <c r="AA93" s="483"/>
      <c r="AB93" s="483"/>
      <c r="AC93" s="483"/>
      <c r="AD93" s="483"/>
      <c r="AE93" s="483"/>
      <c r="AF93" s="357"/>
      <c r="AG93" s="483"/>
      <c r="AH93" s="483"/>
      <c r="AI93" s="483"/>
      <c r="AJ93" s="483"/>
      <c r="AK93" s="483"/>
      <c r="AL93" s="483"/>
      <c r="AM93" s="483"/>
      <c r="AN93" s="483"/>
      <c r="AO93" s="483"/>
      <c r="AP93" s="483"/>
      <c r="AQ93" s="483"/>
      <c r="AR93" s="483"/>
      <c r="AS93" s="483"/>
    </row>
    <row r="94" spans="1:45" ht="12.75">
      <c r="A94" s="483"/>
      <c r="B94" s="483"/>
      <c r="C94" s="483"/>
      <c r="D94" s="483"/>
      <c r="E94" s="483"/>
      <c r="F94" s="483"/>
      <c r="G94" s="483"/>
      <c r="H94" s="483"/>
      <c r="I94" s="483"/>
      <c r="J94" s="483"/>
      <c r="K94" s="483"/>
      <c r="L94" s="483"/>
      <c r="M94" s="483"/>
      <c r="N94" s="483"/>
      <c r="O94" s="483"/>
      <c r="P94" s="483"/>
      <c r="Q94" s="483"/>
      <c r="R94" s="483"/>
      <c r="S94" s="483"/>
      <c r="T94" s="483"/>
      <c r="U94" s="483"/>
      <c r="V94" s="483"/>
      <c r="W94" s="483"/>
      <c r="X94" s="483"/>
      <c r="Y94" s="483"/>
      <c r="Z94" s="483"/>
      <c r="AA94" s="483"/>
      <c r="AB94" s="483"/>
      <c r="AC94" s="483"/>
      <c r="AD94" s="483"/>
      <c r="AE94" s="483"/>
      <c r="AF94" s="357"/>
      <c r="AG94" s="483"/>
      <c r="AH94" s="483"/>
      <c r="AI94" s="483"/>
      <c r="AJ94" s="483"/>
      <c r="AK94" s="483"/>
      <c r="AL94" s="483"/>
      <c r="AM94" s="483"/>
      <c r="AN94" s="483"/>
      <c r="AO94" s="483"/>
      <c r="AP94" s="483"/>
      <c r="AQ94" s="483"/>
      <c r="AR94" s="483"/>
      <c r="AS94" s="483"/>
    </row>
    <row r="95" spans="1:45" ht="12.75">
      <c r="A95" s="483"/>
      <c r="B95" s="483"/>
      <c r="C95" s="483"/>
      <c r="D95" s="483"/>
      <c r="E95" s="483"/>
      <c r="F95" s="483"/>
      <c r="G95" s="483"/>
      <c r="H95" s="483"/>
      <c r="I95" s="483"/>
      <c r="J95" s="483"/>
      <c r="K95" s="483"/>
      <c r="L95" s="483"/>
      <c r="M95" s="483"/>
      <c r="N95" s="483"/>
      <c r="O95" s="483"/>
      <c r="P95" s="483"/>
      <c r="Q95" s="483"/>
      <c r="R95" s="483"/>
      <c r="S95" s="483"/>
      <c r="T95" s="483"/>
      <c r="U95" s="483"/>
      <c r="V95" s="483"/>
      <c r="W95" s="483"/>
      <c r="X95" s="483"/>
      <c r="Y95" s="483"/>
      <c r="Z95" s="483"/>
      <c r="AA95" s="483"/>
      <c r="AB95" s="483"/>
      <c r="AC95" s="483"/>
      <c r="AD95" s="483"/>
      <c r="AE95" s="483"/>
      <c r="AF95" s="357"/>
      <c r="AG95" s="483"/>
      <c r="AH95" s="483"/>
      <c r="AI95" s="483"/>
      <c r="AJ95" s="483"/>
      <c r="AK95" s="483"/>
      <c r="AL95" s="483"/>
      <c r="AM95" s="483"/>
      <c r="AN95" s="483"/>
      <c r="AO95" s="483"/>
      <c r="AP95" s="483"/>
      <c r="AQ95" s="483"/>
      <c r="AR95" s="483"/>
      <c r="AS95" s="483"/>
    </row>
    <row r="96" spans="1:45" ht="12.75">
      <c r="A96" s="483"/>
      <c r="B96" s="483"/>
      <c r="C96" s="483"/>
      <c r="D96" s="483"/>
      <c r="E96" s="483"/>
      <c r="F96" s="483"/>
      <c r="G96" s="483"/>
      <c r="H96" s="483"/>
      <c r="I96" s="483"/>
      <c r="J96" s="483"/>
      <c r="K96" s="483"/>
      <c r="L96" s="483"/>
      <c r="M96" s="483"/>
      <c r="N96" s="483"/>
      <c r="O96" s="483"/>
      <c r="P96" s="483"/>
      <c r="Q96" s="483"/>
      <c r="R96" s="483"/>
      <c r="S96" s="483"/>
      <c r="T96" s="483"/>
      <c r="U96" s="483"/>
      <c r="V96" s="483"/>
      <c r="W96" s="483"/>
      <c r="X96" s="483"/>
      <c r="Y96" s="483"/>
      <c r="Z96" s="483"/>
      <c r="AA96" s="483"/>
      <c r="AB96" s="483"/>
      <c r="AC96" s="483"/>
      <c r="AD96" s="483"/>
      <c r="AE96" s="483"/>
      <c r="AF96" s="357"/>
      <c r="AG96" s="483"/>
      <c r="AH96" s="483"/>
      <c r="AI96" s="483"/>
      <c r="AJ96" s="483"/>
      <c r="AK96" s="483"/>
      <c r="AL96" s="483"/>
      <c r="AM96" s="483"/>
      <c r="AN96" s="483"/>
      <c r="AO96" s="483"/>
      <c r="AP96" s="483"/>
      <c r="AQ96" s="483"/>
      <c r="AR96" s="483"/>
      <c r="AS96" s="483"/>
    </row>
    <row r="97" spans="1:45" ht="12.75">
      <c r="A97" s="483"/>
      <c r="B97" s="483"/>
      <c r="C97" s="483"/>
      <c r="D97" s="483"/>
      <c r="E97" s="483"/>
      <c r="F97" s="483"/>
      <c r="G97" s="483"/>
      <c r="H97" s="483"/>
      <c r="I97" s="483"/>
      <c r="J97" s="483"/>
      <c r="K97" s="483"/>
      <c r="L97" s="483"/>
      <c r="M97" s="483"/>
      <c r="N97" s="483"/>
      <c r="O97" s="483"/>
      <c r="P97" s="483"/>
      <c r="Q97" s="483"/>
      <c r="R97" s="483"/>
      <c r="S97" s="483"/>
      <c r="T97" s="483"/>
      <c r="U97" s="483"/>
      <c r="V97" s="483"/>
      <c r="W97" s="483"/>
      <c r="X97" s="483"/>
      <c r="Y97" s="483"/>
      <c r="Z97" s="483"/>
      <c r="AA97" s="483"/>
      <c r="AB97" s="483"/>
      <c r="AC97" s="483"/>
      <c r="AD97" s="483"/>
      <c r="AE97" s="483"/>
      <c r="AF97" s="357"/>
      <c r="AG97" s="483"/>
      <c r="AH97" s="483"/>
      <c r="AI97" s="483"/>
      <c r="AJ97" s="483"/>
      <c r="AK97" s="483"/>
      <c r="AL97" s="483"/>
      <c r="AM97" s="483"/>
      <c r="AN97" s="483"/>
      <c r="AO97" s="483"/>
      <c r="AP97" s="483"/>
      <c r="AQ97" s="483"/>
      <c r="AR97" s="483"/>
      <c r="AS97" s="483"/>
    </row>
    <row r="98" spans="1:45" ht="12.75">
      <c r="A98" s="483"/>
      <c r="B98" s="483"/>
      <c r="C98" s="483"/>
      <c r="D98" s="483"/>
      <c r="E98" s="483"/>
      <c r="F98" s="483"/>
      <c r="G98" s="483"/>
      <c r="H98" s="483"/>
      <c r="I98" s="483"/>
      <c r="J98" s="483"/>
      <c r="K98" s="483"/>
      <c r="L98" s="483"/>
      <c r="M98" s="483"/>
      <c r="N98" s="483"/>
      <c r="O98" s="483"/>
      <c r="P98" s="483"/>
      <c r="Q98" s="483"/>
      <c r="R98" s="483"/>
      <c r="S98" s="483"/>
      <c r="T98" s="483"/>
      <c r="U98" s="483"/>
      <c r="V98" s="483"/>
      <c r="W98" s="483"/>
      <c r="X98" s="483"/>
      <c r="Y98" s="483"/>
      <c r="Z98" s="483"/>
      <c r="AA98" s="483"/>
      <c r="AB98" s="483"/>
      <c r="AC98" s="483"/>
      <c r="AD98" s="483"/>
      <c r="AE98" s="483"/>
      <c r="AF98" s="357"/>
      <c r="AG98" s="483"/>
      <c r="AH98" s="483"/>
      <c r="AI98" s="483"/>
      <c r="AJ98" s="483"/>
      <c r="AK98" s="483"/>
      <c r="AL98" s="483"/>
      <c r="AM98" s="483"/>
      <c r="AN98" s="483"/>
      <c r="AO98" s="483"/>
      <c r="AP98" s="483"/>
      <c r="AQ98" s="483"/>
      <c r="AR98" s="483"/>
      <c r="AS98" s="483"/>
    </row>
    <row r="99" spans="1:45" ht="12.75">
      <c r="A99" s="483"/>
      <c r="B99" s="483"/>
      <c r="C99" s="483"/>
      <c r="D99" s="483"/>
      <c r="E99" s="483"/>
      <c r="F99" s="483"/>
      <c r="G99" s="483"/>
      <c r="H99" s="483"/>
      <c r="I99" s="483"/>
      <c r="J99" s="483"/>
      <c r="K99" s="483"/>
      <c r="L99" s="483"/>
      <c r="M99" s="483"/>
      <c r="N99" s="483"/>
      <c r="O99" s="483"/>
      <c r="P99" s="483"/>
      <c r="Q99" s="483"/>
      <c r="R99" s="483"/>
      <c r="S99" s="483"/>
      <c r="T99" s="483"/>
      <c r="U99" s="483"/>
      <c r="V99" s="483"/>
      <c r="W99" s="483"/>
      <c r="X99" s="483"/>
      <c r="Y99" s="483"/>
      <c r="Z99" s="483"/>
      <c r="AA99" s="483"/>
      <c r="AB99" s="483"/>
      <c r="AC99" s="483"/>
      <c r="AD99" s="483"/>
      <c r="AE99" s="483"/>
      <c r="AF99" s="357"/>
      <c r="AG99" s="483"/>
      <c r="AH99" s="483"/>
      <c r="AI99" s="483"/>
      <c r="AJ99" s="483"/>
      <c r="AK99" s="483"/>
      <c r="AL99" s="483"/>
      <c r="AM99" s="483"/>
      <c r="AN99" s="483"/>
      <c r="AO99" s="483"/>
      <c r="AP99" s="483"/>
      <c r="AQ99" s="483"/>
      <c r="AR99" s="483"/>
      <c r="AS99" s="483"/>
    </row>
    <row r="100" spans="1:45" ht="12.75">
      <c r="A100" s="483"/>
      <c r="B100" s="483"/>
      <c r="C100" s="483"/>
      <c r="D100" s="483"/>
      <c r="E100" s="483"/>
      <c r="F100" s="483"/>
      <c r="G100" s="483"/>
      <c r="H100" s="483"/>
      <c r="I100" s="483"/>
      <c r="J100" s="483"/>
      <c r="K100" s="483"/>
      <c r="L100" s="483"/>
      <c r="M100" s="483"/>
      <c r="N100" s="483"/>
      <c r="O100" s="483"/>
      <c r="P100" s="483"/>
      <c r="Q100" s="483"/>
      <c r="R100" s="483"/>
      <c r="S100" s="483"/>
      <c r="T100" s="483"/>
      <c r="U100" s="483"/>
      <c r="V100" s="483"/>
      <c r="W100" s="483"/>
      <c r="X100" s="483"/>
      <c r="Y100" s="483"/>
      <c r="Z100" s="483"/>
      <c r="AA100" s="483"/>
      <c r="AB100" s="483"/>
      <c r="AC100" s="483"/>
      <c r="AD100" s="483"/>
      <c r="AE100" s="483"/>
      <c r="AF100" s="357"/>
      <c r="AG100" s="483"/>
      <c r="AH100" s="483"/>
      <c r="AI100" s="483"/>
      <c r="AJ100" s="483"/>
      <c r="AK100" s="483"/>
      <c r="AL100" s="483"/>
      <c r="AM100" s="483"/>
      <c r="AN100" s="483"/>
      <c r="AO100" s="483"/>
      <c r="AP100" s="483"/>
      <c r="AQ100" s="483"/>
      <c r="AR100" s="483"/>
      <c r="AS100" s="483"/>
    </row>
    <row r="101" spans="1:45" ht="12.75">
      <c r="A101" s="483"/>
      <c r="B101" s="483"/>
      <c r="C101" s="483"/>
      <c r="D101" s="483"/>
      <c r="E101" s="483"/>
      <c r="F101" s="483"/>
      <c r="G101" s="483"/>
      <c r="H101" s="483"/>
      <c r="I101" s="483"/>
      <c r="J101" s="483"/>
      <c r="K101" s="483"/>
      <c r="L101" s="483"/>
      <c r="M101" s="483"/>
      <c r="N101" s="483"/>
      <c r="O101" s="483"/>
      <c r="P101" s="483"/>
      <c r="Q101" s="483"/>
      <c r="R101" s="483"/>
      <c r="S101" s="483"/>
      <c r="T101" s="483"/>
      <c r="U101" s="483"/>
      <c r="V101" s="483"/>
      <c r="W101" s="483"/>
      <c r="X101" s="483"/>
      <c r="Y101" s="483"/>
      <c r="Z101" s="483"/>
      <c r="AA101" s="483"/>
      <c r="AB101" s="483"/>
      <c r="AC101" s="483"/>
      <c r="AD101" s="483"/>
      <c r="AE101" s="483"/>
      <c r="AF101" s="357"/>
      <c r="AG101" s="483"/>
      <c r="AH101" s="483"/>
      <c r="AI101" s="483"/>
      <c r="AJ101" s="483"/>
      <c r="AK101" s="483"/>
      <c r="AL101" s="483"/>
      <c r="AM101" s="483"/>
      <c r="AN101" s="483"/>
      <c r="AO101" s="483"/>
      <c r="AP101" s="483"/>
      <c r="AQ101" s="483"/>
      <c r="AR101" s="483"/>
      <c r="AS101" s="483"/>
    </row>
    <row r="102" spans="1:45" ht="12.75">
      <c r="A102" s="483"/>
      <c r="B102" s="483"/>
      <c r="C102" s="483"/>
      <c r="D102" s="483"/>
      <c r="E102" s="483"/>
      <c r="F102" s="483"/>
      <c r="G102" s="483"/>
      <c r="H102" s="483"/>
      <c r="I102" s="483"/>
      <c r="J102" s="483"/>
      <c r="K102" s="483"/>
      <c r="L102" s="483"/>
      <c r="M102" s="483"/>
      <c r="N102" s="483"/>
      <c r="O102" s="483"/>
      <c r="P102" s="483"/>
      <c r="Q102" s="483"/>
      <c r="R102" s="483"/>
      <c r="S102" s="483"/>
      <c r="T102" s="483"/>
      <c r="U102" s="483"/>
      <c r="V102" s="483"/>
      <c r="W102" s="483"/>
      <c r="X102" s="483"/>
      <c r="Y102" s="483"/>
      <c r="Z102" s="483"/>
      <c r="AA102" s="483"/>
      <c r="AB102" s="483"/>
      <c r="AC102" s="483"/>
      <c r="AD102" s="483"/>
      <c r="AE102" s="483"/>
      <c r="AF102" s="357"/>
      <c r="AG102" s="483"/>
      <c r="AH102" s="483"/>
      <c r="AI102" s="483"/>
      <c r="AJ102" s="483"/>
      <c r="AK102" s="483"/>
      <c r="AL102" s="483"/>
      <c r="AM102" s="483"/>
      <c r="AN102" s="483"/>
      <c r="AO102" s="483"/>
      <c r="AP102" s="483"/>
      <c r="AQ102" s="483"/>
      <c r="AR102" s="483"/>
      <c r="AS102" s="483"/>
    </row>
    <row r="103" spans="1:45" ht="12.75">
      <c r="A103" s="483"/>
      <c r="B103" s="483"/>
      <c r="C103" s="483"/>
      <c r="D103" s="483"/>
      <c r="E103" s="483"/>
      <c r="F103" s="483"/>
      <c r="G103" s="483"/>
      <c r="H103" s="483"/>
      <c r="I103" s="483"/>
      <c r="J103" s="483"/>
      <c r="K103" s="483"/>
      <c r="L103" s="483"/>
      <c r="M103" s="483"/>
      <c r="N103" s="483"/>
      <c r="O103" s="483"/>
      <c r="P103" s="483"/>
      <c r="Q103" s="483"/>
      <c r="R103" s="483"/>
      <c r="S103" s="483"/>
      <c r="T103" s="483"/>
      <c r="U103" s="483"/>
      <c r="V103" s="483"/>
      <c r="W103" s="483"/>
      <c r="X103" s="483"/>
      <c r="Y103" s="483"/>
      <c r="Z103" s="483"/>
      <c r="AA103" s="483"/>
      <c r="AB103" s="483"/>
      <c r="AC103" s="483"/>
      <c r="AD103" s="483"/>
      <c r="AE103" s="483"/>
      <c r="AF103" s="357"/>
      <c r="AG103" s="483"/>
      <c r="AH103" s="483"/>
      <c r="AI103" s="483"/>
      <c r="AJ103" s="483"/>
      <c r="AK103" s="483"/>
      <c r="AL103" s="483"/>
      <c r="AM103" s="483"/>
      <c r="AN103" s="483"/>
      <c r="AO103" s="483"/>
      <c r="AP103" s="483"/>
      <c r="AQ103" s="483"/>
      <c r="AR103" s="483"/>
      <c r="AS103" s="483"/>
    </row>
    <row r="104" spans="1:45" ht="12.75">
      <c r="A104" s="483"/>
      <c r="B104" s="483"/>
      <c r="C104" s="483"/>
      <c r="D104" s="483"/>
      <c r="E104" s="483"/>
      <c r="F104" s="483"/>
      <c r="G104" s="483"/>
      <c r="H104" s="483"/>
      <c r="I104" s="483"/>
      <c r="J104" s="483"/>
      <c r="K104" s="483"/>
      <c r="L104" s="483"/>
      <c r="M104" s="483"/>
      <c r="N104" s="483"/>
      <c r="O104" s="483"/>
      <c r="P104" s="483"/>
      <c r="Q104" s="483"/>
      <c r="R104" s="483"/>
      <c r="S104" s="483"/>
      <c r="T104" s="483"/>
      <c r="U104" s="483"/>
      <c r="V104" s="483"/>
      <c r="W104" s="483"/>
      <c r="X104" s="483"/>
      <c r="Y104" s="483"/>
      <c r="Z104" s="483"/>
      <c r="AA104" s="483"/>
      <c r="AB104" s="483"/>
      <c r="AC104" s="483"/>
      <c r="AD104" s="483"/>
      <c r="AE104" s="483"/>
      <c r="AF104" s="357"/>
      <c r="AG104" s="483"/>
      <c r="AH104" s="483"/>
      <c r="AI104" s="483"/>
      <c r="AJ104" s="483"/>
      <c r="AK104" s="483"/>
      <c r="AL104" s="483"/>
      <c r="AM104" s="483"/>
      <c r="AN104" s="483"/>
      <c r="AO104" s="483"/>
      <c r="AP104" s="483"/>
      <c r="AQ104" s="483"/>
      <c r="AR104" s="483"/>
      <c r="AS104" s="483"/>
    </row>
    <row r="105" spans="1:45" ht="12.75">
      <c r="A105" s="483"/>
      <c r="B105" s="483"/>
      <c r="C105" s="483"/>
      <c r="D105" s="483"/>
      <c r="E105" s="483"/>
      <c r="F105" s="483"/>
      <c r="G105" s="483"/>
      <c r="H105" s="483"/>
      <c r="I105" s="483"/>
      <c r="J105" s="483"/>
      <c r="K105" s="483"/>
      <c r="L105" s="483"/>
      <c r="M105" s="483"/>
      <c r="N105" s="483"/>
      <c r="O105" s="483"/>
      <c r="P105" s="483"/>
      <c r="Q105" s="483"/>
      <c r="R105" s="483"/>
      <c r="S105" s="483"/>
      <c r="T105" s="483"/>
      <c r="U105" s="483"/>
      <c r="V105" s="483"/>
      <c r="W105" s="483"/>
      <c r="X105" s="483"/>
      <c r="Y105" s="483"/>
      <c r="Z105" s="483"/>
      <c r="AA105" s="483"/>
      <c r="AB105" s="483"/>
      <c r="AC105" s="483"/>
      <c r="AD105" s="483"/>
      <c r="AE105" s="483"/>
      <c r="AF105" s="357"/>
      <c r="AG105" s="483"/>
      <c r="AH105" s="483"/>
      <c r="AI105" s="483"/>
      <c r="AJ105" s="483"/>
      <c r="AK105" s="483"/>
      <c r="AL105" s="483"/>
      <c r="AM105" s="483"/>
      <c r="AN105" s="483"/>
      <c r="AO105" s="483"/>
      <c r="AP105" s="483"/>
      <c r="AQ105" s="483"/>
      <c r="AR105" s="483"/>
      <c r="AS105" s="483"/>
    </row>
    <row r="106" spans="1:45" ht="12.75">
      <c r="A106" s="483"/>
      <c r="B106" s="483"/>
      <c r="C106" s="483"/>
      <c r="D106" s="483"/>
      <c r="E106" s="483"/>
      <c r="F106" s="483"/>
      <c r="G106" s="483"/>
      <c r="H106" s="483"/>
      <c r="I106" s="483"/>
      <c r="J106" s="483"/>
      <c r="K106" s="483"/>
      <c r="L106" s="483"/>
      <c r="M106" s="483"/>
      <c r="N106" s="483"/>
      <c r="O106" s="483"/>
      <c r="P106" s="483"/>
      <c r="Q106" s="483"/>
      <c r="R106" s="483"/>
      <c r="S106" s="483"/>
      <c r="T106" s="483"/>
      <c r="U106" s="483"/>
      <c r="V106" s="483"/>
      <c r="W106" s="483"/>
      <c r="X106" s="483"/>
      <c r="Y106" s="483"/>
      <c r="Z106" s="483"/>
      <c r="AA106" s="483"/>
      <c r="AB106" s="483"/>
      <c r="AC106" s="483"/>
      <c r="AD106" s="483"/>
      <c r="AE106" s="483"/>
      <c r="AF106" s="357"/>
      <c r="AG106" s="483"/>
      <c r="AH106" s="483"/>
      <c r="AI106" s="483"/>
      <c r="AJ106" s="483"/>
      <c r="AK106" s="483"/>
      <c r="AL106" s="483"/>
      <c r="AM106" s="483"/>
      <c r="AN106" s="483"/>
      <c r="AO106" s="483"/>
      <c r="AP106" s="483"/>
      <c r="AQ106" s="483"/>
      <c r="AR106" s="483"/>
      <c r="AS106" s="483"/>
    </row>
    <row r="107" spans="1:45" ht="12.75">
      <c r="A107" s="483"/>
      <c r="B107" s="483"/>
      <c r="C107" s="483"/>
      <c r="D107" s="483"/>
      <c r="E107" s="483"/>
      <c r="F107" s="483"/>
      <c r="G107" s="483"/>
      <c r="H107" s="483"/>
      <c r="I107" s="483"/>
      <c r="J107" s="483"/>
      <c r="K107" s="483"/>
      <c r="L107" s="483"/>
      <c r="M107" s="483"/>
      <c r="N107" s="483"/>
      <c r="O107" s="483"/>
      <c r="P107" s="483"/>
      <c r="Q107" s="483"/>
      <c r="R107" s="483"/>
      <c r="S107" s="483"/>
      <c r="T107" s="483"/>
      <c r="U107" s="483"/>
      <c r="V107" s="483"/>
      <c r="W107" s="483"/>
      <c r="X107" s="483"/>
      <c r="Y107" s="483"/>
      <c r="Z107" s="483"/>
      <c r="AA107" s="483"/>
      <c r="AB107" s="483"/>
      <c r="AC107" s="483"/>
      <c r="AD107" s="483"/>
      <c r="AE107" s="483"/>
      <c r="AF107" s="357"/>
      <c r="AG107" s="483"/>
      <c r="AH107" s="483"/>
      <c r="AI107" s="483"/>
      <c r="AJ107" s="483"/>
      <c r="AK107" s="483"/>
      <c r="AL107" s="483"/>
      <c r="AM107" s="483"/>
      <c r="AN107" s="483"/>
      <c r="AO107" s="483"/>
      <c r="AP107" s="483"/>
      <c r="AQ107" s="483"/>
      <c r="AR107" s="483"/>
      <c r="AS107" s="483"/>
    </row>
    <row r="108" spans="1:45" ht="12.75">
      <c r="A108" s="483"/>
      <c r="B108" s="483"/>
      <c r="C108" s="483"/>
      <c r="D108" s="483"/>
      <c r="E108" s="483"/>
      <c r="F108" s="483"/>
      <c r="G108" s="483"/>
      <c r="H108" s="483"/>
      <c r="I108" s="483"/>
      <c r="J108" s="483"/>
      <c r="K108" s="483"/>
      <c r="L108" s="483"/>
      <c r="M108" s="483"/>
      <c r="N108" s="483"/>
      <c r="O108" s="483"/>
      <c r="P108" s="483"/>
      <c r="Q108" s="483"/>
      <c r="R108" s="483"/>
      <c r="S108" s="483"/>
      <c r="T108" s="483"/>
      <c r="U108" s="483"/>
      <c r="V108" s="483"/>
      <c r="W108" s="483"/>
      <c r="X108" s="483"/>
      <c r="Y108" s="483"/>
      <c r="Z108" s="483"/>
      <c r="AA108" s="483"/>
      <c r="AB108" s="483"/>
      <c r="AC108" s="483"/>
      <c r="AD108" s="483"/>
      <c r="AE108" s="483"/>
      <c r="AF108" s="357"/>
      <c r="AG108" s="483"/>
      <c r="AH108" s="483"/>
      <c r="AI108" s="483"/>
      <c r="AJ108" s="483"/>
      <c r="AK108" s="483"/>
      <c r="AL108" s="483"/>
      <c r="AM108" s="483"/>
      <c r="AN108" s="483"/>
      <c r="AO108" s="483"/>
      <c r="AP108" s="483"/>
      <c r="AQ108" s="483"/>
      <c r="AR108" s="483"/>
      <c r="AS108" s="483"/>
    </row>
    <row r="109" spans="1:45" ht="12.75">
      <c r="A109" s="483"/>
      <c r="B109" s="483"/>
      <c r="C109" s="483"/>
      <c r="D109" s="483"/>
      <c r="E109" s="483"/>
      <c r="F109" s="483"/>
      <c r="G109" s="483"/>
      <c r="H109" s="483"/>
      <c r="I109" s="483"/>
      <c r="J109" s="483"/>
      <c r="K109" s="483"/>
      <c r="L109" s="483"/>
      <c r="M109" s="483"/>
      <c r="N109" s="483"/>
      <c r="O109" s="483"/>
      <c r="P109" s="483"/>
      <c r="Q109" s="483"/>
      <c r="R109" s="483"/>
      <c r="S109" s="483"/>
      <c r="T109" s="483"/>
      <c r="U109" s="483"/>
      <c r="V109" s="483"/>
      <c r="W109" s="483"/>
      <c r="X109" s="483"/>
      <c r="Y109" s="483"/>
      <c r="Z109" s="483"/>
      <c r="AA109" s="483"/>
      <c r="AB109" s="483"/>
      <c r="AC109" s="483"/>
      <c r="AD109" s="483"/>
      <c r="AE109" s="483"/>
      <c r="AF109" s="357"/>
      <c r="AG109" s="483"/>
      <c r="AH109" s="483"/>
      <c r="AI109" s="483"/>
      <c r="AJ109" s="483"/>
      <c r="AK109" s="483"/>
      <c r="AL109" s="483"/>
      <c r="AM109" s="483"/>
      <c r="AN109" s="483"/>
      <c r="AO109" s="483"/>
      <c r="AP109" s="483"/>
      <c r="AQ109" s="483"/>
      <c r="AR109" s="483"/>
      <c r="AS109" s="483"/>
    </row>
    <row r="110" spans="1:45" ht="12.75">
      <c r="A110" s="483"/>
      <c r="B110" s="483"/>
      <c r="C110" s="483"/>
      <c r="D110" s="483"/>
      <c r="E110" s="483"/>
      <c r="F110" s="483"/>
      <c r="G110" s="483"/>
      <c r="H110" s="483"/>
      <c r="I110" s="483"/>
      <c r="J110" s="483"/>
      <c r="K110" s="483"/>
      <c r="L110" s="483"/>
      <c r="M110" s="483"/>
      <c r="N110" s="483"/>
      <c r="O110" s="483"/>
      <c r="P110" s="483"/>
      <c r="Q110" s="483"/>
      <c r="R110" s="483"/>
      <c r="S110" s="483"/>
      <c r="T110" s="483"/>
      <c r="U110" s="483"/>
      <c r="V110" s="483"/>
      <c r="W110" s="483"/>
      <c r="X110" s="483"/>
      <c r="Y110" s="483"/>
      <c r="Z110" s="483"/>
      <c r="AA110" s="483"/>
      <c r="AB110" s="483"/>
      <c r="AC110" s="483"/>
      <c r="AD110" s="483"/>
      <c r="AE110" s="483"/>
      <c r="AF110" s="357"/>
      <c r="AG110" s="483"/>
      <c r="AH110" s="483"/>
      <c r="AI110" s="483"/>
      <c r="AJ110" s="483"/>
      <c r="AK110" s="483"/>
      <c r="AL110" s="483"/>
      <c r="AM110" s="483"/>
      <c r="AN110" s="483"/>
      <c r="AO110" s="483"/>
      <c r="AP110" s="483"/>
      <c r="AQ110" s="483"/>
      <c r="AR110" s="483"/>
      <c r="AS110" s="483"/>
    </row>
    <row r="111" spans="1:45" ht="12.75">
      <c r="A111" s="483"/>
      <c r="B111" s="483"/>
      <c r="C111" s="483"/>
      <c r="D111" s="483"/>
      <c r="E111" s="483"/>
      <c r="F111" s="483"/>
      <c r="G111" s="483"/>
      <c r="H111" s="483"/>
      <c r="I111" s="483"/>
      <c r="J111" s="483"/>
      <c r="K111" s="483"/>
      <c r="L111" s="483"/>
      <c r="M111" s="483"/>
      <c r="N111" s="483"/>
      <c r="O111" s="483"/>
      <c r="P111" s="483"/>
      <c r="Q111" s="483"/>
      <c r="R111" s="483"/>
      <c r="S111" s="483"/>
      <c r="T111" s="483"/>
      <c r="U111" s="483"/>
      <c r="V111" s="483"/>
      <c r="W111" s="483"/>
      <c r="X111" s="483"/>
      <c r="Y111" s="483"/>
      <c r="Z111" s="483"/>
      <c r="AA111" s="483"/>
      <c r="AB111" s="483"/>
      <c r="AC111" s="483"/>
      <c r="AD111" s="483"/>
      <c r="AE111" s="483"/>
      <c r="AF111" s="357"/>
      <c r="AG111" s="483"/>
      <c r="AH111" s="483"/>
      <c r="AI111" s="483"/>
      <c r="AJ111" s="483"/>
      <c r="AK111" s="483"/>
      <c r="AL111" s="483"/>
      <c r="AM111" s="483"/>
      <c r="AN111" s="483"/>
      <c r="AO111" s="483"/>
      <c r="AP111" s="483"/>
      <c r="AQ111" s="483"/>
      <c r="AR111" s="483"/>
      <c r="AS111" s="483"/>
    </row>
    <row r="112" spans="1:45" ht="12.75">
      <c r="A112" s="483"/>
      <c r="B112" s="483"/>
      <c r="C112" s="483"/>
      <c r="D112" s="483"/>
      <c r="E112" s="483"/>
      <c r="F112" s="483"/>
      <c r="G112" s="483"/>
      <c r="H112" s="483"/>
      <c r="I112" s="483"/>
      <c r="J112" s="483"/>
      <c r="K112" s="483"/>
      <c r="L112" s="483"/>
      <c r="M112" s="483"/>
      <c r="N112" s="483"/>
      <c r="O112" s="483"/>
      <c r="P112" s="483"/>
      <c r="Q112" s="483"/>
      <c r="R112" s="483"/>
      <c r="S112" s="483"/>
      <c r="T112" s="483"/>
      <c r="U112" s="483"/>
      <c r="V112" s="483"/>
      <c r="W112" s="483"/>
      <c r="X112" s="483"/>
      <c r="Y112" s="483"/>
      <c r="Z112" s="483"/>
      <c r="AA112" s="483"/>
      <c r="AB112" s="483"/>
      <c r="AC112" s="483"/>
      <c r="AD112" s="483"/>
      <c r="AE112" s="483"/>
      <c r="AF112" s="357"/>
      <c r="AG112" s="483"/>
      <c r="AH112" s="483"/>
      <c r="AI112" s="483"/>
      <c r="AJ112" s="483"/>
      <c r="AK112" s="483"/>
      <c r="AL112" s="483"/>
      <c r="AM112" s="483"/>
      <c r="AN112" s="483"/>
      <c r="AO112" s="483"/>
      <c r="AP112" s="483"/>
      <c r="AQ112" s="483"/>
      <c r="AR112" s="483"/>
      <c r="AS112" s="483"/>
    </row>
    <row r="113" spans="1:45" ht="12.75">
      <c r="A113" s="483"/>
      <c r="B113" s="483"/>
      <c r="C113" s="483"/>
      <c r="D113" s="483"/>
      <c r="E113" s="483"/>
      <c r="F113" s="483"/>
      <c r="G113" s="483"/>
      <c r="H113" s="483"/>
      <c r="I113" s="483"/>
      <c r="J113" s="483"/>
      <c r="K113" s="483"/>
      <c r="L113" s="483"/>
      <c r="M113" s="483"/>
      <c r="N113" s="483"/>
      <c r="O113" s="483"/>
      <c r="P113" s="483"/>
      <c r="Q113" s="483"/>
      <c r="R113" s="483"/>
      <c r="S113" s="483"/>
      <c r="T113" s="483"/>
      <c r="U113" s="483"/>
      <c r="V113" s="483"/>
      <c r="W113" s="483"/>
      <c r="X113" s="483"/>
      <c r="Y113" s="483"/>
      <c r="Z113" s="483"/>
      <c r="AA113" s="483"/>
      <c r="AB113" s="483"/>
      <c r="AC113" s="483"/>
      <c r="AD113" s="483"/>
      <c r="AE113" s="483"/>
      <c r="AF113" s="357"/>
      <c r="AG113" s="483"/>
      <c r="AH113" s="483"/>
      <c r="AI113" s="483"/>
      <c r="AJ113" s="483"/>
      <c r="AK113" s="483"/>
      <c r="AL113" s="483"/>
      <c r="AM113" s="483"/>
      <c r="AN113" s="483"/>
      <c r="AO113" s="483"/>
      <c r="AP113" s="483"/>
      <c r="AQ113" s="483"/>
      <c r="AR113" s="483"/>
      <c r="AS113" s="483"/>
    </row>
    <row r="114" spans="1:45" ht="12.75">
      <c r="A114" s="483"/>
      <c r="B114" s="483"/>
      <c r="C114" s="483"/>
      <c r="D114" s="483"/>
      <c r="E114" s="483"/>
      <c r="F114" s="483"/>
      <c r="G114" s="483"/>
      <c r="H114" s="483"/>
      <c r="I114" s="483"/>
      <c r="J114" s="483"/>
      <c r="K114" s="483"/>
      <c r="L114" s="483"/>
      <c r="M114" s="483"/>
      <c r="N114" s="483"/>
      <c r="O114" s="483"/>
      <c r="P114" s="483"/>
      <c r="Q114" s="483"/>
      <c r="R114" s="483"/>
      <c r="S114" s="483"/>
      <c r="T114" s="483"/>
      <c r="U114" s="483"/>
      <c r="V114" s="483"/>
      <c r="W114" s="483"/>
      <c r="X114" s="483"/>
      <c r="Y114" s="483"/>
      <c r="Z114" s="483"/>
      <c r="AA114" s="483"/>
      <c r="AB114" s="483"/>
      <c r="AC114" s="483"/>
      <c r="AD114" s="483"/>
      <c r="AE114" s="483"/>
      <c r="AF114" s="357"/>
      <c r="AG114" s="483"/>
      <c r="AH114" s="483"/>
      <c r="AI114" s="483"/>
      <c r="AJ114" s="483"/>
      <c r="AK114" s="483"/>
      <c r="AL114" s="483"/>
      <c r="AM114" s="483"/>
      <c r="AN114" s="483"/>
      <c r="AO114" s="483"/>
      <c r="AP114" s="483"/>
      <c r="AQ114" s="483"/>
      <c r="AR114" s="483"/>
      <c r="AS114" s="483"/>
    </row>
    <row r="115" spans="1:45" ht="12.75">
      <c r="A115" s="483"/>
      <c r="B115" s="483"/>
      <c r="C115" s="483"/>
      <c r="D115" s="483"/>
      <c r="E115" s="483"/>
      <c r="F115" s="483"/>
      <c r="G115" s="483"/>
      <c r="H115" s="483"/>
      <c r="I115" s="483"/>
      <c r="J115" s="483"/>
      <c r="K115" s="483"/>
      <c r="L115" s="483"/>
      <c r="M115" s="483"/>
      <c r="N115" s="483"/>
      <c r="O115" s="483"/>
      <c r="P115" s="483"/>
      <c r="Q115" s="483"/>
      <c r="R115" s="483"/>
      <c r="S115" s="483"/>
      <c r="T115" s="483"/>
      <c r="U115" s="483"/>
      <c r="V115" s="483"/>
      <c r="W115" s="483"/>
      <c r="X115" s="483"/>
      <c r="Y115" s="483"/>
      <c r="Z115" s="483"/>
      <c r="AA115" s="483"/>
      <c r="AB115" s="483"/>
      <c r="AC115" s="483"/>
      <c r="AD115" s="483"/>
      <c r="AE115" s="483"/>
      <c r="AF115" s="357"/>
      <c r="AG115" s="483"/>
      <c r="AH115" s="483"/>
      <c r="AI115" s="483"/>
      <c r="AJ115" s="483"/>
      <c r="AK115" s="483"/>
      <c r="AL115" s="483"/>
      <c r="AM115" s="483"/>
      <c r="AN115" s="483"/>
      <c r="AO115" s="483"/>
      <c r="AP115" s="483"/>
      <c r="AQ115" s="483"/>
      <c r="AR115" s="483"/>
      <c r="AS115" s="483"/>
    </row>
    <row r="116" spans="1:45" ht="12.75">
      <c r="A116" s="483"/>
      <c r="B116" s="483"/>
      <c r="C116" s="483"/>
      <c r="D116" s="483"/>
      <c r="E116" s="483"/>
      <c r="F116" s="483"/>
      <c r="G116" s="483"/>
      <c r="H116" s="483"/>
      <c r="I116" s="483"/>
      <c r="J116" s="483"/>
      <c r="K116" s="483"/>
      <c r="L116" s="483"/>
      <c r="M116" s="483"/>
      <c r="N116" s="483"/>
      <c r="O116" s="483"/>
      <c r="P116" s="483"/>
      <c r="Q116" s="483"/>
      <c r="R116" s="483"/>
      <c r="S116" s="483"/>
      <c r="T116" s="483"/>
      <c r="U116" s="483"/>
      <c r="V116" s="483"/>
      <c r="W116" s="483"/>
      <c r="X116" s="483"/>
      <c r="Y116" s="483"/>
      <c r="Z116" s="483"/>
      <c r="AA116" s="483"/>
      <c r="AB116" s="483"/>
      <c r="AC116" s="483"/>
      <c r="AD116" s="483"/>
      <c r="AE116" s="483"/>
      <c r="AF116" s="357"/>
      <c r="AG116" s="483"/>
      <c r="AH116" s="483"/>
      <c r="AI116" s="483"/>
      <c r="AJ116" s="483"/>
      <c r="AK116" s="483"/>
      <c r="AL116" s="483"/>
      <c r="AM116" s="483"/>
      <c r="AN116" s="483"/>
      <c r="AO116" s="483"/>
      <c r="AP116" s="483"/>
      <c r="AQ116" s="483"/>
      <c r="AR116" s="483"/>
      <c r="AS116" s="483"/>
    </row>
    <row r="117" spans="1:45" ht="12.75">
      <c r="A117" s="483"/>
      <c r="B117" s="483"/>
      <c r="C117" s="483"/>
      <c r="D117" s="483"/>
      <c r="E117" s="483"/>
      <c r="F117" s="483"/>
      <c r="G117" s="483"/>
      <c r="H117" s="483"/>
      <c r="I117" s="483"/>
      <c r="J117" s="483"/>
      <c r="K117" s="483"/>
      <c r="L117" s="483"/>
      <c r="M117" s="483"/>
      <c r="N117" s="483"/>
      <c r="O117" s="483"/>
      <c r="P117" s="483"/>
      <c r="Q117" s="483"/>
      <c r="R117" s="483"/>
      <c r="S117" s="483"/>
      <c r="T117" s="483"/>
      <c r="U117" s="483"/>
      <c r="V117" s="483"/>
      <c r="W117" s="483"/>
      <c r="X117" s="483"/>
      <c r="Y117" s="483"/>
      <c r="Z117" s="483"/>
      <c r="AA117" s="483"/>
      <c r="AB117" s="483"/>
      <c r="AC117" s="483"/>
      <c r="AD117" s="483"/>
      <c r="AE117" s="483"/>
      <c r="AF117" s="357"/>
      <c r="AG117" s="483"/>
      <c r="AH117" s="483"/>
      <c r="AI117" s="483"/>
      <c r="AJ117" s="483"/>
      <c r="AK117" s="483"/>
      <c r="AL117" s="483"/>
      <c r="AM117" s="483"/>
      <c r="AN117" s="483"/>
      <c r="AO117" s="483"/>
      <c r="AP117" s="483"/>
      <c r="AQ117" s="483"/>
      <c r="AR117" s="483"/>
      <c r="AS117" s="483"/>
    </row>
    <row r="118" spans="1:45" ht="12.75">
      <c r="A118" s="483"/>
      <c r="B118" s="483"/>
      <c r="C118" s="483"/>
      <c r="D118" s="483"/>
      <c r="E118" s="483"/>
      <c r="F118" s="483"/>
      <c r="G118" s="483"/>
      <c r="H118" s="483"/>
      <c r="I118" s="483"/>
      <c r="J118" s="483"/>
      <c r="K118" s="483"/>
      <c r="L118" s="483"/>
      <c r="M118" s="483"/>
      <c r="N118" s="483"/>
      <c r="O118" s="483"/>
      <c r="P118" s="483"/>
      <c r="Q118" s="483"/>
      <c r="R118" s="483"/>
      <c r="S118" s="483"/>
      <c r="T118" s="483"/>
      <c r="U118" s="483"/>
      <c r="V118" s="483"/>
      <c r="W118" s="483"/>
      <c r="X118" s="483"/>
      <c r="Y118" s="483"/>
      <c r="Z118" s="483"/>
      <c r="AA118" s="483"/>
      <c r="AB118" s="483"/>
      <c r="AC118" s="483"/>
      <c r="AD118" s="483"/>
      <c r="AE118" s="483"/>
      <c r="AF118" s="357"/>
      <c r="AG118" s="483"/>
      <c r="AH118" s="483"/>
      <c r="AI118" s="483"/>
      <c r="AJ118" s="483"/>
      <c r="AK118" s="483"/>
      <c r="AL118" s="483"/>
      <c r="AM118" s="483"/>
      <c r="AN118" s="483"/>
      <c r="AO118" s="483"/>
      <c r="AP118" s="483"/>
      <c r="AQ118" s="483"/>
      <c r="AR118" s="483"/>
      <c r="AS118" s="483"/>
    </row>
    <row r="119" spans="1:45" ht="12.75">
      <c r="A119" s="483"/>
      <c r="B119" s="483"/>
      <c r="C119" s="483"/>
      <c r="D119" s="483"/>
      <c r="E119" s="483"/>
      <c r="F119" s="483"/>
      <c r="G119" s="483"/>
      <c r="H119" s="483"/>
      <c r="I119" s="483"/>
      <c r="J119" s="483"/>
      <c r="K119" s="483"/>
      <c r="L119" s="483"/>
      <c r="M119" s="483"/>
      <c r="N119" s="483"/>
      <c r="O119" s="483"/>
      <c r="P119" s="483"/>
      <c r="Q119" s="483"/>
      <c r="R119" s="483"/>
      <c r="S119" s="483"/>
      <c r="T119" s="483"/>
      <c r="U119" s="483"/>
      <c r="V119" s="483"/>
      <c r="W119" s="483"/>
      <c r="X119" s="483"/>
      <c r="Y119" s="483"/>
      <c r="Z119" s="483"/>
      <c r="AA119" s="483"/>
      <c r="AB119" s="483"/>
      <c r="AC119" s="483"/>
      <c r="AD119" s="483"/>
      <c r="AE119" s="483"/>
      <c r="AF119" s="357"/>
      <c r="AG119" s="483"/>
      <c r="AH119" s="483"/>
      <c r="AI119" s="483"/>
      <c r="AJ119" s="483"/>
      <c r="AK119" s="483"/>
      <c r="AL119" s="483"/>
      <c r="AM119" s="483"/>
      <c r="AN119" s="483"/>
      <c r="AO119" s="483"/>
      <c r="AP119" s="483"/>
      <c r="AQ119" s="483"/>
      <c r="AR119" s="483"/>
      <c r="AS119" s="483"/>
    </row>
    <row r="120" spans="1:45" ht="12.75">
      <c r="A120" s="483"/>
      <c r="B120" s="483"/>
      <c r="C120" s="483"/>
      <c r="D120" s="483"/>
      <c r="E120" s="483"/>
      <c r="F120" s="483"/>
      <c r="G120" s="483"/>
      <c r="H120" s="483"/>
      <c r="I120" s="483"/>
      <c r="J120" s="483"/>
      <c r="K120" s="483"/>
      <c r="L120" s="483"/>
      <c r="M120" s="483"/>
      <c r="N120" s="483"/>
      <c r="O120" s="483"/>
      <c r="P120" s="483"/>
      <c r="Q120" s="483"/>
      <c r="R120" s="483"/>
      <c r="S120" s="483"/>
      <c r="T120" s="483"/>
      <c r="U120" s="483"/>
      <c r="V120" s="483"/>
      <c r="W120" s="483"/>
      <c r="X120" s="483"/>
      <c r="Y120" s="483"/>
      <c r="Z120" s="483"/>
      <c r="AA120" s="483"/>
      <c r="AB120" s="483"/>
      <c r="AC120" s="483"/>
      <c r="AD120" s="483"/>
      <c r="AE120" s="483"/>
      <c r="AF120" s="357"/>
      <c r="AG120" s="483"/>
      <c r="AH120" s="483"/>
      <c r="AI120" s="483"/>
      <c r="AJ120" s="483"/>
      <c r="AK120" s="483"/>
      <c r="AL120" s="483"/>
      <c r="AM120" s="483"/>
      <c r="AN120" s="483"/>
      <c r="AO120" s="483"/>
      <c r="AP120" s="483"/>
      <c r="AQ120" s="483"/>
      <c r="AR120" s="483"/>
      <c r="AS120" s="483"/>
    </row>
    <row r="121" spans="1:45" ht="12.75">
      <c r="A121" s="483"/>
      <c r="B121" s="483"/>
      <c r="C121" s="483"/>
      <c r="D121" s="483"/>
      <c r="E121" s="483"/>
      <c r="F121" s="483"/>
      <c r="G121" s="483"/>
      <c r="H121" s="483"/>
      <c r="I121" s="483"/>
      <c r="J121" s="483"/>
      <c r="K121" s="483"/>
      <c r="L121" s="483"/>
      <c r="M121" s="483"/>
      <c r="N121" s="483"/>
      <c r="O121" s="483"/>
      <c r="P121" s="483"/>
      <c r="Q121" s="483"/>
      <c r="R121" s="483"/>
      <c r="S121" s="483"/>
      <c r="T121" s="483"/>
      <c r="U121" s="483"/>
      <c r="V121" s="483"/>
      <c r="W121" s="483"/>
      <c r="X121" s="483"/>
      <c r="Y121" s="483"/>
      <c r="Z121" s="483"/>
      <c r="AA121" s="483"/>
      <c r="AB121" s="483"/>
      <c r="AC121" s="483"/>
      <c r="AD121" s="483"/>
      <c r="AE121" s="483"/>
      <c r="AF121" s="357"/>
      <c r="AG121" s="483"/>
      <c r="AH121" s="483"/>
      <c r="AI121" s="483"/>
      <c r="AJ121" s="483"/>
      <c r="AK121" s="483"/>
      <c r="AL121" s="483"/>
      <c r="AM121" s="483"/>
      <c r="AN121" s="483"/>
      <c r="AO121" s="483"/>
      <c r="AP121" s="483"/>
      <c r="AQ121" s="483"/>
      <c r="AR121" s="483"/>
      <c r="AS121" s="483"/>
    </row>
    <row r="122" spans="1:45" ht="12.75">
      <c r="A122" s="483"/>
      <c r="B122" s="483"/>
      <c r="C122" s="483"/>
      <c r="D122" s="483"/>
      <c r="E122" s="483"/>
      <c r="F122" s="483"/>
      <c r="G122" s="483"/>
      <c r="H122" s="483"/>
      <c r="I122" s="483"/>
      <c r="J122" s="483"/>
      <c r="K122" s="483"/>
      <c r="L122" s="483"/>
      <c r="M122" s="483"/>
      <c r="N122" s="483"/>
      <c r="O122" s="483"/>
      <c r="P122" s="483"/>
      <c r="Q122" s="483"/>
      <c r="R122" s="483"/>
      <c r="S122" s="483"/>
      <c r="T122" s="483"/>
      <c r="U122" s="483"/>
      <c r="V122" s="483"/>
      <c r="W122" s="483"/>
      <c r="X122" s="483"/>
      <c r="Y122" s="483"/>
      <c r="Z122" s="483"/>
      <c r="AA122" s="483"/>
      <c r="AB122" s="483"/>
      <c r="AC122" s="483"/>
      <c r="AD122" s="483"/>
      <c r="AE122" s="483"/>
      <c r="AF122" s="357"/>
      <c r="AG122" s="483"/>
      <c r="AH122" s="483"/>
      <c r="AI122" s="483"/>
      <c r="AJ122" s="483"/>
      <c r="AK122" s="483"/>
      <c r="AL122" s="483"/>
      <c r="AM122" s="483"/>
      <c r="AN122" s="483"/>
      <c r="AO122" s="483"/>
      <c r="AP122" s="483"/>
      <c r="AQ122" s="483"/>
      <c r="AR122" s="483"/>
      <c r="AS122" s="483"/>
    </row>
    <row r="123" spans="1:45" ht="12.75">
      <c r="A123" s="483"/>
      <c r="B123" s="483"/>
      <c r="C123" s="483"/>
      <c r="D123" s="483"/>
      <c r="E123" s="483"/>
      <c r="F123" s="483"/>
      <c r="G123" s="483"/>
      <c r="H123" s="483"/>
      <c r="I123" s="483"/>
      <c r="J123" s="483"/>
      <c r="K123" s="483"/>
      <c r="L123" s="483"/>
      <c r="M123" s="483"/>
      <c r="N123" s="483"/>
      <c r="O123" s="483"/>
      <c r="P123" s="483"/>
      <c r="Q123" s="483"/>
      <c r="R123" s="483"/>
      <c r="S123" s="483"/>
      <c r="T123" s="483"/>
      <c r="U123" s="483"/>
      <c r="V123" s="483"/>
      <c r="W123" s="483"/>
      <c r="X123" s="483"/>
      <c r="Y123" s="483"/>
      <c r="Z123" s="483"/>
      <c r="AA123" s="483"/>
      <c r="AB123" s="483"/>
      <c r="AC123" s="483"/>
      <c r="AD123" s="483"/>
      <c r="AE123" s="483"/>
      <c r="AF123" s="357"/>
      <c r="AG123" s="483"/>
      <c r="AH123" s="483"/>
      <c r="AI123" s="483"/>
      <c r="AJ123" s="483"/>
      <c r="AK123" s="483"/>
      <c r="AL123" s="483"/>
      <c r="AM123" s="483"/>
      <c r="AN123" s="483"/>
      <c r="AO123" s="483"/>
      <c r="AP123" s="483"/>
      <c r="AQ123" s="483"/>
      <c r="AR123" s="483"/>
      <c r="AS123" s="483"/>
    </row>
    <row r="124" spans="1:45" ht="12.75">
      <c r="A124" s="483"/>
      <c r="B124" s="483"/>
      <c r="C124" s="483"/>
      <c r="D124" s="483"/>
      <c r="E124" s="483"/>
      <c r="F124" s="483"/>
      <c r="G124" s="483"/>
      <c r="H124" s="483"/>
      <c r="I124" s="483"/>
      <c r="J124" s="483"/>
      <c r="K124" s="483"/>
      <c r="L124" s="483"/>
      <c r="M124" s="483"/>
      <c r="N124" s="483"/>
      <c r="O124" s="483"/>
      <c r="P124" s="483"/>
      <c r="Q124" s="483"/>
      <c r="R124" s="483"/>
      <c r="S124" s="483"/>
      <c r="T124" s="483"/>
      <c r="U124" s="483"/>
      <c r="V124" s="483"/>
      <c r="W124" s="483"/>
      <c r="X124" s="483"/>
      <c r="Y124" s="483"/>
      <c r="Z124" s="483"/>
      <c r="AA124" s="483"/>
      <c r="AB124" s="483"/>
      <c r="AC124" s="483"/>
      <c r="AD124" s="483"/>
      <c r="AE124" s="483"/>
      <c r="AF124" s="357"/>
      <c r="AG124" s="483"/>
      <c r="AH124" s="483"/>
      <c r="AI124" s="483"/>
      <c r="AJ124" s="483"/>
      <c r="AK124" s="483"/>
      <c r="AL124" s="483"/>
      <c r="AM124" s="483"/>
      <c r="AN124" s="483"/>
      <c r="AO124" s="483"/>
      <c r="AP124" s="483"/>
      <c r="AQ124" s="483"/>
      <c r="AR124" s="483"/>
      <c r="AS124" s="483"/>
    </row>
    <row r="125" spans="1:45" ht="12.75">
      <c r="A125" s="483"/>
      <c r="B125" s="483"/>
      <c r="C125" s="483"/>
      <c r="D125" s="483"/>
      <c r="E125" s="483"/>
      <c r="F125" s="483"/>
      <c r="G125" s="483"/>
      <c r="H125" s="483"/>
      <c r="I125" s="483"/>
      <c r="J125" s="483"/>
      <c r="K125" s="483"/>
      <c r="L125" s="483"/>
      <c r="M125" s="483"/>
      <c r="N125" s="483"/>
      <c r="O125" s="483"/>
      <c r="P125" s="483"/>
      <c r="Q125" s="483"/>
      <c r="R125" s="483"/>
      <c r="S125" s="483"/>
      <c r="T125" s="483"/>
      <c r="U125" s="483"/>
      <c r="V125" s="483"/>
      <c r="W125" s="483"/>
      <c r="X125" s="483"/>
      <c r="Y125" s="483"/>
      <c r="Z125" s="483"/>
      <c r="AA125" s="483"/>
      <c r="AB125" s="483"/>
      <c r="AC125" s="483"/>
      <c r="AD125" s="483"/>
      <c r="AE125" s="483"/>
      <c r="AF125" s="357"/>
      <c r="AG125" s="483"/>
      <c r="AH125" s="483"/>
      <c r="AI125" s="483"/>
      <c r="AJ125" s="483"/>
      <c r="AK125" s="483"/>
      <c r="AL125" s="483"/>
      <c r="AM125" s="483"/>
      <c r="AN125" s="483"/>
      <c r="AO125" s="483"/>
      <c r="AP125" s="483"/>
      <c r="AQ125" s="483"/>
      <c r="AR125" s="483"/>
      <c r="AS125" s="483"/>
    </row>
    <row r="126" spans="1:45" ht="12.75">
      <c r="A126" s="483"/>
      <c r="B126" s="483"/>
      <c r="C126" s="483"/>
      <c r="D126" s="483"/>
      <c r="E126" s="483"/>
      <c r="F126" s="483"/>
      <c r="G126" s="483"/>
      <c r="H126" s="483"/>
      <c r="I126" s="483"/>
      <c r="J126" s="483"/>
      <c r="K126" s="483"/>
      <c r="L126" s="483"/>
      <c r="M126" s="483"/>
      <c r="N126" s="483"/>
      <c r="O126" s="483"/>
      <c r="P126" s="483"/>
      <c r="Q126" s="483"/>
      <c r="R126" s="483"/>
      <c r="S126" s="483"/>
      <c r="T126" s="483"/>
      <c r="U126" s="483"/>
      <c r="V126" s="483"/>
      <c r="W126" s="483"/>
      <c r="X126" s="483"/>
      <c r="Y126" s="483"/>
      <c r="Z126" s="483"/>
      <c r="AA126" s="483"/>
      <c r="AB126" s="483"/>
      <c r="AC126" s="483"/>
      <c r="AD126" s="483"/>
      <c r="AE126" s="483"/>
      <c r="AF126" s="357"/>
      <c r="AG126" s="483"/>
      <c r="AH126" s="483"/>
      <c r="AI126" s="483"/>
      <c r="AJ126" s="483"/>
      <c r="AK126" s="483"/>
      <c r="AL126" s="483"/>
      <c r="AM126" s="483"/>
      <c r="AN126" s="483"/>
      <c r="AO126" s="483"/>
      <c r="AP126" s="483"/>
      <c r="AQ126" s="483"/>
      <c r="AR126" s="483"/>
      <c r="AS126" s="483"/>
    </row>
    <row r="127" spans="1:45" ht="12.75">
      <c r="A127" s="483"/>
      <c r="B127" s="483"/>
      <c r="C127" s="483"/>
      <c r="D127" s="483"/>
      <c r="E127" s="483"/>
      <c r="F127" s="483"/>
      <c r="G127" s="483"/>
      <c r="H127" s="483"/>
      <c r="I127" s="483"/>
      <c r="J127" s="483"/>
      <c r="K127" s="483"/>
      <c r="L127" s="483"/>
      <c r="M127" s="483"/>
      <c r="N127" s="483"/>
      <c r="O127" s="483"/>
      <c r="P127" s="483"/>
      <c r="Q127" s="483"/>
      <c r="R127" s="483"/>
      <c r="S127" s="483"/>
      <c r="T127" s="483"/>
      <c r="U127" s="483"/>
      <c r="V127" s="483"/>
      <c r="W127" s="483"/>
      <c r="X127" s="483"/>
      <c r="Y127" s="483"/>
      <c r="Z127" s="483"/>
      <c r="AA127" s="483"/>
      <c r="AB127" s="483"/>
      <c r="AC127" s="483"/>
      <c r="AD127" s="483"/>
      <c r="AE127" s="483"/>
      <c r="AF127" s="357"/>
      <c r="AG127" s="483"/>
      <c r="AH127" s="483"/>
      <c r="AI127" s="483"/>
      <c r="AJ127" s="483"/>
      <c r="AK127" s="483"/>
      <c r="AL127" s="483"/>
      <c r="AM127" s="483"/>
      <c r="AN127" s="483"/>
      <c r="AO127" s="483"/>
      <c r="AP127" s="483"/>
      <c r="AQ127" s="483"/>
      <c r="AR127" s="483"/>
      <c r="AS127" s="483"/>
    </row>
    <row r="128" spans="1:45" ht="12.75">
      <c r="A128" s="483"/>
      <c r="B128" s="483"/>
      <c r="C128" s="483"/>
      <c r="D128" s="483"/>
      <c r="E128" s="483"/>
      <c r="F128" s="483"/>
      <c r="G128" s="483"/>
      <c r="H128" s="483"/>
      <c r="I128" s="483"/>
      <c r="J128" s="483"/>
      <c r="K128" s="483"/>
      <c r="L128" s="483"/>
      <c r="M128" s="483"/>
      <c r="N128" s="483"/>
      <c r="O128" s="483"/>
      <c r="P128" s="483"/>
      <c r="Q128" s="483"/>
      <c r="R128" s="483"/>
      <c r="S128" s="483"/>
      <c r="T128" s="483"/>
      <c r="U128" s="483"/>
      <c r="V128" s="483"/>
      <c r="W128" s="483"/>
      <c r="X128" s="483"/>
      <c r="Y128" s="483"/>
      <c r="Z128" s="483"/>
      <c r="AA128" s="483"/>
      <c r="AB128" s="483"/>
      <c r="AC128" s="483"/>
      <c r="AD128" s="483"/>
      <c r="AE128" s="483"/>
      <c r="AF128" s="357"/>
      <c r="AG128" s="483"/>
      <c r="AH128" s="483"/>
      <c r="AI128" s="483"/>
      <c r="AJ128" s="483"/>
      <c r="AK128" s="483"/>
      <c r="AL128" s="483"/>
      <c r="AM128" s="483"/>
      <c r="AN128" s="483"/>
      <c r="AO128" s="483"/>
      <c r="AP128" s="483"/>
      <c r="AQ128" s="483"/>
      <c r="AR128" s="483"/>
      <c r="AS128" s="483"/>
    </row>
    <row r="129" spans="1:45" ht="12.75">
      <c r="A129" s="483"/>
      <c r="B129" s="483"/>
      <c r="C129" s="483"/>
      <c r="D129" s="483"/>
      <c r="E129" s="483"/>
      <c r="F129" s="483"/>
      <c r="G129" s="483"/>
      <c r="H129" s="483"/>
      <c r="I129" s="483"/>
      <c r="J129" s="483"/>
      <c r="K129" s="483"/>
      <c r="L129" s="483"/>
      <c r="M129" s="483"/>
      <c r="N129" s="483"/>
      <c r="O129" s="483"/>
      <c r="P129" s="483"/>
      <c r="Q129" s="483"/>
      <c r="R129" s="483"/>
      <c r="S129" s="483"/>
      <c r="T129" s="483"/>
      <c r="U129" s="483"/>
      <c r="V129" s="483"/>
      <c r="W129" s="483"/>
      <c r="X129" s="483"/>
      <c r="Y129" s="483"/>
      <c r="Z129" s="483"/>
      <c r="AA129" s="483"/>
      <c r="AB129" s="483"/>
      <c r="AC129" s="483"/>
      <c r="AD129" s="483"/>
      <c r="AE129" s="483"/>
      <c r="AF129" s="357"/>
      <c r="AG129" s="483"/>
      <c r="AH129" s="483"/>
      <c r="AI129" s="483"/>
      <c r="AJ129" s="483"/>
      <c r="AK129" s="483"/>
      <c r="AL129" s="483"/>
      <c r="AM129" s="483"/>
      <c r="AN129" s="483"/>
      <c r="AO129" s="483"/>
      <c r="AP129" s="483"/>
      <c r="AQ129" s="483"/>
      <c r="AR129" s="483"/>
      <c r="AS129" s="483"/>
    </row>
    <row r="130" spans="1:45" ht="12.75">
      <c r="A130" s="483"/>
      <c r="B130" s="483"/>
      <c r="C130" s="483"/>
      <c r="D130" s="483"/>
      <c r="E130" s="483"/>
      <c r="F130" s="483"/>
      <c r="G130" s="483"/>
      <c r="H130" s="483"/>
      <c r="I130" s="483"/>
      <c r="J130" s="483"/>
      <c r="K130" s="483"/>
      <c r="L130" s="483"/>
      <c r="M130" s="483"/>
      <c r="N130" s="483"/>
      <c r="O130" s="483"/>
      <c r="P130" s="483"/>
      <c r="Q130" s="483"/>
      <c r="R130" s="483"/>
      <c r="S130" s="483"/>
      <c r="T130" s="483"/>
      <c r="U130" s="483"/>
      <c r="V130" s="483"/>
      <c r="W130" s="483"/>
      <c r="X130" s="483"/>
      <c r="Y130" s="483"/>
      <c r="Z130" s="483"/>
      <c r="AA130" s="483"/>
      <c r="AB130" s="483"/>
      <c r="AC130" s="483"/>
      <c r="AD130" s="483"/>
      <c r="AE130" s="483"/>
      <c r="AF130" s="357"/>
      <c r="AG130" s="483"/>
      <c r="AH130" s="483"/>
      <c r="AI130" s="483"/>
      <c r="AJ130" s="483"/>
      <c r="AK130" s="483"/>
      <c r="AL130" s="483"/>
      <c r="AM130" s="483"/>
      <c r="AN130" s="483"/>
      <c r="AO130" s="483"/>
      <c r="AP130" s="483"/>
      <c r="AQ130" s="483"/>
      <c r="AR130" s="483"/>
      <c r="AS130" s="483"/>
    </row>
    <row r="131" spans="1:45" ht="12.75">
      <c r="A131" s="483"/>
      <c r="B131" s="483"/>
      <c r="C131" s="483"/>
      <c r="D131" s="483"/>
      <c r="E131" s="483"/>
      <c r="F131" s="483"/>
      <c r="G131" s="483"/>
      <c r="H131" s="483"/>
      <c r="I131" s="483"/>
      <c r="J131" s="483"/>
      <c r="K131" s="483"/>
      <c r="L131" s="483"/>
      <c r="M131" s="483"/>
      <c r="N131" s="483"/>
      <c r="O131" s="483"/>
      <c r="P131" s="483"/>
      <c r="Q131" s="483"/>
      <c r="R131" s="483"/>
      <c r="S131" s="483"/>
      <c r="T131" s="483"/>
      <c r="U131" s="483"/>
      <c r="V131" s="483"/>
      <c r="W131" s="483"/>
      <c r="X131" s="483"/>
      <c r="Y131" s="483"/>
      <c r="Z131" s="483"/>
      <c r="AA131" s="483"/>
      <c r="AB131" s="483"/>
      <c r="AC131" s="483"/>
      <c r="AD131" s="483"/>
      <c r="AE131" s="483"/>
      <c r="AF131" s="357"/>
      <c r="AG131" s="483"/>
      <c r="AH131" s="483"/>
      <c r="AI131" s="483"/>
      <c r="AJ131" s="483"/>
      <c r="AK131" s="483"/>
      <c r="AL131" s="483"/>
      <c r="AM131" s="483"/>
      <c r="AN131" s="483"/>
      <c r="AO131" s="483"/>
      <c r="AP131" s="483"/>
      <c r="AQ131" s="483"/>
      <c r="AR131" s="483"/>
      <c r="AS131" s="483"/>
    </row>
    <row r="132" spans="1:45" ht="12.75">
      <c r="A132" s="483"/>
      <c r="B132" s="483"/>
      <c r="C132" s="483"/>
      <c r="D132" s="483"/>
      <c r="E132" s="483"/>
      <c r="F132" s="483"/>
      <c r="G132" s="483"/>
      <c r="H132" s="483"/>
      <c r="I132" s="483"/>
      <c r="J132" s="483"/>
      <c r="K132" s="483"/>
      <c r="L132" s="483"/>
      <c r="M132" s="483"/>
      <c r="N132" s="483"/>
      <c r="O132" s="483"/>
      <c r="P132" s="483"/>
      <c r="Q132" s="483"/>
      <c r="R132" s="483"/>
      <c r="S132" s="483"/>
      <c r="T132" s="483"/>
      <c r="U132" s="483"/>
      <c r="V132" s="483"/>
      <c r="W132" s="483"/>
      <c r="X132" s="483"/>
      <c r="Y132" s="483"/>
      <c r="Z132" s="483"/>
      <c r="AA132" s="483"/>
      <c r="AB132" s="483"/>
      <c r="AC132" s="483"/>
      <c r="AD132" s="483"/>
      <c r="AE132" s="483"/>
      <c r="AF132" s="357"/>
      <c r="AG132" s="483"/>
      <c r="AH132" s="483"/>
      <c r="AI132" s="483"/>
      <c r="AJ132" s="483"/>
      <c r="AK132" s="483"/>
      <c r="AL132" s="483"/>
      <c r="AM132" s="483"/>
      <c r="AN132" s="483"/>
      <c r="AO132" s="483"/>
      <c r="AP132" s="483"/>
      <c r="AQ132" s="483"/>
      <c r="AR132" s="483"/>
      <c r="AS132" s="483"/>
    </row>
    <row r="133" spans="1:45" ht="12.75">
      <c r="A133" s="483"/>
      <c r="B133" s="483"/>
      <c r="C133" s="483"/>
      <c r="D133" s="483"/>
      <c r="E133" s="483"/>
      <c r="F133" s="483"/>
      <c r="G133" s="483"/>
      <c r="H133" s="483"/>
      <c r="I133" s="483"/>
      <c r="J133" s="483"/>
      <c r="K133" s="483"/>
      <c r="L133" s="483"/>
      <c r="M133" s="483"/>
      <c r="N133" s="483"/>
      <c r="O133" s="483"/>
      <c r="P133" s="483"/>
      <c r="Q133" s="483"/>
      <c r="R133" s="483"/>
      <c r="S133" s="483"/>
      <c r="T133" s="483"/>
      <c r="U133" s="483"/>
      <c r="V133" s="483"/>
      <c r="W133" s="483"/>
      <c r="X133" s="483"/>
      <c r="Y133" s="483"/>
      <c r="Z133" s="483"/>
      <c r="AA133" s="483"/>
      <c r="AB133" s="483"/>
      <c r="AC133" s="483"/>
      <c r="AD133" s="483"/>
      <c r="AE133" s="483"/>
      <c r="AF133" s="357"/>
      <c r="AG133" s="483"/>
      <c r="AH133" s="483"/>
      <c r="AI133" s="483"/>
      <c r="AJ133" s="483"/>
      <c r="AK133" s="483"/>
      <c r="AL133" s="483"/>
      <c r="AM133" s="483"/>
      <c r="AN133" s="483"/>
      <c r="AO133" s="483"/>
      <c r="AP133" s="483"/>
      <c r="AQ133" s="483"/>
      <c r="AR133" s="483"/>
      <c r="AS133" s="483"/>
    </row>
    <row r="134" spans="1:45" ht="12.75">
      <c r="A134" s="483"/>
      <c r="B134" s="483"/>
      <c r="C134" s="483"/>
      <c r="D134" s="483"/>
      <c r="E134" s="483"/>
      <c r="F134" s="483"/>
      <c r="G134" s="483"/>
      <c r="H134" s="483"/>
      <c r="I134" s="483"/>
      <c r="J134" s="483"/>
      <c r="K134" s="483"/>
      <c r="L134" s="483"/>
      <c r="M134" s="483"/>
      <c r="N134" s="483"/>
      <c r="O134" s="483"/>
      <c r="P134" s="483"/>
      <c r="Q134" s="483"/>
      <c r="R134" s="483"/>
      <c r="S134" s="483"/>
      <c r="T134" s="483"/>
      <c r="U134" s="483"/>
      <c r="V134" s="483"/>
      <c r="W134" s="483"/>
      <c r="X134" s="483"/>
      <c r="Y134" s="483"/>
      <c r="Z134" s="483"/>
      <c r="AA134" s="483"/>
      <c r="AB134" s="483"/>
      <c r="AC134" s="483"/>
      <c r="AD134" s="483"/>
      <c r="AE134" s="483"/>
      <c r="AF134" s="357"/>
      <c r="AG134" s="483"/>
      <c r="AH134" s="483"/>
      <c r="AI134" s="483"/>
      <c r="AJ134" s="483"/>
      <c r="AK134" s="483"/>
      <c r="AL134" s="483"/>
      <c r="AM134" s="483"/>
      <c r="AN134" s="483"/>
      <c r="AO134" s="483"/>
      <c r="AP134" s="483"/>
      <c r="AQ134" s="483"/>
      <c r="AR134" s="483"/>
      <c r="AS134" s="483"/>
    </row>
    <row r="135" spans="1:45" ht="12.75">
      <c r="A135" s="483"/>
      <c r="B135" s="483"/>
      <c r="C135" s="483"/>
      <c r="D135" s="483"/>
      <c r="E135" s="483"/>
      <c r="F135" s="483"/>
      <c r="G135" s="483"/>
      <c r="H135" s="483"/>
      <c r="I135" s="483"/>
      <c r="J135" s="483"/>
      <c r="K135" s="483"/>
      <c r="L135" s="483"/>
      <c r="M135" s="483"/>
      <c r="N135" s="483"/>
      <c r="O135" s="483"/>
      <c r="P135" s="483"/>
      <c r="Q135" s="483"/>
      <c r="R135" s="483"/>
      <c r="S135" s="483"/>
      <c r="T135" s="483"/>
      <c r="U135" s="483"/>
      <c r="V135" s="483"/>
      <c r="W135" s="483"/>
      <c r="X135" s="483"/>
      <c r="Y135" s="483"/>
      <c r="Z135" s="483"/>
      <c r="AA135" s="483"/>
      <c r="AB135" s="483"/>
      <c r="AC135" s="483"/>
      <c r="AD135" s="483"/>
      <c r="AE135" s="483"/>
      <c r="AF135" s="357"/>
      <c r="AG135" s="483"/>
      <c r="AH135" s="483"/>
      <c r="AI135" s="483"/>
      <c r="AJ135" s="483"/>
      <c r="AK135" s="483"/>
      <c r="AL135" s="483"/>
      <c r="AM135" s="483"/>
      <c r="AN135" s="483"/>
      <c r="AO135" s="483"/>
      <c r="AP135" s="483"/>
      <c r="AQ135" s="483"/>
      <c r="AR135" s="483"/>
      <c r="AS135" s="483"/>
    </row>
    <row r="136" spans="1:45" ht="12.75">
      <c r="A136" s="483"/>
      <c r="B136" s="483"/>
      <c r="C136" s="483"/>
      <c r="D136" s="483"/>
      <c r="E136" s="483"/>
      <c r="F136" s="483"/>
      <c r="G136" s="483"/>
      <c r="H136" s="483"/>
      <c r="I136" s="483"/>
      <c r="J136" s="483"/>
      <c r="K136" s="483"/>
      <c r="L136" s="483"/>
      <c r="M136" s="483"/>
      <c r="N136" s="483"/>
      <c r="O136" s="483"/>
      <c r="P136" s="483"/>
      <c r="Q136" s="483"/>
      <c r="R136" s="483"/>
      <c r="S136" s="483"/>
      <c r="T136" s="483"/>
      <c r="U136" s="483"/>
      <c r="V136" s="483"/>
      <c r="W136" s="483"/>
      <c r="X136" s="483"/>
      <c r="Y136" s="483"/>
      <c r="Z136" s="483"/>
      <c r="AA136" s="483"/>
      <c r="AB136" s="483"/>
      <c r="AC136" s="483"/>
      <c r="AD136" s="483"/>
      <c r="AE136" s="483"/>
      <c r="AF136" s="357"/>
      <c r="AG136" s="483"/>
      <c r="AH136" s="483"/>
      <c r="AI136" s="483"/>
      <c r="AJ136" s="483"/>
      <c r="AK136" s="483"/>
      <c r="AL136" s="483"/>
      <c r="AM136" s="483"/>
      <c r="AN136" s="483"/>
      <c r="AO136" s="483"/>
      <c r="AP136" s="483"/>
      <c r="AQ136" s="483"/>
      <c r="AR136" s="483"/>
      <c r="AS136" s="483"/>
    </row>
    <row r="137" spans="1:45" ht="12.75">
      <c r="A137" s="483"/>
      <c r="B137" s="483"/>
      <c r="C137" s="483"/>
      <c r="D137" s="483"/>
      <c r="E137" s="483"/>
      <c r="F137" s="483"/>
      <c r="G137" s="483"/>
      <c r="H137" s="483"/>
      <c r="I137" s="483"/>
      <c r="J137" s="483"/>
      <c r="K137" s="483"/>
      <c r="L137" s="483"/>
      <c r="M137" s="483"/>
      <c r="N137" s="483"/>
      <c r="O137" s="483"/>
      <c r="P137" s="483"/>
      <c r="Q137" s="483"/>
      <c r="R137" s="483"/>
      <c r="S137" s="483"/>
      <c r="T137" s="483"/>
      <c r="U137" s="483"/>
      <c r="V137" s="483"/>
      <c r="W137" s="483"/>
      <c r="X137" s="483"/>
      <c r="Y137" s="483"/>
      <c r="Z137" s="483"/>
      <c r="AA137" s="483"/>
      <c r="AB137" s="483"/>
      <c r="AC137" s="483"/>
      <c r="AD137" s="483"/>
      <c r="AE137" s="483"/>
      <c r="AF137" s="357"/>
      <c r="AG137" s="483"/>
      <c r="AH137" s="483"/>
      <c r="AI137" s="483"/>
      <c r="AJ137" s="483"/>
      <c r="AK137" s="483"/>
      <c r="AL137" s="483"/>
      <c r="AM137" s="483"/>
      <c r="AN137" s="483"/>
      <c r="AO137" s="483"/>
      <c r="AP137" s="483"/>
      <c r="AQ137" s="483"/>
      <c r="AR137" s="483"/>
      <c r="AS137" s="483"/>
    </row>
    <row r="138" spans="1:45" ht="12.75">
      <c r="A138" s="483"/>
      <c r="B138" s="483"/>
      <c r="C138" s="483"/>
      <c r="D138" s="483"/>
      <c r="E138" s="483"/>
      <c r="F138" s="483"/>
      <c r="G138" s="483"/>
      <c r="H138" s="483"/>
      <c r="I138" s="483"/>
      <c r="J138" s="483"/>
      <c r="K138" s="483"/>
      <c r="L138" s="483"/>
      <c r="M138" s="483"/>
      <c r="N138" s="483"/>
      <c r="O138" s="483"/>
      <c r="P138" s="483"/>
      <c r="Q138" s="483"/>
      <c r="R138" s="483"/>
      <c r="S138" s="483"/>
      <c r="T138" s="483"/>
      <c r="U138" s="483"/>
      <c r="V138" s="483"/>
      <c r="W138" s="483"/>
      <c r="X138" s="483"/>
      <c r="Y138" s="483"/>
      <c r="Z138" s="483"/>
      <c r="AA138" s="483"/>
      <c r="AB138" s="483"/>
      <c r="AC138" s="483"/>
      <c r="AD138" s="483"/>
      <c r="AE138" s="483"/>
      <c r="AF138" s="357"/>
      <c r="AG138" s="483"/>
      <c r="AH138" s="483"/>
      <c r="AI138" s="483"/>
      <c r="AJ138" s="483"/>
      <c r="AK138" s="483"/>
      <c r="AL138" s="483"/>
      <c r="AM138" s="483"/>
      <c r="AN138" s="483"/>
      <c r="AO138" s="483"/>
      <c r="AP138" s="483"/>
      <c r="AQ138" s="483"/>
      <c r="AR138" s="483"/>
      <c r="AS138" s="483"/>
    </row>
    <row r="139" spans="1:45" ht="12.75">
      <c r="A139" s="483"/>
      <c r="B139" s="483"/>
      <c r="C139" s="483"/>
      <c r="D139" s="483"/>
      <c r="E139" s="483"/>
      <c r="F139" s="483"/>
      <c r="G139" s="483"/>
      <c r="H139" s="483"/>
      <c r="I139" s="483"/>
      <c r="J139" s="483"/>
      <c r="K139" s="483"/>
      <c r="L139" s="483"/>
      <c r="M139" s="483"/>
      <c r="N139" s="483"/>
      <c r="O139" s="483"/>
      <c r="P139" s="483"/>
      <c r="Q139" s="483"/>
      <c r="R139" s="483"/>
      <c r="S139" s="483"/>
      <c r="T139" s="483"/>
      <c r="U139" s="483"/>
      <c r="V139" s="483"/>
      <c r="W139" s="483"/>
      <c r="X139" s="483"/>
      <c r="Y139" s="483"/>
      <c r="Z139" s="483"/>
      <c r="AA139" s="483"/>
      <c r="AB139" s="483"/>
      <c r="AC139" s="483"/>
      <c r="AD139" s="483"/>
      <c r="AE139" s="483"/>
      <c r="AF139" s="357"/>
      <c r="AG139" s="483"/>
      <c r="AH139" s="483"/>
      <c r="AI139" s="483"/>
      <c r="AJ139" s="483"/>
      <c r="AK139" s="483"/>
      <c r="AL139" s="483"/>
      <c r="AM139" s="483"/>
      <c r="AN139" s="483"/>
      <c r="AO139" s="483"/>
      <c r="AP139" s="483"/>
      <c r="AQ139" s="483"/>
      <c r="AR139" s="483"/>
      <c r="AS139" s="483"/>
    </row>
    <row r="140" spans="1:45" ht="12.75">
      <c r="A140" s="483"/>
      <c r="B140" s="483"/>
      <c r="C140" s="483"/>
      <c r="D140" s="483"/>
      <c r="E140" s="483"/>
      <c r="F140" s="483"/>
      <c r="G140" s="483"/>
      <c r="H140" s="483"/>
      <c r="I140" s="483"/>
      <c r="J140" s="483"/>
      <c r="K140" s="483"/>
      <c r="L140" s="483"/>
      <c r="M140" s="483"/>
      <c r="N140" s="483"/>
      <c r="O140" s="483"/>
      <c r="P140" s="483"/>
      <c r="Q140" s="483"/>
      <c r="R140" s="483"/>
      <c r="S140" s="483"/>
      <c r="T140" s="483"/>
      <c r="U140" s="483"/>
      <c r="V140" s="483"/>
      <c r="W140" s="483"/>
      <c r="X140" s="483"/>
      <c r="Y140" s="483"/>
      <c r="Z140" s="483"/>
      <c r="AA140" s="483"/>
      <c r="AB140" s="483"/>
      <c r="AC140" s="483"/>
      <c r="AD140" s="483"/>
      <c r="AE140" s="483"/>
      <c r="AF140" s="357"/>
      <c r="AG140" s="483"/>
      <c r="AH140" s="483"/>
      <c r="AI140" s="483"/>
      <c r="AJ140" s="483"/>
      <c r="AK140" s="483"/>
      <c r="AL140" s="483"/>
      <c r="AM140" s="483"/>
      <c r="AN140" s="483"/>
      <c r="AO140" s="483"/>
      <c r="AP140" s="483"/>
      <c r="AQ140" s="483"/>
      <c r="AR140" s="483"/>
      <c r="AS140" s="483"/>
    </row>
    <row r="141" spans="1:45" ht="12.75">
      <c r="A141" s="483"/>
      <c r="B141" s="483"/>
      <c r="C141" s="483"/>
      <c r="D141" s="483"/>
      <c r="E141" s="483"/>
      <c r="F141" s="483"/>
      <c r="G141" s="483"/>
      <c r="H141" s="483"/>
      <c r="I141" s="483"/>
      <c r="J141" s="483"/>
      <c r="K141" s="483"/>
      <c r="L141" s="483"/>
      <c r="M141" s="483"/>
      <c r="N141" s="483"/>
      <c r="O141" s="483"/>
      <c r="P141" s="483"/>
      <c r="Q141" s="483"/>
      <c r="R141" s="483"/>
      <c r="S141" s="483"/>
      <c r="T141" s="483"/>
      <c r="U141" s="483"/>
      <c r="V141" s="483"/>
      <c r="W141" s="483"/>
      <c r="X141" s="483"/>
      <c r="Y141" s="483"/>
      <c r="Z141" s="483"/>
      <c r="AA141" s="483"/>
      <c r="AB141" s="483"/>
      <c r="AC141" s="483"/>
      <c r="AD141" s="483"/>
      <c r="AE141" s="483"/>
      <c r="AF141" s="357"/>
      <c r="AG141" s="483"/>
      <c r="AH141" s="483"/>
      <c r="AI141" s="483"/>
      <c r="AJ141" s="483"/>
      <c r="AK141" s="483"/>
      <c r="AL141" s="483"/>
      <c r="AM141" s="483"/>
      <c r="AN141" s="483"/>
      <c r="AO141" s="483"/>
      <c r="AP141" s="483"/>
      <c r="AQ141" s="483"/>
      <c r="AR141" s="483"/>
      <c r="AS141" s="483"/>
    </row>
    <row r="142" spans="1:45" ht="12.75">
      <c r="A142" s="483"/>
      <c r="B142" s="483"/>
      <c r="C142" s="483"/>
      <c r="D142" s="483"/>
      <c r="E142" s="483"/>
      <c r="F142" s="483"/>
      <c r="G142" s="483"/>
      <c r="H142" s="483"/>
      <c r="I142" s="483"/>
      <c r="J142" s="483"/>
      <c r="K142" s="483"/>
      <c r="L142" s="483"/>
      <c r="M142" s="483"/>
      <c r="N142" s="483"/>
      <c r="O142" s="483"/>
      <c r="P142" s="483"/>
      <c r="Q142" s="483"/>
      <c r="R142" s="483"/>
      <c r="S142" s="483"/>
      <c r="T142" s="483"/>
      <c r="U142" s="483"/>
      <c r="V142" s="483"/>
      <c r="W142" s="483"/>
      <c r="X142" s="483"/>
      <c r="Y142" s="483"/>
      <c r="Z142" s="483"/>
      <c r="AA142" s="483"/>
      <c r="AB142" s="483"/>
      <c r="AC142" s="483"/>
      <c r="AD142" s="483"/>
      <c r="AE142" s="483"/>
      <c r="AF142" s="357"/>
      <c r="AG142" s="483"/>
      <c r="AH142" s="483"/>
      <c r="AI142" s="483"/>
      <c r="AJ142" s="483"/>
      <c r="AK142" s="483"/>
      <c r="AL142" s="483"/>
      <c r="AM142" s="483"/>
      <c r="AN142" s="483"/>
      <c r="AO142" s="483"/>
      <c r="AP142" s="483"/>
      <c r="AQ142" s="483"/>
      <c r="AR142" s="483"/>
      <c r="AS142" s="483"/>
    </row>
    <row r="143" spans="1:45" ht="12.75">
      <c r="A143" s="483"/>
      <c r="B143" s="483"/>
      <c r="C143" s="483"/>
      <c r="D143" s="483"/>
      <c r="E143" s="483"/>
      <c r="F143" s="483"/>
      <c r="G143" s="483"/>
      <c r="H143" s="483"/>
      <c r="I143" s="483"/>
      <c r="J143" s="483"/>
      <c r="K143" s="483"/>
      <c r="L143" s="483"/>
      <c r="M143" s="483"/>
      <c r="N143" s="483"/>
      <c r="O143" s="483"/>
      <c r="P143" s="483"/>
      <c r="Q143" s="483"/>
      <c r="R143" s="483"/>
      <c r="S143" s="483"/>
      <c r="T143" s="483"/>
      <c r="U143" s="483"/>
      <c r="V143" s="483"/>
      <c r="W143" s="483"/>
      <c r="X143" s="483"/>
      <c r="Y143" s="483"/>
      <c r="Z143" s="483"/>
      <c r="AA143" s="483"/>
      <c r="AB143" s="483"/>
      <c r="AC143" s="483"/>
      <c r="AD143" s="483"/>
      <c r="AE143" s="483"/>
      <c r="AF143" s="357"/>
      <c r="AG143" s="483"/>
      <c r="AH143" s="483"/>
      <c r="AI143" s="483"/>
      <c r="AJ143" s="483"/>
      <c r="AK143" s="483"/>
      <c r="AL143" s="483"/>
      <c r="AM143" s="483"/>
      <c r="AN143" s="483"/>
      <c r="AO143" s="483"/>
      <c r="AP143" s="483"/>
      <c r="AQ143" s="483"/>
      <c r="AR143" s="483"/>
      <c r="AS143" s="483"/>
    </row>
    <row r="144" spans="1:45" ht="12.75">
      <c r="A144" s="483"/>
      <c r="B144" s="483"/>
      <c r="C144" s="483"/>
      <c r="D144" s="483"/>
      <c r="E144" s="483"/>
      <c r="F144" s="483"/>
      <c r="G144" s="483"/>
      <c r="H144" s="483"/>
      <c r="I144" s="483"/>
      <c r="J144" s="483"/>
      <c r="K144" s="483"/>
      <c r="L144" s="483"/>
      <c r="M144" s="483"/>
      <c r="N144" s="483"/>
      <c r="O144" s="483"/>
      <c r="P144" s="483"/>
      <c r="Q144" s="483"/>
      <c r="R144" s="483"/>
      <c r="S144" s="483"/>
      <c r="T144" s="483"/>
      <c r="U144" s="483"/>
      <c r="V144" s="483"/>
      <c r="W144" s="483"/>
      <c r="X144" s="483"/>
      <c r="Y144" s="483"/>
      <c r="Z144" s="483"/>
      <c r="AA144" s="483"/>
      <c r="AB144" s="483"/>
      <c r="AC144" s="483"/>
      <c r="AD144" s="483"/>
      <c r="AE144" s="483"/>
      <c r="AF144" s="357"/>
      <c r="AG144" s="483"/>
      <c r="AH144" s="483"/>
      <c r="AI144" s="483"/>
      <c r="AJ144" s="483"/>
      <c r="AK144" s="483"/>
      <c r="AL144" s="483"/>
      <c r="AM144" s="483"/>
      <c r="AN144" s="483"/>
      <c r="AO144" s="483"/>
      <c r="AP144" s="483"/>
      <c r="AQ144" s="483"/>
      <c r="AR144" s="483"/>
      <c r="AS144" s="483"/>
    </row>
    <row r="145" spans="1:45" ht="12.75">
      <c r="A145" s="483"/>
      <c r="B145" s="483"/>
      <c r="C145" s="483"/>
      <c r="D145" s="483"/>
      <c r="E145" s="483"/>
      <c r="F145" s="483"/>
      <c r="G145" s="483"/>
      <c r="H145" s="483"/>
      <c r="I145" s="483"/>
      <c r="J145" s="483"/>
      <c r="K145" s="483"/>
      <c r="L145" s="483"/>
      <c r="M145" s="483"/>
      <c r="N145" s="483"/>
      <c r="O145" s="483"/>
      <c r="P145" s="483"/>
      <c r="Q145" s="483"/>
      <c r="R145" s="483"/>
      <c r="S145" s="483"/>
      <c r="T145" s="483"/>
      <c r="U145" s="483"/>
      <c r="V145" s="483"/>
      <c r="W145" s="483"/>
      <c r="X145" s="483"/>
      <c r="Y145" s="483"/>
      <c r="Z145" s="483"/>
      <c r="AA145" s="483"/>
      <c r="AB145" s="483"/>
      <c r="AC145" s="483"/>
      <c r="AD145" s="483"/>
      <c r="AE145" s="483"/>
      <c r="AF145" s="357"/>
      <c r="AG145" s="483"/>
      <c r="AH145" s="483"/>
      <c r="AI145" s="483"/>
      <c r="AJ145" s="483"/>
      <c r="AK145" s="483"/>
      <c r="AL145" s="483"/>
      <c r="AM145" s="483"/>
      <c r="AN145" s="483"/>
      <c r="AO145" s="483"/>
      <c r="AP145" s="483"/>
      <c r="AQ145" s="483"/>
      <c r="AR145" s="483"/>
      <c r="AS145" s="483"/>
    </row>
    <row r="146" spans="1:45" ht="12.75">
      <c r="A146" s="483"/>
      <c r="B146" s="483"/>
      <c r="C146" s="483"/>
      <c r="D146" s="483"/>
      <c r="E146" s="483"/>
      <c r="F146" s="483"/>
      <c r="G146" s="483"/>
      <c r="H146" s="483"/>
      <c r="I146" s="483"/>
      <c r="J146" s="483"/>
      <c r="K146" s="483"/>
      <c r="L146" s="483"/>
      <c r="M146" s="483"/>
      <c r="N146" s="483"/>
      <c r="O146" s="483"/>
      <c r="P146" s="483"/>
      <c r="Q146" s="483"/>
      <c r="R146" s="483"/>
      <c r="S146" s="483"/>
      <c r="T146" s="483"/>
      <c r="U146" s="483"/>
      <c r="V146" s="483"/>
      <c r="W146" s="483"/>
      <c r="X146" s="483"/>
      <c r="Y146" s="483"/>
      <c r="Z146" s="483"/>
      <c r="AA146" s="483"/>
      <c r="AB146" s="483"/>
      <c r="AC146" s="483"/>
      <c r="AD146" s="483"/>
      <c r="AE146" s="483"/>
      <c r="AF146" s="357"/>
      <c r="AG146" s="483"/>
      <c r="AH146" s="483"/>
      <c r="AI146" s="483"/>
      <c r="AJ146" s="483"/>
      <c r="AK146" s="483"/>
      <c r="AL146" s="483"/>
      <c r="AM146" s="483"/>
      <c r="AN146" s="483"/>
      <c r="AO146" s="483"/>
      <c r="AP146" s="483"/>
      <c r="AQ146" s="483"/>
      <c r="AR146" s="483"/>
      <c r="AS146" s="483"/>
    </row>
    <row r="147" spans="1:45" ht="12.75">
      <c r="A147" s="483"/>
      <c r="B147" s="483"/>
      <c r="C147" s="483"/>
      <c r="D147" s="483"/>
      <c r="E147" s="483"/>
      <c r="F147" s="483"/>
      <c r="G147" s="483"/>
      <c r="H147" s="483"/>
      <c r="I147" s="483"/>
      <c r="J147" s="483"/>
      <c r="K147" s="483"/>
      <c r="L147" s="483"/>
      <c r="M147" s="483"/>
      <c r="N147" s="483"/>
      <c r="O147" s="483"/>
      <c r="P147" s="483"/>
      <c r="Q147" s="483"/>
      <c r="R147" s="483"/>
      <c r="S147" s="483"/>
      <c r="T147" s="483"/>
      <c r="U147" s="483"/>
      <c r="V147" s="483"/>
      <c r="W147" s="483"/>
      <c r="X147" s="483"/>
      <c r="Y147" s="483"/>
      <c r="Z147" s="483"/>
      <c r="AA147" s="483"/>
      <c r="AB147" s="483"/>
      <c r="AC147" s="483"/>
      <c r="AD147" s="483"/>
      <c r="AE147" s="483"/>
      <c r="AF147" s="357"/>
      <c r="AG147" s="483"/>
      <c r="AH147" s="483"/>
      <c r="AI147" s="483"/>
      <c r="AJ147" s="483"/>
      <c r="AK147" s="483"/>
      <c r="AL147" s="483"/>
      <c r="AM147" s="483"/>
      <c r="AN147" s="483"/>
      <c r="AO147" s="483"/>
      <c r="AP147" s="483"/>
      <c r="AQ147" s="483"/>
      <c r="AR147" s="483"/>
      <c r="AS147" s="483"/>
    </row>
    <row r="148" spans="1:45" ht="12.75">
      <c r="A148" s="483"/>
      <c r="B148" s="483"/>
      <c r="C148" s="483"/>
      <c r="D148" s="483"/>
      <c r="E148" s="483"/>
      <c r="F148" s="483"/>
      <c r="G148" s="483"/>
      <c r="H148" s="483"/>
      <c r="I148" s="483"/>
      <c r="J148" s="483"/>
      <c r="K148" s="483"/>
      <c r="L148" s="483"/>
      <c r="M148" s="483"/>
      <c r="N148" s="483"/>
      <c r="O148" s="483"/>
      <c r="P148" s="483"/>
      <c r="Q148" s="483"/>
      <c r="R148" s="483"/>
      <c r="S148" s="483"/>
      <c r="T148" s="483"/>
      <c r="U148" s="483"/>
      <c r="V148" s="483"/>
      <c r="W148" s="483"/>
      <c r="X148" s="483"/>
      <c r="Y148" s="483"/>
      <c r="Z148" s="483"/>
      <c r="AA148" s="483"/>
      <c r="AB148" s="483"/>
      <c r="AC148" s="483"/>
      <c r="AD148" s="483"/>
      <c r="AE148" s="483"/>
      <c r="AF148" s="357"/>
      <c r="AG148" s="483"/>
      <c r="AH148" s="483"/>
      <c r="AI148" s="483"/>
      <c r="AJ148" s="483"/>
      <c r="AK148" s="483"/>
      <c r="AL148" s="483"/>
      <c r="AM148" s="483"/>
      <c r="AN148" s="483"/>
      <c r="AO148" s="483"/>
      <c r="AP148" s="483"/>
      <c r="AQ148" s="483"/>
      <c r="AR148" s="483"/>
      <c r="AS148" s="483"/>
    </row>
    <row r="149" spans="1:45" ht="6.75" customHeight="1">
      <c r="A149" s="483"/>
      <c r="B149" s="483"/>
      <c r="C149" s="483"/>
      <c r="D149" s="483"/>
      <c r="E149" s="483"/>
      <c r="F149" s="483"/>
      <c r="G149" s="483"/>
      <c r="H149" s="483"/>
      <c r="I149" s="483"/>
      <c r="J149" s="483"/>
      <c r="K149" s="483"/>
      <c r="L149" s="483"/>
      <c r="M149" s="483"/>
      <c r="N149" s="483"/>
      <c r="O149" s="483"/>
      <c r="P149" s="483"/>
      <c r="Q149" s="483"/>
      <c r="R149" s="483"/>
      <c r="S149" s="483"/>
      <c r="T149" s="483"/>
      <c r="U149" s="483"/>
      <c r="V149" s="483"/>
      <c r="W149" s="483"/>
      <c r="X149" s="483"/>
      <c r="Y149" s="483"/>
      <c r="Z149" s="483"/>
      <c r="AA149" s="483"/>
      <c r="AB149" s="483"/>
      <c r="AC149" s="483"/>
      <c r="AD149" s="483"/>
      <c r="AE149" s="483"/>
      <c r="AF149" s="357"/>
      <c r="AG149" s="483"/>
      <c r="AH149" s="483"/>
      <c r="AI149" s="483"/>
      <c r="AJ149" s="483"/>
      <c r="AK149" s="483"/>
      <c r="AL149" s="483"/>
      <c r="AM149" s="483"/>
      <c r="AN149" s="483"/>
      <c r="AO149" s="483"/>
      <c r="AP149" s="483"/>
      <c r="AQ149" s="483"/>
      <c r="AR149" s="483"/>
      <c r="AS149" s="483"/>
    </row>
    <row r="150" spans="1:45" ht="12.75">
      <c r="A150" s="483"/>
      <c r="B150" s="483"/>
      <c r="C150" s="483"/>
      <c r="D150" s="483"/>
      <c r="E150" s="483"/>
      <c r="F150" s="483"/>
      <c r="G150" s="483"/>
      <c r="H150" s="483"/>
      <c r="I150" s="483"/>
      <c r="J150" s="483"/>
      <c r="K150" s="483"/>
      <c r="L150" s="483"/>
      <c r="M150" s="483"/>
      <c r="N150" s="483"/>
      <c r="O150" s="483"/>
      <c r="P150" s="483"/>
      <c r="Q150" s="483"/>
      <c r="R150" s="483"/>
      <c r="S150" s="483"/>
      <c r="T150" s="483"/>
      <c r="U150" s="483"/>
      <c r="V150" s="483"/>
      <c r="W150" s="483"/>
      <c r="X150" s="483"/>
      <c r="Y150" s="483"/>
      <c r="Z150" s="483"/>
      <c r="AA150" s="483"/>
      <c r="AB150" s="483"/>
      <c r="AC150" s="483"/>
      <c r="AD150" s="483"/>
      <c r="AE150" s="483"/>
      <c r="AF150" s="357"/>
      <c r="AG150" s="483"/>
      <c r="AH150" s="483"/>
      <c r="AI150" s="483"/>
      <c r="AJ150" s="483"/>
      <c r="AK150" s="483"/>
      <c r="AL150" s="483"/>
      <c r="AM150" s="483"/>
      <c r="AN150" s="483"/>
      <c r="AO150" s="483"/>
      <c r="AP150" s="483"/>
      <c r="AQ150" s="483"/>
      <c r="AR150" s="483"/>
      <c r="AS150" s="483"/>
    </row>
    <row r="151" spans="1:45" ht="12.75">
      <c r="A151" s="483"/>
      <c r="B151" s="483"/>
      <c r="C151" s="483"/>
      <c r="D151" s="483"/>
      <c r="E151" s="483"/>
      <c r="F151" s="483"/>
      <c r="G151" s="483"/>
      <c r="H151" s="483"/>
      <c r="I151" s="483"/>
      <c r="J151" s="483"/>
      <c r="K151" s="483"/>
      <c r="L151" s="483"/>
      <c r="M151" s="483"/>
      <c r="N151" s="483"/>
      <c r="O151" s="483"/>
      <c r="P151" s="483"/>
      <c r="Q151" s="483"/>
      <c r="R151" s="483"/>
      <c r="S151" s="483"/>
      <c r="T151" s="483"/>
      <c r="U151" s="483"/>
      <c r="V151" s="483"/>
      <c r="W151" s="483"/>
      <c r="X151" s="483"/>
      <c r="Y151" s="483"/>
      <c r="Z151" s="483"/>
      <c r="AA151" s="483"/>
      <c r="AB151" s="483"/>
      <c r="AC151" s="483"/>
      <c r="AD151" s="483"/>
      <c r="AE151" s="483"/>
      <c r="AF151" s="357"/>
      <c r="AG151" s="483"/>
      <c r="AH151" s="483"/>
      <c r="AI151" s="483"/>
      <c r="AJ151" s="483"/>
      <c r="AK151" s="483"/>
      <c r="AL151" s="483"/>
      <c r="AM151" s="483"/>
      <c r="AN151" s="483"/>
      <c r="AO151" s="483"/>
      <c r="AP151" s="483"/>
      <c r="AQ151" s="483"/>
      <c r="AR151" s="483"/>
      <c r="AS151" s="483"/>
    </row>
    <row r="152" spans="1:16" ht="12.75">
      <c r="A152" s="483"/>
      <c r="B152" s="483"/>
      <c r="C152" s="483"/>
      <c r="D152" s="483"/>
      <c r="E152" s="483"/>
      <c r="F152" s="483"/>
      <c r="G152" s="483"/>
      <c r="H152" s="483"/>
      <c r="I152" s="483"/>
      <c r="J152" s="483"/>
      <c r="K152" s="483"/>
      <c r="L152" s="483"/>
      <c r="M152" s="483"/>
      <c r="N152" s="483"/>
      <c r="O152" s="483"/>
      <c r="P152" s="483"/>
    </row>
  </sheetData>
  <sheetProtection formatCells="0" selectLockedCells="1"/>
  <protectedRanges>
    <protectedRange sqref="C37:D40" name="EditRange"/>
    <protectedRange sqref="M63 M60" name="EditRange_1"/>
  </protectedRanges>
  <mergeCells count="22">
    <mergeCell ref="R28:S28"/>
    <mergeCell ref="F32:G32"/>
    <mergeCell ref="F17:G17"/>
    <mergeCell ref="H17:K17"/>
    <mergeCell ref="L17:N17"/>
    <mergeCell ref="F21:G21"/>
    <mergeCell ref="I21:J21"/>
    <mergeCell ref="N64:O64"/>
    <mergeCell ref="F14:G14"/>
    <mergeCell ref="I14:J14"/>
    <mergeCell ref="F25:G25"/>
    <mergeCell ref="F26:G26"/>
    <mergeCell ref="F27:G27"/>
    <mergeCell ref="F28:G28"/>
    <mergeCell ref="C34:F35"/>
    <mergeCell ref="F11:G11"/>
    <mergeCell ref="I11:J11"/>
    <mergeCell ref="B8:C8"/>
    <mergeCell ref="F9:H9"/>
    <mergeCell ref="I9:K9"/>
    <mergeCell ref="E10:G10"/>
    <mergeCell ref="I10:L10"/>
  </mergeCells>
  <conditionalFormatting sqref="E41">
    <cfRule type="cellIs" priority="2" dxfId="15" operator="equal" stopIfTrue="1">
      <formula>$F$32</formula>
    </cfRule>
    <cfRule type="cellIs" priority="3" dxfId="14" operator="notEqual" stopIfTrue="1">
      <formula>$F$32</formula>
    </cfRule>
  </conditionalFormatting>
  <conditionalFormatting sqref="C41">
    <cfRule type="cellIs" priority="4" dxfId="15" operator="equal" stopIfTrue="1">
      <formula>1</formula>
    </cfRule>
    <cfRule type="cellIs" priority="5" dxfId="14" operator="notEqual" stopIfTrue="1">
      <formula>1</formula>
    </cfRule>
  </conditionalFormatting>
  <conditionalFormatting sqref="E4:E6">
    <cfRule type="cellIs" priority="1" dxfId="12" operator="equal" stopIfTrue="1">
      <formula>0</formula>
    </cfRule>
  </conditionalFormatting>
  <dataValidations count="5">
    <dataValidation type="list" allowBlank="1" showInputMessage="1" showErrorMessage="1" sqref="F18">
      <formula1>$U$48:$U$58</formula1>
    </dataValidation>
    <dataValidation type="list" allowBlank="1" showInputMessage="1" showErrorMessage="1" sqref="I10:L10">
      <formula1>$W$14:$W$15</formula1>
    </dataValidation>
    <dataValidation type="list" allowBlank="1" showErrorMessage="1" sqref="E10">
      <formula1>$T$14:$T$15</formula1>
    </dataValidation>
    <dataValidation type="list" allowBlank="1" showInputMessage="1" showErrorMessage="1" sqref="L17:N17">
      <formula1>$W$19:$W$59</formula1>
    </dataValidation>
    <dataValidation type="list" allowBlank="1" showInputMessage="1" showErrorMessage="1" sqref="F17:G17">
      <formula1>$T$18:$T$19</formula1>
    </dataValidation>
  </dataValidations>
  <printOptions/>
  <pageMargins left="0.5" right="0.5" top="0.5" bottom="0.5" header="0.3" footer="0.3"/>
  <pageSetup fitToHeight="1" fitToWidth="1" horizontalDpi="600" verticalDpi="600" orientation="portrait" scale="90" r:id="rId2"/>
  <ignoredErrors>
    <ignoredError sqref="H19" unlockedFormula="1"/>
  </ignoredErrors>
  <drawing r:id="rId1"/>
</worksheet>
</file>

<file path=xl/worksheets/sheet4.xml><?xml version="1.0" encoding="utf-8"?>
<worksheet xmlns="http://schemas.openxmlformats.org/spreadsheetml/2006/main" xmlns:r="http://schemas.openxmlformats.org/officeDocument/2006/relationships">
  <sheetPr codeName="Sheet6">
    <pageSetUpPr fitToPage="1"/>
  </sheetPr>
  <dimension ref="A1:BI231"/>
  <sheetViews>
    <sheetView showGridLines="0" zoomScaleSheetLayoutView="85" zoomScalePageLayoutView="0" workbookViewId="0" topLeftCell="A1">
      <selection activeCell="W5" sqref="W5:AE7"/>
    </sheetView>
  </sheetViews>
  <sheetFormatPr defaultColWidth="9.140625" defaultRowHeight="12.75"/>
  <cols>
    <col min="1" max="1" width="2.57421875" style="0" customWidth="1"/>
    <col min="2" max="2" width="1.1484375" style="0" customWidth="1"/>
    <col min="3" max="3" width="1.421875" style="0" customWidth="1"/>
    <col min="4" max="4" width="2.421875" style="0" customWidth="1"/>
    <col min="5" max="7" width="3.57421875" style="0" customWidth="1"/>
    <col min="8" max="8" width="0.9921875" style="0" customWidth="1"/>
    <col min="9" max="15" width="3.57421875" style="0" customWidth="1"/>
    <col min="16" max="16" width="1.1484375" style="0" customWidth="1"/>
    <col min="17" max="17" width="6.8515625" style="0" customWidth="1"/>
    <col min="18" max="18" width="7.421875" style="0" customWidth="1"/>
    <col min="19" max="20" width="3.421875" style="0" customWidth="1"/>
    <col min="21" max="21" width="4.57421875" style="0" customWidth="1"/>
    <col min="22" max="22" width="2.421875" style="0" customWidth="1"/>
    <col min="23" max="23" width="5.140625" style="0" customWidth="1"/>
    <col min="24" max="24" width="2.8515625" style="0" customWidth="1"/>
    <col min="25" max="26" width="3.421875" style="0" customWidth="1"/>
    <col min="27" max="27" width="4.57421875" style="0" customWidth="1"/>
    <col min="28" max="28" width="1.57421875" style="0" customWidth="1"/>
    <col min="29" max="29" width="4.57421875" style="0" customWidth="1"/>
    <col min="30" max="30" width="3.421875" style="0" customWidth="1"/>
    <col min="31" max="31" width="7.421875" style="0" customWidth="1"/>
    <col min="32" max="32" width="1.421875" style="0" customWidth="1"/>
    <col min="33" max="33" width="3.421875" style="0" customWidth="1"/>
    <col min="34" max="34" width="78.421875" style="0" customWidth="1"/>
    <col min="35" max="35" width="3.421875" style="0" customWidth="1"/>
    <col min="36" max="36" width="25.8515625" style="0" customWidth="1"/>
    <col min="43" max="43" width="4.8515625" style="0" customWidth="1"/>
    <col min="44" max="44" width="10.8515625" style="0" customWidth="1"/>
    <col min="48" max="48" width="2.421875" style="0" customWidth="1"/>
    <col min="51" max="51" width="2.140625" style="0" customWidth="1"/>
  </cols>
  <sheetData>
    <row r="1" spans="1:53" ht="12.75">
      <c r="A1" s="25"/>
      <c r="B1" s="25"/>
      <c r="C1" s="25"/>
      <c r="D1" s="25"/>
      <c r="E1" s="25"/>
      <c r="F1" s="25"/>
      <c r="G1" s="25"/>
      <c r="H1" s="25"/>
      <c r="I1" s="25"/>
      <c r="J1" s="25"/>
      <c r="K1" s="25"/>
      <c r="L1" s="25"/>
      <c r="M1" s="25"/>
      <c r="N1" s="25"/>
      <c r="O1" s="25"/>
      <c r="P1" s="25"/>
      <c r="Q1" s="25"/>
      <c r="R1" s="25"/>
      <c r="S1" s="25"/>
      <c r="T1" s="25"/>
      <c r="U1" s="25"/>
      <c r="V1" s="25"/>
      <c r="W1" s="25"/>
      <c r="X1" s="25"/>
      <c r="Y1" s="25"/>
      <c r="Z1" s="25"/>
      <c r="AA1" s="25"/>
      <c r="AB1" s="25"/>
      <c r="AC1" s="25"/>
      <c r="AD1" s="25"/>
      <c r="AE1" s="25"/>
      <c r="AF1" s="25"/>
      <c r="AG1" s="25"/>
      <c r="AH1" s="25"/>
      <c r="AI1" s="25"/>
      <c r="AJ1" s="25"/>
      <c r="AK1" s="25"/>
      <c r="AL1" s="25"/>
      <c r="AM1" s="25"/>
      <c r="AN1" s="25"/>
      <c r="AO1" s="25"/>
      <c r="AP1" s="25"/>
      <c r="AQ1" s="25"/>
      <c r="AR1" s="25"/>
      <c r="AS1" s="25"/>
      <c r="AT1" s="25"/>
      <c r="AU1" s="25"/>
      <c r="AV1" s="25"/>
      <c r="AW1" s="25"/>
      <c r="AX1" s="25"/>
      <c r="AY1" s="25"/>
      <c r="AZ1" s="25"/>
      <c r="BA1" s="25"/>
    </row>
    <row r="2" spans="1:53" ht="3.75" customHeight="1">
      <c r="A2" s="25"/>
      <c r="B2" s="2" t="b">
        <v>0</v>
      </c>
      <c r="C2" s="2"/>
      <c r="D2" s="2"/>
      <c r="E2" s="2"/>
      <c r="F2" s="2"/>
      <c r="G2" s="2"/>
      <c r="H2" s="2"/>
      <c r="AH2" s="25"/>
      <c r="AI2" s="25"/>
      <c r="AJ2" s="25"/>
      <c r="AK2" s="25"/>
      <c r="AL2" s="25"/>
      <c r="AM2" s="25"/>
      <c r="AN2" s="25"/>
      <c r="AO2" s="25"/>
      <c r="AP2" s="25"/>
      <c r="AQ2" s="25"/>
      <c r="AR2" s="25"/>
      <c r="AS2" s="25"/>
      <c r="AT2" s="25"/>
      <c r="AU2" s="25"/>
      <c r="AV2" s="25"/>
      <c r="AW2" s="25"/>
      <c r="AX2" s="25"/>
      <c r="AY2" s="25"/>
      <c r="AZ2" s="25"/>
      <c r="BA2" s="25"/>
    </row>
    <row r="3" spans="1:53" ht="7.5" customHeight="1">
      <c r="A3" s="25"/>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H3" s="25"/>
      <c r="AI3" s="25"/>
      <c r="AJ3" s="25"/>
      <c r="AK3" s="25"/>
      <c r="AL3" s="25"/>
      <c r="AM3" s="25"/>
      <c r="AN3" s="25"/>
      <c r="AO3" s="25"/>
      <c r="AP3" s="25"/>
      <c r="AQ3" s="25"/>
      <c r="AR3" s="25"/>
      <c r="AS3" s="25"/>
      <c r="AT3" s="25"/>
      <c r="AU3" s="25"/>
      <c r="AV3" s="25"/>
      <c r="AW3" s="25"/>
      <c r="AX3" s="25"/>
      <c r="AY3" s="25"/>
      <c r="AZ3" s="25"/>
      <c r="BA3" s="25"/>
    </row>
    <row r="4" spans="1:53" s="19" customFormat="1" ht="16.5" customHeight="1">
      <c r="A4" s="638"/>
      <c r="B4" s="639"/>
      <c r="C4" s="639"/>
      <c r="D4" s="640" t="s">
        <v>905</v>
      </c>
      <c r="E4" s="639"/>
      <c r="F4" s="639"/>
      <c r="G4" s="639"/>
      <c r="H4" s="639"/>
      <c r="I4" s="639"/>
      <c r="J4" s="639"/>
      <c r="K4" s="639"/>
      <c r="L4" s="639"/>
      <c r="M4" s="639"/>
      <c r="N4" s="639"/>
      <c r="O4" s="639"/>
      <c r="P4" s="639"/>
      <c r="Q4" s="639"/>
      <c r="R4" s="639"/>
      <c r="S4" s="639"/>
      <c r="T4" s="639"/>
      <c r="U4" s="639"/>
      <c r="V4" s="639"/>
      <c r="W4" s="639"/>
      <c r="X4" s="639"/>
      <c r="Y4" s="639"/>
      <c r="Z4" s="639"/>
      <c r="AA4" s="639"/>
      <c r="AB4" s="639"/>
      <c r="AC4" s="639"/>
      <c r="AD4" s="639"/>
      <c r="AE4" s="639"/>
      <c r="AH4" s="638"/>
      <c r="AI4" s="638"/>
      <c r="AJ4" s="641"/>
      <c r="AK4" s="638"/>
      <c r="AL4" s="638"/>
      <c r="AM4" s="638"/>
      <c r="AN4" s="638"/>
      <c r="AO4" s="638"/>
      <c r="AP4" s="638"/>
      <c r="AQ4" s="638"/>
      <c r="AR4" s="638"/>
      <c r="AS4" s="638"/>
      <c r="AT4" s="638"/>
      <c r="AU4" s="638"/>
      <c r="AV4" s="638"/>
      <c r="AW4" s="638"/>
      <c r="AX4" s="638"/>
      <c r="AY4" s="638"/>
      <c r="AZ4" s="638"/>
      <c r="BA4" s="638"/>
    </row>
    <row r="5" spans="1:53" ht="15" customHeight="1">
      <c r="A5" s="25"/>
      <c r="B5" s="2"/>
      <c r="C5" s="2"/>
      <c r="D5" s="46"/>
      <c r="E5" s="2"/>
      <c r="F5" s="2"/>
      <c r="G5" s="642" t="s">
        <v>791</v>
      </c>
      <c r="H5" s="639"/>
      <c r="I5" s="364" t="str">
        <f>IF(ISBLANK(CompanyName),"",CompanyName&amp;":  "&amp;SiteCity&amp;", "&amp;SiteState)</f>
        <v>:  , WA</v>
      </c>
      <c r="J5" s="2"/>
      <c r="K5" s="2"/>
      <c r="L5" s="2"/>
      <c r="M5" s="2"/>
      <c r="N5" s="2"/>
      <c r="O5" s="2"/>
      <c r="P5" s="2"/>
      <c r="Q5" s="2"/>
      <c r="R5" s="2"/>
      <c r="S5" s="2"/>
      <c r="T5" s="2"/>
      <c r="U5" s="2"/>
      <c r="V5" s="2"/>
      <c r="W5" s="1185"/>
      <c r="X5" s="1185"/>
      <c r="Y5" s="1185"/>
      <c r="Z5" s="1185"/>
      <c r="AA5" s="1185"/>
      <c r="AB5" s="1185"/>
      <c r="AC5" s="1185"/>
      <c r="AD5" s="1185"/>
      <c r="AE5" s="1185"/>
      <c r="AH5" s="25"/>
      <c r="AI5" s="25"/>
      <c r="AJ5" s="32"/>
      <c r="AK5" s="25"/>
      <c r="AL5" s="25"/>
      <c r="AM5" s="25"/>
      <c r="AN5" s="25"/>
      <c r="AO5" s="25"/>
      <c r="AP5" s="25"/>
      <c r="AQ5" s="25"/>
      <c r="AR5" s="25"/>
      <c r="AS5" s="25"/>
      <c r="AT5" s="25"/>
      <c r="AU5" s="25"/>
      <c r="AV5" s="25"/>
      <c r="AW5" s="25"/>
      <c r="AX5" s="25"/>
      <c r="AY5" s="25"/>
      <c r="AZ5" s="25"/>
      <c r="BA5" s="25"/>
    </row>
    <row r="6" spans="1:53" ht="15" customHeight="1">
      <c r="A6" s="25"/>
      <c r="B6" s="2"/>
      <c r="C6" s="2"/>
      <c r="D6" s="2"/>
      <c r="E6" s="2"/>
      <c r="F6" s="2"/>
      <c r="G6" s="642" t="s">
        <v>792</v>
      </c>
      <c r="H6" s="639"/>
      <c r="I6" s="364">
        <f>VendorCompany</f>
      </c>
      <c r="J6" s="2"/>
      <c r="K6" s="2"/>
      <c r="L6" s="2"/>
      <c r="M6" s="2"/>
      <c r="N6" s="2"/>
      <c r="O6" s="2"/>
      <c r="P6" s="2"/>
      <c r="Q6" s="2"/>
      <c r="R6" s="2"/>
      <c r="S6" s="2"/>
      <c r="T6" s="2"/>
      <c r="U6" s="2"/>
      <c r="V6" s="2"/>
      <c r="W6" s="1185"/>
      <c r="X6" s="1185"/>
      <c r="Y6" s="1185"/>
      <c r="Z6" s="1185"/>
      <c r="AA6" s="1185"/>
      <c r="AB6" s="1185"/>
      <c r="AC6" s="1185"/>
      <c r="AD6" s="1185"/>
      <c r="AE6" s="1185"/>
      <c r="AH6" s="25"/>
      <c r="AI6" s="25"/>
      <c r="AJ6" s="32"/>
      <c r="AK6" s="25"/>
      <c r="AL6" s="25"/>
      <c r="AM6" s="25"/>
      <c r="AN6" s="25"/>
      <c r="AO6" s="25"/>
      <c r="AP6" s="25"/>
      <c r="AQ6" s="25"/>
      <c r="AR6" s="25"/>
      <c r="AS6" s="25"/>
      <c r="AT6" s="25"/>
      <c r="AU6" s="25"/>
      <c r="AV6" s="25"/>
      <c r="AW6" s="25"/>
      <c r="AX6" s="25"/>
      <c r="AY6" s="25"/>
      <c r="AZ6" s="25"/>
      <c r="BA6" s="25"/>
    </row>
    <row r="7" spans="1:53" ht="9" customHeight="1">
      <c r="A7" s="25"/>
      <c r="B7" s="2"/>
      <c r="C7" s="2"/>
      <c r="D7" s="2"/>
      <c r="E7" s="2"/>
      <c r="F7" s="2"/>
      <c r="G7" s="2"/>
      <c r="H7" s="2"/>
      <c r="I7" s="2"/>
      <c r="J7" s="2"/>
      <c r="K7" s="2"/>
      <c r="L7" s="2"/>
      <c r="M7" s="2"/>
      <c r="N7" s="2"/>
      <c r="O7" s="2"/>
      <c r="P7" s="2"/>
      <c r="Q7" s="2"/>
      <c r="R7" s="2"/>
      <c r="S7" s="2"/>
      <c r="T7" s="2"/>
      <c r="U7" s="2"/>
      <c r="V7" s="2"/>
      <c r="W7" s="1185"/>
      <c r="X7" s="1185"/>
      <c r="Y7" s="1185"/>
      <c r="Z7" s="1185"/>
      <c r="AA7" s="1185"/>
      <c r="AB7" s="1185"/>
      <c r="AC7" s="1185"/>
      <c r="AD7" s="1185"/>
      <c r="AE7" s="1185"/>
      <c r="AH7" s="25"/>
      <c r="AI7" s="25"/>
      <c r="AJ7" s="33"/>
      <c r="AK7" s="25"/>
      <c r="AL7" s="25"/>
      <c r="AM7" s="25"/>
      <c r="AN7" s="25"/>
      <c r="AO7" s="25"/>
      <c r="AP7" s="25"/>
      <c r="AQ7" s="25"/>
      <c r="AR7" s="25"/>
      <c r="AS7" s="25"/>
      <c r="AT7" s="25"/>
      <c r="AU7" s="25"/>
      <c r="AV7" s="25"/>
      <c r="AW7" s="25"/>
      <c r="AX7" s="25"/>
      <c r="AY7" s="25"/>
      <c r="AZ7" s="25"/>
      <c r="BA7" s="25"/>
    </row>
    <row r="8" spans="1:53" ht="12.75">
      <c r="A8" s="25"/>
      <c r="B8" s="2"/>
      <c r="C8" s="2"/>
      <c r="D8" s="51" t="s">
        <v>903</v>
      </c>
      <c r="E8" s="51"/>
      <c r="F8" s="51"/>
      <c r="G8" s="51"/>
      <c r="H8" s="51"/>
      <c r="I8" s="51"/>
      <c r="J8" s="51"/>
      <c r="K8" s="51"/>
      <c r="L8" s="51"/>
      <c r="M8" s="51"/>
      <c r="N8" s="51"/>
      <c r="O8" s="51"/>
      <c r="P8" s="51"/>
      <c r="Q8" s="51"/>
      <c r="R8" s="51"/>
      <c r="S8" s="51"/>
      <c r="T8" s="51"/>
      <c r="U8" s="51"/>
      <c r="V8" s="51"/>
      <c r="W8" s="51"/>
      <c r="X8" s="51"/>
      <c r="Y8" s="51"/>
      <c r="Z8" s="51"/>
      <c r="AA8" s="51"/>
      <c r="AB8" s="51"/>
      <c r="AC8" s="51"/>
      <c r="AD8" s="51"/>
      <c r="AE8" s="51"/>
      <c r="AF8" s="6"/>
      <c r="AH8" s="25"/>
      <c r="AI8" s="25"/>
      <c r="AJ8" s="33"/>
      <c r="AK8" s="25"/>
      <c r="AL8" s="25"/>
      <c r="AM8" s="25"/>
      <c r="AN8" s="25"/>
      <c r="AO8" s="25"/>
      <c r="AP8" s="25"/>
      <c r="AQ8" s="25"/>
      <c r="AR8" s="25"/>
      <c r="AS8" s="25"/>
      <c r="AT8" s="25"/>
      <c r="AU8" s="25"/>
      <c r="AV8" s="25"/>
      <c r="AW8" s="25"/>
      <c r="AX8" s="25"/>
      <c r="AY8" s="25"/>
      <c r="AZ8" s="25"/>
      <c r="BA8" s="25"/>
    </row>
    <row r="9" spans="1:53" ht="15" customHeight="1">
      <c r="A9" s="25"/>
      <c r="B9" s="2"/>
      <c r="C9" s="2"/>
      <c r="D9" s="52" t="s">
        <v>1322</v>
      </c>
      <c r="E9" s="53"/>
      <c r="F9" s="53"/>
      <c r="G9" s="53"/>
      <c r="H9" s="53"/>
      <c r="I9" s="53"/>
      <c r="J9" s="53"/>
      <c r="K9" s="53"/>
      <c r="L9" s="53"/>
      <c r="M9" s="53"/>
      <c r="N9" s="53"/>
      <c r="O9" s="53"/>
      <c r="P9" s="53"/>
      <c r="Q9" s="53"/>
      <c r="R9" s="53"/>
      <c r="S9" s="53"/>
      <c r="T9" s="53"/>
      <c r="U9" s="53"/>
      <c r="V9" s="53"/>
      <c r="W9" s="53"/>
      <c r="X9" s="53"/>
      <c r="Y9" s="53"/>
      <c r="Z9" s="53"/>
      <c r="AA9" s="53"/>
      <c r="AB9" s="53"/>
      <c r="AC9" s="53"/>
      <c r="AD9" s="53"/>
      <c r="AE9" s="53"/>
      <c r="AF9" s="43"/>
      <c r="AH9" s="25"/>
      <c r="AI9" s="25"/>
      <c r="AJ9" s="33"/>
      <c r="AK9" s="25"/>
      <c r="AL9" s="25"/>
      <c r="AM9" s="25"/>
      <c r="AN9" s="25"/>
      <c r="AO9" s="25"/>
      <c r="AP9" s="25"/>
      <c r="AQ9" s="25"/>
      <c r="AR9" s="25"/>
      <c r="AS9" s="25"/>
      <c r="AT9" s="25"/>
      <c r="AU9" s="25"/>
      <c r="AV9" s="25"/>
      <c r="AW9" s="25"/>
      <c r="AX9" s="25"/>
      <c r="AY9" s="25"/>
      <c r="AZ9" s="25"/>
      <c r="BA9" s="25"/>
    </row>
    <row r="10" spans="1:53" ht="6" customHeight="1">
      <c r="A10" s="25"/>
      <c r="B10" s="2"/>
      <c r="C10" s="2"/>
      <c r="D10" s="52"/>
      <c r="E10" s="53"/>
      <c r="F10" s="53"/>
      <c r="G10" s="53"/>
      <c r="H10" s="53"/>
      <c r="I10" s="53"/>
      <c r="J10" s="53"/>
      <c r="K10" s="53"/>
      <c r="L10" s="53"/>
      <c r="M10" s="53"/>
      <c r="N10" s="53"/>
      <c r="O10" s="53"/>
      <c r="P10" s="53"/>
      <c r="Q10" s="53"/>
      <c r="R10" s="53"/>
      <c r="S10" s="53"/>
      <c r="T10" s="53"/>
      <c r="U10" s="53"/>
      <c r="V10" s="53"/>
      <c r="W10" s="53"/>
      <c r="X10" s="53"/>
      <c r="Y10" s="53"/>
      <c r="Z10" s="53"/>
      <c r="AA10" s="53"/>
      <c r="AB10" s="53"/>
      <c r="AC10" s="53"/>
      <c r="AD10" s="53"/>
      <c r="AE10" s="53"/>
      <c r="AF10" s="43"/>
      <c r="AH10" s="25"/>
      <c r="AI10" s="25"/>
      <c r="AJ10" s="33"/>
      <c r="AK10" s="25"/>
      <c r="AL10" s="25"/>
      <c r="AM10" s="25"/>
      <c r="AN10" s="25"/>
      <c r="AO10" s="25"/>
      <c r="AP10" s="25"/>
      <c r="AQ10" s="25"/>
      <c r="AR10" s="25"/>
      <c r="AS10" s="25"/>
      <c r="AT10" s="25"/>
      <c r="AU10" s="25"/>
      <c r="AV10" s="25"/>
      <c r="AW10" s="25"/>
      <c r="AX10" s="25"/>
      <c r="AY10" s="25"/>
      <c r="AZ10" s="25"/>
      <c r="BA10" s="25"/>
    </row>
    <row r="11" spans="1:53" s="48" customFormat="1" ht="12.75" customHeight="1">
      <c r="A11" s="47"/>
      <c r="B11" s="49"/>
      <c r="C11" s="49"/>
      <c r="D11" s="1014"/>
      <c r="E11" s="1189"/>
      <c r="F11" s="1190"/>
      <c r="G11" s="1190"/>
      <c r="H11" s="1190"/>
      <c r="I11" s="1190"/>
      <c r="J11" s="1190"/>
      <c r="K11" s="1190"/>
      <c r="L11" s="1190"/>
      <c r="M11" s="1190"/>
      <c r="N11" s="1190"/>
      <c r="O11" s="1190"/>
      <c r="P11" s="1190"/>
      <c r="Q11" s="1190"/>
      <c r="R11" s="1190"/>
      <c r="S11" s="1190"/>
      <c r="T11" s="1190"/>
      <c r="U11" s="1190"/>
      <c r="V11" s="1190"/>
      <c r="W11" s="1190"/>
      <c r="X11" s="1190"/>
      <c r="Y11" s="1190"/>
      <c r="Z11" s="1190"/>
      <c r="AA11" s="1190"/>
      <c r="AB11" s="1190"/>
      <c r="AC11" s="1190"/>
      <c r="AD11" s="1190"/>
      <c r="AE11" s="1191"/>
      <c r="AF11" s="1014"/>
      <c r="AG11" s="49"/>
      <c r="AH11" s="47"/>
      <c r="AI11" s="47"/>
      <c r="AJ11" s="47"/>
      <c r="AK11" s="47"/>
      <c r="AL11" s="47"/>
      <c r="AM11" s="47"/>
      <c r="AN11" s="47"/>
      <c r="AO11" s="47"/>
      <c r="AP11" s="47"/>
      <c r="AQ11" s="47"/>
      <c r="AR11" s="47"/>
      <c r="AS11" s="47"/>
      <c r="AT11" s="47"/>
      <c r="AU11" s="47"/>
      <c r="AV11" s="47"/>
      <c r="AW11" s="47"/>
      <c r="AX11" s="47"/>
      <c r="AY11" s="47"/>
      <c r="AZ11" s="47"/>
      <c r="BA11" s="47"/>
    </row>
    <row r="12" spans="1:53" ht="24.75" customHeight="1">
      <c r="A12" s="25"/>
      <c r="B12" s="2"/>
      <c r="C12" s="2"/>
      <c r="D12" s="3"/>
      <c r="E12" s="1192"/>
      <c r="F12" s="1193"/>
      <c r="G12" s="1193"/>
      <c r="H12" s="1193"/>
      <c r="I12" s="1193"/>
      <c r="J12" s="1193"/>
      <c r="K12" s="1193"/>
      <c r="L12" s="1193"/>
      <c r="M12" s="1193"/>
      <c r="N12" s="1193"/>
      <c r="O12" s="1193"/>
      <c r="P12" s="1193"/>
      <c r="Q12" s="1193"/>
      <c r="R12" s="1193"/>
      <c r="S12" s="1193"/>
      <c r="T12" s="1193"/>
      <c r="U12" s="1193"/>
      <c r="V12" s="1193"/>
      <c r="W12" s="1193"/>
      <c r="X12" s="1193"/>
      <c r="Y12" s="1193"/>
      <c r="Z12" s="1193"/>
      <c r="AA12" s="1193"/>
      <c r="AB12" s="1193"/>
      <c r="AC12" s="1193"/>
      <c r="AD12" s="1193"/>
      <c r="AE12" s="1194"/>
      <c r="AF12" s="1013"/>
      <c r="AG12" s="4"/>
      <c r="AH12" s="25"/>
      <c r="AI12" s="25"/>
      <c r="AJ12" s="25"/>
      <c r="AK12" s="25"/>
      <c r="AL12" s="25"/>
      <c r="AM12" s="25"/>
      <c r="AN12" s="25"/>
      <c r="AO12" s="25"/>
      <c r="AP12" s="25"/>
      <c r="AQ12" s="25"/>
      <c r="AR12" s="25"/>
      <c r="AS12" s="25"/>
      <c r="AT12" s="25"/>
      <c r="AU12" s="25"/>
      <c r="AV12" s="25"/>
      <c r="AW12" s="25"/>
      <c r="AX12" s="25"/>
      <c r="AY12" s="25"/>
      <c r="AZ12" s="25"/>
      <c r="BA12" s="25"/>
    </row>
    <row r="13" spans="1:53" ht="12.75" customHeight="1">
      <c r="A13" s="25"/>
      <c r="B13" s="2"/>
      <c r="C13" s="2"/>
      <c r="D13" s="3"/>
      <c r="E13" s="1192"/>
      <c r="F13" s="1193"/>
      <c r="G13" s="1193"/>
      <c r="H13" s="1193"/>
      <c r="I13" s="1193"/>
      <c r="J13" s="1193"/>
      <c r="K13" s="1193"/>
      <c r="L13" s="1193"/>
      <c r="M13" s="1193"/>
      <c r="N13" s="1193"/>
      <c r="O13" s="1193"/>
      <c r="P13" s="1193"/>
      <c r="Q13" s="1193"/>
      <c r="R13" s="1193"/>
      <c r="S13" s="1193"/>
      <c r="T13" s="1193"/>
      <c r="U13" s="1193"/>
      <c r="V13" s="1193"/>
      <c r="W13" s="1193"/>
      <c r="X13" s="1193"/>
      <c r="Y13" s="1193"/>
      <c r="Z13" s="1193"/>
      <c r="AA13" s="1193"/>
      <c r="AB13" s="1193"/>
      <c r="AC13" s="1193"/>
      <c r="AD13" s="1193"/>
      <c r="AE13" s="1194"/>
      <c r="AF13" s="3"/>
      <c r="AG13" s="4"/>
      <c r="AH13" s="36" t="s">
        <v>1105</v>
      </c>
      <c r="AI13" s="25"/>
      <c r="AJ13" s="25"/>
      <c r="AK13" s="25"/>
      <c r="AL13" s="25"/>
      <c r="AM13" s="25"/>
      <c r="AN13" s="25"/>
      <c r="AO13" s="25"/>
      <c r="AP13" s="25"/>
      <c r="AQ13" s="25"/>
      <c r="AR13" s="25"/>
      <c r="AS13" s="25"/>
      <c r="AT13" s="25"/>
      <c r="AU13" s="25"/>
      <c r="AV13" s="25"/>
      <c r="AW13" s="25"/>
      <c r="AX13" s="25"/>
      <c r="AY13" s="25"/>
      <c r="AZ13" s="25"/>
      <c r="BA13" s="25"/>
    </row>
    <row r="14" spans="1:53" ht="12.75" customHeight="1">
      <c r="A14" s="25"/>
      <c r="B14" s="2"/>
      <c r="C14" s="2"/>
      <c r="D14" s="1013"/>
      <c r="E14" s="1195"/>
      <c r="F14" s="1196"/>
      <c r="G14" s="1196"/>
      <c r="H14" s="1196"/>
      <c r="I14" s="1196"/>
      <c r="J14" s="1196"/>
      <c r="K14" s="1196"/>
      <c r="L14" s="1196"/>
      <c r="M14" s="1196"/>
      <c r="N14" s="1196"/>
      <c r="O14" s="1196"/>
      <c r="P14" s="1196"/>
      <c r="Q14" s="1196"/>
      <c r="R14" s="1196"/>
      <c r="S14" s="1196"/>
      <c r="T14" s="1196"/>
      <c r="U14" s="1196"/>
      <c r="V14" s="1196"/>
      <c r="W14" s="1196"/>
      <c r="X14" s="1196"/>
      <c r="Y14" s="1196"/>
      <c r="Z14" s="1196"/>
      <c r="AA14" s="1196"/>
      <c r="AB14" s="1196"/>
      <c r="AC14" s="1196"/>
      <c r="AD14" s="1196"/>
      <c r="AE14" s="1197"/>
      <c r="AF14" s="1013"/>
      <c r="AG14" s="4"/>
      <c r="AH14" s="36" t="s">
        <v>967</v>
      </c>
      <c r="AI14" s="25"/>
      <c r="AJ14" s="25"/>
      <c r="AK14" s="25"/>
      <c r="AL14" s="25"/>
      <c r="AM14" s="25"/>
      <c r="AN14" s="25"/>
      <c r="AO14" s="25"/>
      <c r="AP14" s="25"/>
      <c r="AQ14" s="25"/>
      <c r="AR14" s="25"/>
      <c r="AS14" s="25"/>
      <c r="AT14" s="25"/>
      <c r="AU14" s="25"/>
      <c r="AV14" s="25"/>
      <c r="AW14" s="25"/>
      <c r="AX14" s="25"/>
      <c r="AY14" s="25"/>
      <c r="AZ14" s="25"/>
      <c r="BA14" s="25"/>
    </row>
    <row r="15" spans="1:53" ht="22.5" customHeight="1">
      <c r="A15" s="25"/>
      <c r="B15" s="2"/>
      <c r="C15" s="2"/>
      <c r="D15" s="2"/>
      <c r="AH15" s="25"/>
      <c r="AI15" s="25"/>
      <c r="AJ15" s="26"/>
      <c r="AK15" s="25"/>
      <c r="AL15" s="25"/>
      <c r="AM15" s="25"/>
      <c r="AN15" s="25"/>
      <c r="AO15" s="25"/>
      <c r="AP15" s="25"/>
      <c r="AQ15" s="25"/>
      <c r="AR15" s="25"/>
      <c r="AS15" s="25"/>
      <c r="AT15" s="25"/>
      <c r="AU15" s="25"/>
      <c r="AV15" s="25"/>
      <c r="AW15" s="25"/>
      <c r="AX15" s="25"/>
      <c r="AY15" s="25"/>
      <c r="AZ15" s="25"/>
      <c r="BA15" s="25"/>
    </row>
    <row r="16" spans="1:53" ht="12.75" customHeight="1">
      <c r="A16" s="25"/>
      <c r="B16" s="2"/>
      <c r="C16" s="2"/>
      <c r="D16" s="51" t="s">
        <v>906</v>
      </c>
      <c r="E16" s="6"/>
      <c r="F16" s="6"/>
      <c r="G16" s="6"/>
      <c r="H16" s="6"/>
      <c r="I16" s="6"/>
      <c r="J16" s="6"/>
      <c r="K16" s="6"/>
      <c r="L16" s="6"/>
      <c r="M16" s="11"/>
      <c r="N16" s="11"/>
      <c r="O16" s="11"/>
      <c r="P16" s="11"/>
      <c r="Q16" s="11"/>
      <c r="R16" s="11"/>
      <c r="S16" s="11"/>
      <c r="T16" s="11"/>
      <c r="U16" s="11"/>
      <c r="V16" s="11"/>
      <c r="W16" s="10"/>
      <c r="X16" s="6"/>
      <c r="Y16" s="6"/>
      <c r="Z16" s="6"/>
      <c r="AA16" s="6"/>
      <c r="AB16" s="6"/>
      <c r="AC16" s="6"/>
      <c r="AD16" s="6"/>
      <c r="AE16" s="6"/>
      <c r="AF16" s="6"/>
      <c r="AH16" s="25"/>
      <c r="AI16" s="25"/>
      <c r="AJ16" s="25"/>
      <c r="AK16" s="25"/>
      <c r="AL16" s="25"/>
      <c r="AM16" s="25"/>
      <c r="AN16" s="25"/>
      <c r="AO16" s="25"/>
      <c r="AP16" s="25"/>
      <c r="AQ16" s="25"/>
      <c r="AR16" s="25"/>
      <c r="AS16" s="25"/>
      <c r="AT16" s="25"/>
      <c r="AU16" s="25"/>
      <c r="AV16" s="25"/>
      <c r="AW16" s="25"/>
      <c r="AX16" s="25"/>
      <c r="AY16" s="25"/>
      <c r="AZ16" s="25"/>
      <c r="BA16" s="25"/>
    </row>
    <row r="17" spans="1:53" ht="15" customHeight="1">
      <c r="A17" s="25"/>
      <c r="B17" s="2"/>
      <c r="C17" s="2"/>
      <c r="D17" s="2" t="s">
        <v>922</v>
      </c>
      <c r="AH17" s="25"/>
      <c r="AI17" s="25"/>
      <c r="AJ17" s="25"/>
      <c r="AK17" s="25"/>
      <c r="AL17" s="25"/>
      <c r="AM17" s="25"/>
      <c r="AN17" s="25"/>
      <c r="AO17" s="25"/>
      <c r="AP17" s="25"/>
      <c r="AQ17" s="25"/>
      <c r="AR17" s="25"/>
      <c r="AS17" s="25"/>
      <c r="AT17" s="25"/>
      <c r="AU17" s="25"/>
      <c r="AV17" s="25"/>
      <c r="AW17" s="25"/>
      <c r="AX17" s="25"/>
      <c r="AY17" s="25"/>
      <c r="AZ17" s="25"/>
      <c r="BA17" s="25"/>
    </row>
    <row r="18" spans="1:53" ht="6.75" customHeight="1">
      <c r="A18" s="25"/>
      <c r="B18" s="2"/>
      <c r="C18" s="2"/>
      <c r="D18" s="55"/>
      <c r="V18" s="1"/>
      <c r="W18" s="20"/>
      <c r="X18" s="20"/>
      <c r="Y18" s="20"/>
      <c r="AH18" s="25"/>
      <c r="AI18" s="25"/>
      <c r="AJ18" s="25"/>
      <c r="AK18" s="25"/>
      <c r="AL18" s="25"/>
      <c r="AM18" s="25"/>
      <c r="AN18" s="25"/>
      <c r="AO18" s="25"/>
      <c r="AP18" s="25"/>
      <c r="AQ18" s="25"/>
      <c r="AR18" s="25"/>
      <c r="AS18" s="25"/>
      <c r="AT18" s="25"/>
      <c r="AU18" s="25"/>
      <c r="AV18" s="25"/>
      <c r="AW18" s="25"/>
      <c r="AX18" s="25"/>
      <c r="AY18" s="25"/>
      <c r="AZ18" s="25"/>
      <c r="BA18" s="25"/>
    </row>
    <row r="19" spans="1:53" ht="12.75" customHeight="1">
      <c r="A19" s="25"/>
      <c r="B19" s="2"/>
      <c r="C19" s="2"/>
      <c r="D19" s="55"/>
      <c r="E19" s="1189"/>
      <c r="F19" s="1190"/>
      <c r="G19" s="1190"/>
      <c r="H19" s="1190"/>
      <c r="I19" s="1190"/>
      <c r="J19" s="1190"/>
      <c r="K19" s="1190"/>
      <c r="L19" s="1190"/>
      <c r="M19" s="1190"/>
      <c r="N19" s="1190"/>
      <c r="O19" s="1190"/>
      <c r="P19" s="1190"/>
      <c r="Q19" s="1190"/>
      <c r="R19" s="1190"/>
      <c r="S19" s="1190"/>
      <c r="T19" s="1190"/>
      <c r="U19" s="1190"/>
      <c r="V19" s="1190"/>
      <c r="W19" s="1190"/>
      <c r="X19" s="1190"/>
      <c r="Y19" s="1190"/>
      <c r="Z19" s="1190"/>
      <c r="AA19" s="1190"/>
      <c r="AB19" s="1190"/>
      <c r="AC19" s="1190"/>
      <c r="AD19" s="1190"/>
      <c r="AE19" s="1191"/>
      <c r="AH19" s="25"/>
      <c r="AI19" s="25"/>
      <c r="AJ19" s="25"/>
      <c r="AK19" s="25"/>
      <c r="AL19" s="25"/>
      <c r="AM19" s="25"/>
      <c r="AN19" s="25"/>
      <c r="AO19" s="25"/>
      <c r="AP19" s="25"/>
      <c r="AQ19" s="25"/>
      <c r="AR19" s="25"/>
      <c r="AS19" s="25"/>
      <c r="AT19" s="25"/>
      <c r="AU19" s="25"/>
      <c r="AV19" s="25"/>
      <c r="AW19" s="25"/>
      <c r="AX19" s="25"/>
      <c r="AY19" s="25"/>
      <c r="AZ19" s="25"/>
      <c r="BA19" s="25"/>
    </row>
    <row r="20" spans="1:53" ht="12.75" customHeight="1">
      <c r="A20" s="25"/>
      <c r="B20" s="2"/>
      <c r="C20" s="2"/>
      <c r="D20" s="55"/>
      <c r="E20" s="1192"/>
      <c r="F20" s="1193"/>
      <c r="G20" s="1193"/>
      <c r="H20" s="1193"/>
      <c r="I20" s="1193"/>
      <c r="J20" s="1193"/>
      <c r="K20" s="1193"/>
      <c r="L20" s="1193"/>
      <c r="M20" s="1193"/>
      <c r="N20" s="1193"/>
      <c r="O20" s="1193"/>
      <c r="P20" s="1193"/>
      <c r="Q20" s="1193"/>
      <c r="R20" s="1193"/>
      <c r="S20" s="1193"/>
      <c r="T20" s="1193"/>
      <c r="U20" s="1193"/>
      <c r="V20" s="1193"/>
      <c r="W20" s="1193"/>
      <c r="X20" s="1193"/>
      <c r="Y20" s="1193"/>
      <c r="Z20" s="1193"/>
      <c r="AA20" s="1193"/>
      <c r="AB20" s="1193"/>
      <c r="AC20" s="1193"/>
      <c r="AD20" s="1193"/>
      <c r="AE20" s="1194"/>
      <c r="AH20" s="25"/>
      <c r="AI20" s="25"/>
      <c r="AJ20" s="25"/>
      <c r="AK20" s="25"/>
      <c r="AL20" s="25"/>
      <c r="AM20" s="25"/>
      <c r="AN20" s="25"/>
      <c r="AO20" s="25"/>
      <c r="AP20" s="25"/>
      <c r="AQ20" s="25"/>
      <c r="AR20" s="25"/>
      <c r="AS20" s="25"/>
      <c r="AT20" s="25"/>
      <c r="AU20" s="25"/>
      <c r="AV20" s="25"/>
      <c r="AW20" s="25"/>
      <c r="AX20" s="25"/>
      <c r="AY20" s="25"/>
      <c r="AZ20" s="25"/>
      <c r="BA20" s="25"/>
    </row>
    <row r="21" spans="1:53" ht="12.75" customHeight="1">
      <c r="A21" s="25"/>
      <c r="B21" s="2"/>
      <c r="C21" s="2"/>
      <c r="D21" s="2"/>
      <c r="E21" s="1192"/>
      <c r="F21" s="1193"/>
      <c r="G21" s="1193"/>
      <c r="H21" s="1193"/>
      <c r="I21" s="1193"/>
      <c r="J21" s="1193"/>
      <c r="K21" s="1193"/>
      <c r="L21" s="1193"/>
      <c r="M21" s="1193"/>
      <c r="N21" s="1193"/>
      <c r="O21" s="1193"/>
      <c r="P21" s="1193"/>
      <c r="Q21" s="1193"/>
      <c r="R21" s="1193"/>
      <c r="S21" s="1193"/>
      <c r="T21" s="1193"/>
      <c r="U21" s="1193"/>
      <c r="V21" s="1193"/>
      <c r="W21" s="1193"/>
      <c r="X21" s="1193"/>
      <c r="Y21" s="1193"/>
      <c r="Z21" s="1193"/>
      <c r="AA21" s="1193"/>
      <c r="AB21" s="1193"/>
      <c r="AC21" s="1193"/>
      <c r="AD21" s="1193"/>
      <c r="AE21" s="1194"/>
      <c r="AH21" s="25"/>
      <c r="AI21" s="25"/>
      <c r="AJ21" s="25"/>
      <c r="AK21" s="25"/>
      <c r="AL21" s="25"/>
      <c r="AM21" s="25"/>
      <c r="AN21" s="25"/>
      <c r="AO21" s="25"/>
      <c r="AP21" s="25"/>
      <c r="AQ21" s="25"/>
      <c r="AR21" s="25"/>
      <c r="AS21" s="25"/>
      <c r="AT21" s="25"/>
      <c r="AU21" s="25"/>
      <c r="AV21" s="25"/>
      <c r="AW21" s="25"/>
      <c r="AX21" s="25"/>
      <c r="AY21" s="25"/>
      <c r="AZ21" s="25"/>
      <c r="BA21" s="25"/>
    </row>
    <row r="22" spans="1:53" ht="12.75" customHeight="1">
      <c r="A22" s="25"/>
      <c r="B22" s="2"/>
      <c r="C22" s="2"/>
      <c r="D22" s="2"/>
      <c r="E22" s="1192"/>
      <c r="F22" s="1193"/>
      <c r="G22" s="1193"/>
      <c r="H22" s="1193"/>
      <c r="I22" s="1193"/>
      <c r="J22" s="1193"/>
      <c r="K22" s="1193"/>
      <c r="L22" s="1193"/>
      <c r="M22" s="1193"/>
      <c r="N22" s="1193"/>
      <c r="O22" s="1193"/>
      <c r="P22" s="1193"/>
      <c r="Q22" s="1193"/>
      <c r="R22" s="1193"/>
      <c r="S22" s="1193"/>
      <c r="T22" s="1193"/>
      <c r="U22" s="1193"/>
      <c r="V22" s="1193"/>
      <c r="W22" s="1193"/>
      <c r="X22" s="1193"/>
      <c r="Y22" s="1193"/>
      <c r="Z22" s="1193"/>
      <c r="AA22" s="1193"/>
      <c r="AB22" s="1193"/>
      <c r="AC22" s="1193"/>
      <c r="AD22" s="1193"/>
      <c r="AE22" s="1194"/>
      <c r="AH22" s="25"/>
      <c r="AI22" s="25"/>
      <c r="AJ22" s="25"/>
      <c r="AK22" s="25"/>
      <c r="AL22" s="25"/>
      <c r="AM22" s="25"/>
      <c r="AN22" s="25"/>
      <c r="AO22" s="25"/>
      <c r="AP22" s="25"/>
      <c r="AQ22" s="25"/>
      <c r="AR22" s="25"/>
      <c r="AS22" s="25"/>
      <c r="AT22" s="25"/>
      <c r="AU22" s="25"/>
      <c r="AV22" s="25"/>
      <c r="AW22" s="25"/>
      <c r="AX22" s="25"/>
      <c r="AY22" s="25"/>
      <c r="AZ22" s="25"/>
      <c r="BA22" s="25"/>
    </row>
    <row r="23" spans="1:53" ht="12.75" customHeight="1">
      <c r="A23" s="25"/>
      <c r="B23" s="2"/>
      <c r="C23" s="2"/>
      <c r="D23" s="2"/>
      <c r="E23" s="1192"/>
      <c r="F23" s="1193"/>
      <c r="G23" s="1193"/>
      <c r="H23" s="1193"/>
      <c r="I23" s="1193"/>
      <c r="J23" s="1193"/>
      <c r="K23" s="1193"/>
      <c r="L23" s="1193"/>
      <c r="M23" s="1193"/>
      <c r="N23" s="1193"/>
      <c r="O23" s="1193"/>
      <c r="P23" s="1193"/>
      <c r="Q23" s="1193"/>
      <c r="R23" s="1193"/>
      <c r="S23" s="1193"/>
      <c r="T23" s="1193"/>
      <c r="U23" s="1193"/>
      <c r="V23" s="1193"/>
      <c r="W23" s="1193"/>
      <c r="X23" s="1193"/>
      <c r="Y23" s="1193"/>
      <c r="Z23" s="1193"/>
      <c r="AA23" s="1193"/>
      <c r="AB23" s="1193"/>
      <c r="AC23" s="1193"/>
      <c r="AD23" s="1193"/>
      <c r="AE23" s="1194"/>
      <c r="AH23" s="25"/>
      <c r="AI23" s="25"/>
      <c r="AJ23" s="25"/>
      <c r="AK23" s="25"/>
      <c r="AL23" s="25"/>
      <c r="AM23" s="25"/>
      <c r="AN23" s="25"/>
      <c r="AO23" s="25"/>
      <c r="AP23" s="25"/>
      <c r="AQ23" s="25"/>
      <c r="AR23" s="25"/>
      <c r="AS23" s="25"/>
      <c r="AT23" s="25"/>
      <c r="AU23" s="25"/>
      <c r="AV23" s="25"/>
      <c r="AW23" s="25"/>
      <c r="AX23" s="25"/>
      <c r="AY23" s="25"/>
      <c r="AZ23" s="25"/>
      <c r="BA23" s="25"/>
    </row>
    <row r="24" spans="1:53" ht="12.75" customHeight="1">
      <c r="A24" s="25"/>
      <c r="B24" s="2"/>
      <c r="C24" s="2"/>
      <c r="D24" s="2"/>
      <c r="E24" s="1192"/>
      <c r="F24" s="1193"/>
      <c r="G24" s="1193"/>
      <c r="H24" s="1193"/>
      <c r="I24" s="1193"/>
      <c r="J24" s="1193"/>
      <c r="K24" s="1193"/>
      <c r="L24" s="1193"/>
      <c r="M24" s="1193"/>
      <c r="N24" s="1193"/>
      <c r="O24" s="1193"/>
      <c r="P24" s="1193"/>
      <c r="Q24" s="1193"/>
      <c r="R24" s="1193"/>
      <c r="S24" s="1193"/>
      <c r="T24" s="1193"/>
      <c r="U24" s="1193"/>
      <c r="V24" s="1193"/>
      <c r="W24" s="1193"/>
      <c r="X24" s="1193"/>
      <c r="Y24" s="1193"/>
      <c r="Z24" s="1193"/>
      <c r="AA24" s="1193"/>
      <c r="AB24" s="1193"/>
      <c r="AC24" s="1193"/>
      <c r="AD24" s="1193"/>
      <c r="AE24" s="1194"/>
      <c r="AH24" s="25"/>
      <c r="AI24" s="25"/>
      <c r="AJ24" s="25"/>
      <c r="AK24" s="25"/>
      <c r="AL24" s="25"/>
      <c r="AM24" s="25"/>
      <c r="AN24" s="25"/>
      <c r="AO24" s="25"/>
      <c r="AP24" s="25"/>
      <c r="AQ24" s="25"/>
      <c r="AR24" s="25"/>
      <c r="AS24" s="25"/>
      <c r="AT24" s="25"/>
      <c r="AU24" s="25"/>
      <c r="AV24" s="25"/>
      <c r="AW24" s="25"/>
      <c r="AX24" s="25"/>
      <c r="AY24" s="25"/>
      <c r="AZ24" s="25"/>
      <c r="BA24" s="25"/>
    </row>
    <row r="25" spans="1:53" ht="12.75" customHeight="1">
      <c r="A25" s="25"/>
      <c r="B25" s="2"/>
      <c r="C25" s="2"/>
      <c r="D25" s="2"/>
      <c r="E25" s="1192"/>
      <c r="F25" s="1193"/>
      <c r="G25" s="1193"/>
      <c r="H25" s="1193"/>
      <c r="I25" s="1193"/>
      <c r="J25" s="1193"/>
      <c r="K25" s="1193"/>
      <c r="L25" s="1193"/>
      <c r="M25" s="1193"/>
      <c r="N25" s="1193"/>
      <c r="O25" s="1193"/>
      <c r="P25" s="1193"/>
      <c r="Q25" s="1193"/>
      <c r="R25" s="1193"/>
      <c r="S25" s="1193"/>
      <c r="T25" s="1193"/>
      <c r="U25" s="1193"/>
      <c r="V25" s="1193"/>
      <c r="W25" s="1193"/>
      <c r="X25" s="1193"/>
      <c r="Y25" s="1193"/>
      <c r="Z25" s="1193"/>
      <c r="AA25" s="1193"/>
      <c r="AB25" s="1193"/>
      <c r="AC25" s="1193"/>
      <c r="AD25" s="1193"/>
      <c r="AE25" s="1194"/>
      <c r="AH25" s="25"/>
      <c r="AI25" s="25"/>
      <c r="AJ25" s="25"/>
      <c r="AK25" s="25"/>
      <c r="AL25" s="25"/>
      <c r="AM25" s="25"/>
      <c r="AN25" s="25"/>
      <c r="AO25" s="25"/>
      <c r="AP25" s="25"/>
      <c r="AQ25" s="25"/>
      <c r="AR25" s="25"/>
      <c r="AS25" s="25"/>
      <c r="AT25" s="25"/>
      <c r="AU25" s="25"/>
      <c r="AV25" s="25"/>
      <c r="AW25" s="25"/>
      <c r="AX25" s="25"/>
      <c r="AY25" s="25"/>
      <c r="AZ25" s="25"/>
      <c r="BA25" s="25"/>
    </row>
    <row r="26" spans="1:53" ht="12.75" customHeight="1">
      <c r="A26" s="25"/>
      <c r="B26" s="2"/>
      <c r="C26" s="2"/>
      <c r="D26" s="2"/>
      <c r="E26" s="1192"/>
      <c r="F26" s="1193"/>
      <c r="G26" s="1193"/>
      <c r="H26" s="1193"/>
      <c r="I26" s="1193"/>
      <c r="J26" s="1193"/>
      <c r="K26" s="1193"/>
      <c r="L26" s="1193"/>
      <c r="M26" s="1193"/>
      <c r="N26" s="1193"/>
      <c r="O26" s="1193"/>
      <c r="P26" s="1193"/>
      <c r="Q26" s="1193"/>
      <c r="R26" s="1193"/>
      <c r="S26" s="1193"/>
      <c r="T26" s="1193"/>
      <c r="U26" s="1193"/>
      <c r="V26" s="1193"/>
      <c r="W26" s="1193"/>
      <c r="X26" s="1193"/>
      <c r="Y26" s="1193"/>
      <c r="Z26" s="1193"/>
      <c r="AA26" s="1193"/>
      <c r="AB26" s="1193"/>
      <c r="AC26" s="1193"/>
      <c r="AD26" s="1193"/>
      <c r="AE26" s="1194"/>
      <c r="AH26" s="25"/>
      <c r="AI26" s="25"/>
      <c r="AJ26" s="44"/>
      <c r="AK26" s="25"/>
      <c r="AL26" s="25"/>
      <c r="AM26" s="25"/>
      <c r="AN26" s="25"/>
      <c r="AO26" s="25"/>
      <c r="AP26" s="25"/>
      <c r="AQ26" s="25"/>
      <c r="AR26" s="25"/>
      <c r="AS26" s="25"/>
      <c r="AT26" s="25"/>
      <c r="AU26" s="25"/>
      <c r="AV26" s="25"/>
      <c r="AW26" s="25"/>
      <c r="AX26" s="25"/>
      <c r="AY26" s="25"/>
      <c r="AZ26" s="25"/>
      <c r="BA26" s="25"/>
    </row>
    <row r="27" spans="1:53" ht="12.75" customHeight="1">
      <c r="A27" s="25"/>
      <c r="B27" s="2"/>
      <c r="C27" s="2"/>
      <c r="D27" s="2"/>
      <c r="E27" s="1192"/>
      <c r="F27" s="1193"/>
      <c r="G27" s="1193"/>
      <c r="H27" s="1193"/>
      <c r="I27" s="1193"/>
      <c r="J27" s="1193"/>
      <c r="K27" s="1193"/>
      <c r="L27" s="1193"/>
      <c r="M27" s="1193"/>
      <c r="N27" s="1193"/>
      <c r="O27" s="1193"/>
      <c r="P27" s="1193"/>
      <c r="Q27" s="1193"/>
      <c r="R27" s="1193"/>
      <c r="S27" s="1193"/>
      <c r="T27" s="1193"/>
      <c r="U27" s="1193"/>
      <c r="V27" s="1193"/>
      <c r="W27" s="1193"/>
      <c r="X27" s="1193"/>
      <c r="Y27" s="1193"/>
      <c r="Z27" s="1193"/>
      <c r="AA27" s="1193"/>
      <c r="AB27" s="1193"/>
      <c r="AC27" s="1193"/>
      <c r="AD27" s="1193"/>
      <c r="AE27" s="1194"/>
      <c r="AH27" s="25"/>
      <c r="AI27" s="25"/>
      <c r="AJ27" s="44"/>
      <c r="AK27" s="25"/>
      <c r="AL27" s="25"/>
      <c r="AM27" s="25"/>
      <c r="AN27" s="25"/>
      <c r="AO27" s="25"/>
      <c r="AP27" s="25"/>
      <c r="AQ27" s="25"/>
      <c r="AR27" s="25"/>
      <c r="AS27" s="25"/>
      <c r="AT27" s="25"/>
      <c r="AU27" s="25"/>
      <c r="AV27" s="25"/>
      <c r="AW27" s="25"/>
      <c r="AX27" s="25"/>
      <c r="AY27" s="25"/>
      <c r="AZ27" s="25"/>
      <c r="BA27" s="25"/>
    </row>
    <row r="28" spans="1:53" ht="12.75" customHeight="1">
      <c r="A28" s="25"/>
      <c r="B28" s="2"/>
      <c r="C28" s="2"/>
      <c r="D28" s="2"/>
      <c r="E28" s="1192"/>
      <c r="F28" s="1193"/>
      <c r="G28" s="1193"/>
      <c r="H28" s="1193"/>
      <c r="I28" s="1193"/>
      <c r="J28" s="1193"/>
      <c r="K28" s="1193"/>
      <c r="L28" s="1193"/>
      <c r="M28" s="1193"/>
      <c r="N28" s="1193"/>
      <c r="O28" s="1193"/>
      <c r="P28" s="1193"/>
      <c r="Q28" s="1193"/>
      <c r="R28" s="1193"/>
      <c r="S28" s="1193"/>
      <c r="T28" s="1193"/>
      <c r="U28" s="1193"/>
      <c r="V28" s="1193"/>
      <c r="W28" s="1193"/>
      <c r="X28" s="1193"/>
      <c r="Y28" s="1193"/>
      <c r="Z28" s="1193"/>
      <c r="AA28" s="1193"/>
      <c r="AB28" s="1193"/>
      <c r="AC28" s="1193"/>
      <c r="AD28" s="1193"/>
      <c r="AE28" s="1194"/>
      <c r="AH28" s="25"/>
      <c r="AI28" s="25"/>
      <c r="AJ28" s="45"/>
      <c r="AK28" s="25"/>
      <c r="AL28" s="25"/>
      <c r="AM28" s="25"/>
      <c r="AN28" s="25"/>
      <c r="AO28" s="25"/>
      <c r="AP28" s="25"/>
      <c r="AQ28" s="25"/>
      <c r="AR28" s="25"/>
      <c r="AS28" s="25"/>
      <c r="AT28" s="25"/>
      <c r="AU28" s="25"/>
      <c r="AV28" s="25"/>
      <c r="AW28" s="25"/>
      <c r="AX28" s="25"/>
      <c r="AY28" s="25"/>
      <c r="AZ28" s="25"/>
      <c r="BA28" s="25"/>
    </row>
    <row r="29" spans="1:53" ht="12.75" customHeight="1">
      <c r="A29" s="25"/>
      <c r="B29" s="2"/>
      <c r="C29" s="2"/>
      <c r="D29" s="2"/>
      <c r="E29" s="1192"/>
      <c r="F29" s="1193"/>
      <c r="G29" s="1193"/>
      <c r="H29" s="1193"/>
      <c r="I29" s="1193"/>
      <c r="J29" s="1193"/>
      <c r="K29" s="1193"/>
      <c r="L29" s="1193"/>
      <c r="M29" s="1193"/>
      <c r="N29" s="1193"/>
      <c r="O29" s="1193"/>
      <c r="P29" s="1193"/>
      <c r="Q29" s="1193"/>
      <c r="R29" s="1193"/>
      <c r="S29" s="1193"/>
      <c r="T29" s="1193"/>
      <c r="U29" s="1193"/>
      <c r="V29" s="1193"/>
      <c r="W29" s="1193"/>
      <c r="X29" s="1193"/>
      <c r="Y29" s="1193"/>
      <c r="Z29" s="1193"/>
      <c r="AA29" s="1193"/>
      <c r="AB29" s="1193"/>
      <c r="AC29" s="1193"/>
      <c r="AD29" s="1193"/>
      <c r="AE29" s="1194"/>
      <c r="AH29" s="25"/>
      <c r="AI29" s="25"/>
      <c r="AJ29" s="25"/>
      <c r="AK29" s="25"/>
      <c r="AL29" s="25"/>
      <c r="AM29" s="25"/>
      <c r="AN29" s="25"/>
      <c r="AO29" s="25"/>
      <c r="AP29" s="25"/>
      <c r="AQ29" s="25"/>
      <c r="AR29" s="25"/>
      <c r="AS29" s="25"/>
      <c r="AT29" s="25"/>
      <c r="AU29" s="25"/>
      <c r="AV29" s="25"/>
      <c r="AW29" s="25"/>
      <c r="AX29" s="25"/>
      <c r="AY29" s="25"/>
      <c r="AZ29" s="25"/>
      <c r="BA29" s="25"/>
    </row>
    <row r="30" spans="1:53" ht="12.75" customHeight="1">
      <c r="A30" s="25"/>
      <c r="B30" s="2"/>
      <c r="C30" s="2"/>
      <c r="D30" s="2"/>
      <c r="E30" s="1195"/>
      <c r="F30" s="1196"/>
      <c r="G30" s="1196"/>
      <c r="H30" s="1196"/>
      <c r="I30" s="1196"/>
      <c r="J30" s="1196"/>
      <c r="K30" s="1196"/>
      <c r="L30" s="1196"/>
      <c r="M30" s="1196"/>
      <c r="N30" s="1196"/>
      <c r="O30" s="1196"/>
      <c r="P30" s="1196"/>
      <c r="Q30" s="1196"/>
      <c r="R30" s="1196"/>
      <c r="S30" s="1196"/>
      <c r="T30" s="1196"/>
      <c r="U30" s="1196"/>
      <c r="V30" s="1196"/>
      <c r="W30" s="1196"/>
      <c r="X30" s="1196"/>
      <c r="Y30" s="1196"/>
      <c r="Z30" s="1196"/>
      <c r="AA30" s="1196"/>
      <c r="AB30" s="1196"/>
      <c r="AC30" s="1196"/>
      <c r="AD30" s="1196"/>
      <c r="AE30" s="1197"/>
      <c r="AH30" s="25"/>
      <c r="AI30" s="25"/>
      <c r="AJ30" s="25"/>
      <c r="AK30" s="25"/>
      <c r="AL30" s="25"/>
      <c r="AM30" s="25"/>
      <c r="AN30" s="25"/>
      <c r="AO30" s="25"/>
      <c r="AP30" s="25"/>
      <c r="AQ30" s="25"/>
      <c r="AR30" s="25"/>
      <c r="AS30" s="25"/>
      <c r="AT30" s="25"/>
      <c r="AU30" s="25"/>
      <c r="AV30" s="25"/>
      <c r="AW30" s="25"/>
      <c r="AX30" s="25"/>
      <c r="AY30" s="25"/>
      <c r="AZ30" s="25"/>
      <c r="BA30" s="25"/>
    </row>
    <row r="31" spans="1:53" ht="22.5" customHeight="1">
      <c r="A31" s="25"/>
      <c r="B31" s="2"/>
      <c r="C31" s="2"/>
      <c r="D31" s="2"/>
      <c r="AH31" s="25"/>
      <c r="AI31" s="25"/>
      <c r="AJ31" s="25"/>
      <c r="AK31" s="25"/>
      <c r="AL31" s="25"/>
      <c r="AM31" s="25"/>
      <c r="AN31" s="25"/>
      <c r="AO31" s="25"/>
      <c r="AP31" s="25"/>
      <c r="AQ31" s="25"/>
      <c r="AR31" s="25"/>
      <c r="AS31" s="25"/>
      <c r="AT31" s="25"/>
      <c r="AU31" s="25"/>
      <c r="AV31" s="25"/>
      <c r="AW31" s="25"/>
      <c r="AX31" s="25"/>
      <c r="AY31" s="25"/>
      <c r="AZ31" s="25"/>
      <c r="BA31" s="25"/>
    </row>
    <row r="32" spans="1:53" ht="12.75">
      <c r="A32" s="25"/>
      <c r="B32" s="2"/>
      <c r="C32" s="2"/>
      <c r="D32" s="51" t="s">
        <v>904</v>
      </c>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H32" s="25"/>
      <c r="AI32" s="25"/>
      <c r="AJ32" s="25"/>
      <c r="AK32" s="25"/>
      <c r="AL32" s="25"/>
      <c r="AM32" s="25"/>
      <c r="AN32" s="25"/>
      <c r="AO32" s="25"/>
      <c r="AP32" s="25"/>
      <c r="AQ32" s="25"/>
      <c r="AR32" s="25"/>
      <c r="AS32" s="25"/>
      <c r="AT32" s="25"/>
      <c r="AU32" s="25"/>
      <c r="AV32" s="25"/>
      <c r="AW32" s="25"/>
      <c r="AX32" s="25"/>
      <c r="AY32" s="25"/>
      <c r="AZ32" s="25"/>
      <c r="BA32" s="25"/>
    </row>
    <row r="33" spans="1:53" ht="15" customHeight="1">
      <c r="A33" s="25"/>
      <c r="B33" s="2"/>
      <c r="C33" s="2"/>
      <c r="D33" s="765" t="s">
        <v>923</v>
      </c>
      <c r="AH33" s="25"/>
      <c r="AI33" s="25"/>
      <c r="AJ33" s="25"/>
      <c r="AK33" s="25"/>
      <c r="AL33" s="25"/>
      <c r="AM33" s="25"/>
      <c r="AN33" s="25"/>
      <c r="AO33" s="25"/>
      <c r="AP33" s="25"/>
      <c r="AQ33" s="25"/>
      <c r="AR33" s="25"/>
      <c r="AS33" s="25"/>
      <c r="AT33" s="25"/>
      <c r="AU33" s="25"/>
      <c r="AV33" s="25"/>
      <c r="AW33" s="25"/>
      <c r="AX33" s="25"/>
      <c r="AY33" s="25"/>
      <c r="AZ33" s="25"/>
      <c r="BA33" s="25"/>
    </row>
    <row r="34" spans="1:53" ht="5.25" customHeight="1">
      <c r="A34" s="25"/>
      <c r="B34" s="2"/>
      <c r="C34" s="2"/>
      <c r="D34" s="2"/>
      <c r="AH34" s="25"/>
      <c r="AI34" s="25"/>
      <c r="AJ34" s="25"/>
      <c r="AK34" s="25"/>
      <c r="AL34" s="25"/>
      <c r="AM34" s="25"/>
      <c r="AN34" s="25"/>
      <c r="AO34" s="25"/>
      <c r="AP34" s="25"/>
      <c r="AQ34" s="25"/>
      <c r="AR34" s="25"/>
      <c r="AS34" s="25"/>
      <c r="AT34" s="25"/>
      <c r="AU34" s="25"/>
      <c r="AV34" s="25"/>
      <c r="AW34" s="25"/>
      <c r="AX34" s="25"/>
      <c r="AY34" s="25"/>
      <c r="AZ34" s="25"/>
      <c r="BA34" s="25"/>
    </row>
    <row r="35" spans="1:53" ht="12.75" customHeight="1">
      <c r="A35" s="25"/>
      <c r="B35" s="2"/>
      <c r="C35" s="2"/>
      <c r="D35" s="2"/>
      <c r="E35" s="1189"/>
      <c r="F35" s="1190"/>
      <c r="G35" s="1190"/>
      <c r="H35" s="1190"/>
      <c r="I35" s="1190"/>
      <c r="J35" s="1190"/>
      <c r="K35" s="1190"/>
      <c r="L35" s="1190"/>
      <c r="M35" s="1190"/>
      <c r="N35" s="1190"/>
      <c r="O35" s="1190"/>
      <c r="P35" s="1190"/>
      <c r="Q35" s="1190"/>
      <c r="R35" s="1190"/>
      <c r="S35" s="1190"/>
      <c r="T35" s="1190"/>
      <c r="U35" s="1190"/>
      <c r="V35" s="1190"/>
      <c r="W35" s="1190"/>
      <c r="X35" s="1190"/>
      <c r="Y35" s="1190"/>
      <c r="Z35" s="1190"/>
      <c r="AA35" s="1190"/>
      <c r="AB35" s="1190"/>
      <c r="AC35" s="1190"/>
      <c r="AD35" s="1190"/>
      <c r="AE35" s="1191"/>
      <c r="AH35" s="25"/>
      <c r="AI35" s="25"/>
      <c r="AJ35" s="25"/>
      <c r="AK35" s="25"/>
      <c r="AL35" s="25"/>
      <c r="AM35" s="25"/>
      <c r="AN35" s="25"/>
      <c r="AO35" s="25"/>
      <c r="AP35" s="25"/>
      <c r="AQ35" s="25"/>
      <c r="AR35" s="25"/>
      <c r="AS35" s="25"/>
      <c r="AT35" s="25"/>
      <c r="AU35" s="25"/>
      <c r="AV35" s="25"/>
      <c r="AW35" s="25"/>
      <c r="AX35" s="25"/>
      <c r="AY35" s="25"/>
      <c r="AZ35" s="25"/>
      <c r="BA35" s="25"/>
    </row>
    <row r="36" spans="1:53" ht="12.75" customHeight="1">
      <c r="A36" s="25"/>
      <c r="B36" s="2"/>
      <c r="C36" s="2"/>
      <c r="D36" s="2"/>
      <c r="E36" s="1192"/>
      <c r="F36" s="1193"/>
      <c r="G36" s="1193"/>
      <c r="H36" s="1193"/>
      <c r="I36" s="1193"/>
      <c r="J36" s="1193"/>
      <c r="K36" s="1193"/>
      <c r="L36" s="1193"/>
      <c r="M36" s="1193"/>
      <c r="N36" s="1193"/>
      <c r="O36" s="1193"/>
      <c r="P36" s="1193"/>
      <c r="Q36" s="1193"/>
      <c r="R36" s="1193"/>
      <c r="S36" s="1193"/>
      <c r="T36" s="1193"/>
      <c r="U36" s="1193"/>
      <c r="V36" s="1193"/>
      <c r="W36" s="1193"/>
      <c r="X36" s="1193"/>
      <c r="Y36" s="1193"/>
      <c r="Z36" s="1193"/>
      <c r="AA36" s="1193"/>
      <c r="AB36" s="1193"/>
      <c r="AC36" s="1193"/>
      <c r="AD36" s="1193"/>
      <c r="AE36" s="1194"/>
      <c r="AH36" s="25"/>
      <c r="AI36" s="25"/>
      <c r="AJ36" s="25"/>
      <c r="AK36" s="25"/>
      <c r="AL36" s="25"/>
      <c r="AM36" s="25"/>
      <c r="AN36" s="25"/>
      <c r="AO36" s="25"/>
      <c r="AP36" s="25"/>
      <c r="AQ36" s="25"/>
      <c r="AR36" s="25"/>
      <c r="AS36" s="25"/>
      <c r="AT36" s="25"/>
      <c r="AU36" s="25"/>
      <c r="AV36" s="25"/>
      <c r="AW36" s="25"/>
      <c r="AX36" s="25"/>
      <c r="AY36" s="25"/>
      <c r="AZ36" s="25"/>
      <c r="BA36" s="25"/>
    </row>
    <row r="37" spans="1:53" ht="12.75" customHeight="1">
      <c r="A37" s="25"/>
      <c r="B37" s="2"/>
      <c r="C37" s="2"/>
      <c r="D37" s="2"/>
      <c r="E37" s="1192"/>
      <c r="F37" s="1193"/>
      <c r="G37" s="1193"/>
      <c r="H37" s="1193"/>
      <c r="I37" s="1193"/>
      <c r="J37" s="1193"/>
      <c r="K37" s="1193"/>
      <c r="L37" s="1193"/>
      <c r="M37" s="1193"/>
      <c r="N37" s="1193"/>
      <c r="O37" s="1193"/>
      <c r="P37" s="1193"/>
      <c r="Q37" s="1193"/>
      <c r="R37" s="1193"/>
      <c r="S37" s="1193"/>
      <c r="T37" s="1193"/>
      <c r="U37" s="1193"/>
      <c r="V37" s="1193"/>
      <c r="W37" s="1193"/>
      <c r="X37" s="1193"/>
      <c r="Y37" s="1193"/>
      <c r="Z37" s="1193"/>
      <c r="AA37" s="1193"/>
      <c r="AB37" s="1193"/>
      <c r="AC37" s="1193"/>
      <c r="AD37" s="1193"/>
      <c r="AE37" s="1194"/>
      <c r="AH37" s="25"/>
      <c r="AI37" s="25"/>
      <c r="AJ37" s="25"/>
      <c r="AK37" s="25"/>
      <c r="AL37" s="25"/>
      <c r="AM37" s="25"/>
      <c r="AN37" s="25"/>
      <c r="AO37" s="25"/>
      <c r="AP37" s="25"/>
      <c r="AQ37" s="25"/>
      <c r="AR37" s="25"/>
      <c r="AS37" s="25"/>
      <c r="AT37" s="25"/>
      <c r="AU37" s="25"/>
      <c r="AV37" s="25"/>
      <c r="AW37" s="25"/>
      <c r="AX37" s="25"/>
      <c r="AY37" s="25"/>
      <c r="AZ37" s="25"/>
      <c r="BA37" s="25"/>
    </row>
    <row r="38" spans="1:53" ht="12.75" customHeight="1">
      <c r="A38" s="25"/>
      <c r="B38" s="2"/>
      <c r="C38" s="2"/>
      <c r="D38" s="2"/>
      <c r="E38" s="1192"/>
      <c r="F38" s="1193"/>
      <c r="G38" s="1193"/>
      <c r="H38" s="1193"/>
      <c r="I38" s="1193"/>
      <c r="J38" s="1193"/>
      <c r="K38" s="1193"/>
      <c r="L38" s="1193"/>
      <c r="M38" s="1193"/>
      <c r="N38" s="1193"/>
      <c r="O38" s="1193"/>
      <c r="P38" s="1193"/>
      <c r="Q38" s="1193"/>
      <c r="R38" s="1193"/>
      <c r="S38" s="1193"/>
      <c r="T38" s="1193"/>
      <c r="U38" s="1193"/>
      <c r="V38" s="1193"/>
      <c r="W38" s="1193"/>
      <c r="X38" s="1193"/>
      <c r="Y38" s="1193"/>
      <c r="Z38" s="1193"/>
      <c r="AA38" s="1193"/>
      <c r="AB38" s="1193"/>
      <c r="AC38" s="1193"/>
      <c r="AD38" s="1193"/>
      <c r="AE38" s="1194"/>
      <c r="AH38" s="25"/>
      <c r="AI38" s="25"/>
      <c r="AJ38" s="25"/>
      <c r="AK38" s="25"/>
      <c r="AL38" s="25"/>
      <c r="AM38" s="25"/>
      <c r="AN38" s="25"/>
      <c r="AO38" s="25"/>
      <c r="AP38" s="25"/>
      <c r="AQ38" s="25"/>
      <c r="AR38" s="25"/>
      <c r="AS38" s="25"/>
      <c r="AT38" s="25"/>
      <c r="AU38" s="25"/>
      <c r="AV38" s="25"/>
      <c r="AW38" s="25"/>
      <c r="AX38" s="25"/>
      <c r="AY38" s="25"/>
      <c r="AZ38" s="25"/>
      <c r="BA38" s="25"/>
    </row>
    <row r="39" spans="1:53" ht="12.75" customHeight="1">
      <c r="A39" s="25"/>
      <c r="B39" s="2"/>
      <c r="C39" s="3"/>
      <c r="D39" s="2"/>
      <c r="E39" s="1192"/>
      <c r="F39" s="1193"/>
      <c r="G39" s="1193"/>
      <c r="H39" s="1193"/>
      <c r="I39" s="1193"/>
      <c r="J39" s="1193"/>
      <c r="K39" s="1193"/>
      <c r="L39" s="1193"/>
      <c r="M39" s="1193"/>
      <c r="N39" s="1193"/>
      <c r="O39" s="1193"/>
      <c r="P39" s="1193"/>
      <c r="Q39" s="1193"/>
      <c r="R39" s="1193"/>
      <c r="S39" s="1193"/>
      <c r="T39" s="1193"/>
      <c r="U39" s="1193"/>
      <c r="V39" s="1193"/>
      <c r="W39" s="1193"/>
      <c r="X39" s="1193"/>
      <c r="Y39" s="1193"/>
      <c r="Z39" s="1193"/>
      <c r="AA39" s="1193"/>
      <c r="AB39" s="1193"/>
      <c r="AC39" s="1193"/>
      <c r="AD39" s="1193"/>
      <c r="AE39" s="1194"/>
      <c r="AH39" s="25"/>
      <c r="AI39" s="25"/>
      <c r="AJ39" s="25"/>
      <c r="AK39" s="25"/>
      <c r="AL39" s="25"/>
      <c r="AM39" s="25"/>
      <c r="AN39" s="25"/>
      <c r="AO39" s="25"/>
      <c r="AP39" s="25"/>
      <c r="AQ39" s="25"/>
      <c r="AR39" s="25"/>
      <c r="AS39" s="25"/>
      <c r="AT39" s="25"/>
      <c r="AU39" s="25"/>
      <c r="AV39" s="25"/>
      <c r="AW39" s="25"/>
      <c r="AX39" s="25"/>
      <c r="AY39" s="25"/>
      <c r="AZ39" s="25"/>
      <c r="BA39" s="25"/>
    </row>
    <row r="40" spans="1:53" ht="12.75">
      <c r="A40" s="25"/>
      <c r="B40" s="2"/>
      <c r="C40" s="3"/>
      <c r="D40" s="2"/>
      <c r="E40" s="1192"/>
      <c r="F40" s="1193"/>
      <c r="G40" s="1193"/>
      <c r="H40" s="1193"/>
      <c r="I40" s="1193"/>
      <c r="J40" s="1193"/>
      <c r="K40" s="1193"/>
      <c r="L40" s="1193"/>
      <c r="M40" s="1193"/>
      <c r="N40" s="1193"/>
      <c r="O40" s="1193"/>
      <c r="P40" s="1193"/>
      <c r="Q40" s="1193"/>
      <c r="R40" s="1193"/>
      <c r="S40" s="1193"/>
      <c r="T40" s="1193"/>
      <c r="U40" s="1193"/>
      <c r="V40" s="1193"/>
      <c r="W40" s="1193"/>
      <c r="X40" s="1193"/>
      <c r="Y40" s="1193"/>
      <c r="Z40" s="1193"/>
      <c r="AA40" s="1193"/>
      <c r="AB40" s="1193"/>
      <c r="AC40" s="1193"/>
      <c r="AD40" s="1193"/>
      <c r="AE40" s="1194"/>
      <c r="AH40" s="25"/>
      <c r="AI40" s="25"/>
      <c r="AJ40" s="25"/>
      <c r="AK40" s="25"/>
      <c r="AL40" s="25"/>
      <c r="AM40" s="25"/>
      <c r="AN40" s="25"/>
      <c r="AO40" s="25"/>
      <c r="AP40" s="25"/>
      <c r="AQ40" s="25"/>
      <c r="AR40" s="25"/>
      <c r="AS40" s="25"/>
      <c r="AT40" s="25"/>
      <c r="AU40" s="25"/>
      <c r="AV40" s="25"/>
      <c r="AW40" s="25"/>
      <c r="AX40" s="25"/>
      <c r="AY40" s="25"/>
      <c r="AZ40" s="25"/>
      <c r="BA40" s="25"/>
    </row>
    <row r="41" spans="1:53" ht="12.75">
      <c r="A41" s="25"/>
      <c r="B41" s="2"/>
      <c r="C41" s="3"/>
      <c r="D41" s="2"/>
      <c r="E41" s="1192"/>
      <c r="F41" s="1193"/>
      <c r="G41" s="1193"/>
      <c r="H41" s="1193"/>
      <c r="I41" s="1193"/>
      <c r="J41" s="1193"/>
      <c r="K41" s="1193"/>
      <c r="L41" s="1193"/>
      <c r="M41" s="1193"/>
      <c r="N41" s="1193"/>
      <c r="O41" s="1193"/>
      <c r="P41" s="1193"/>
      <c r="Q41" s="1193"/>
      <c r="R41" s="1193"/>
      <c r="S41" s="1193"/>
      <c r="T41" s="1193"/>
      <c r="U41" s="1193"/>
      <c r="V41" s="1193"/>
      <c r="W41" s="1193"/>
      <c r="X41" s="1193"/>
      <c r="Y41" s="1193"/>
      <c r="Z41" s="1193"/>
      <c r="AA41" s="1193"/>
      <c r="AB41" s="1193"/>
      <c r="AC41" s="1193"/>
      <c r="AD41" s="1193"/>
      <c r="AE41" s="1194"/>
      <c r="AH41" s="25"/>
      <c r="AI41" s="25"/>
      <c r="AJ41" s="25"/>
      <c r="AK41" s="25"/>
      <c r="AL41" s="25"/>
      <c r="AM41" s="25"/>
      <c r="AN41" s="25"/>
      <c r="AO41" s="25"/>
      <c r="AP41" s="25"/>
      <c r="AQ41" s="25"/>
      <c r="AR41" s="25"/>
      <c r="AS41" s="25"/>
      <c r="AT41" s="25"/>
      <c r="AU41" s="25"/>
      <c r="AV41" s="25"/>
      <c r="AW41" s="25"/>
      <c r="AX41" s="25"/>
      <c r="AY41" s="25"/>
      <c r="AZ41" s="25"/>
      <c r="BA41" s="25"/>
    </row>
    <row r="42" spans="1:53" ht="12.75">
      <c r="A42" s="25"/>
      <c r="B42" s="2"/>
      <c r="C42" s="3"/>
      <c r="D42" s="2"/>
      <c r="E42" s="1192"/>
      <c r="F42" s="1193"/>
      <c r="G42" s="1193"/>
      <c r="H42" s="1193"/>
      <c r="I42" s="1193"/>
      <c r="J42" s="1193"/>
      <c r="K42" s="1193"/>
      <c r="L42" s="1193"/>
      <c r="M42" s="1193"/>
      <c r="N42" s="1193"/>
      <c r="O42" s="1193"/>
      <c r="P42" s="1193"/>
      <c r="Q42" s="1193"/>
      <c r="R42" s="1193"/>
      <c r="S42" s="1193"/>
      <c r="T42" s="1193"/>
      <c r="U42" s="1193"/>
      <c r="V42" s="1193"/>
      <c r="W42" s="1193"/>
      <c r="X42" s="1193"/>
      <c r="Y42" s="1193"/>
      <c r="Z42" s="1193"/>
      <c r="AA42" s="1193"/>
      <c r="AB42" s="1193"/>
      <c r="AC42" s="1193"/>
      <c r="AD42" s="1193"/>
      <c r="AE42" s="1194"/>
      <c r="AH42" s="25"/>
      <c r="AI42" s="25"/>
      <c r="AJ42" s="25"/>
      <c r="AK42" s="25"/>
      <c r="AL42" s="25"/>
      <c r="AM42" s="25"/>
      <c r="AN42" s="25"/>
      <c r="AO42" s="25"/>
      <c r="AP42" s="25"/>
      <c r="AQ42" s="25"/>
      <c r="AR42" s="25"/>
      <c r="AS42" s="25"/>
      <c r="AT42" s="25"/>
      <c r="AU42" s="25"/>
      <c r="AV42" s="25"/>
      <c r="AW42" s="25"/>
      <c r="AX42" s="25"/>
      <c r="AY42" s="25"/>
      <c r="AZ42" s="25"/>
      <c r="BA42" s="25"/>
    </row>
    <row r="43" spans="1:53" ht="12.75">
      <c r="A43" s="25"/>
      <c r="B43" s="2"/>
      <c r="C43" s="3"/>
      <c r="D43" s="2"/>
      <c r="E43" s="1192"/>
      <c r="F43" s="1193"/>
      <c r="G43" s="1193"/>
      <c r="H43" s="1193"/>
      <c r="I43" s="1193"/>
      <c r="J43" s="1193"/>
      <c r="K43" s="1193"/>
      <c r="L43" s="1193"/>
      <c r="M43" s="1193"/>
      <c r="N43" s="1193"/>
      <c r="O43" s="1193"/>
      <c r="P43" s="1193"/>
      <c r="Q43" s="1193"/>
      <c r="R43" s="1193"/>
      <c r="S43" s="1193"/>
      <c r="T43" s="1193"/>
      <c r="U43" s="1193"/>
      <c r="V43" s="1193"/>
      <c r="W43" s="1193"/>
      <c r="X43" s="1193"/>
      <c r="Y43" s="1193"/>
      <c r="Z43" s="1193"/>
      <c r="AA43" s="1193"/>
      <c r="AB43" s="1193"/>
      <c r="AC43" s="1193"/>
      <c r="AD43" s="1193"/>
      <c r="AE43" s="1194"/>
      <c r="AH43" s="25"/>
      <c r="AI43" s="25"/>
      <c r="AJ43" s="25"/>
      <c r="AK43" s="25"/>
      <c r="AL43" s="25"/>
      <c r="AM43" s="25"/>
      <c r="AN43" s="25"/>
      <c r="AO43" s="25"/>
      <c r="AP43" s="25"/>
      <c r="AQ43" s="25"/>
      <c r="AR43" s="25"/>
      <c r="AS43" s="25"/>
      <c r="AT43" s="25"/>
      <c r="AU43" s="25"/>
      <c r="AV43" s="25"/>
      <c r="AW43" s="25"/>
      <c r="AX43" s="25"/>
      <c r="AY43" s="25"/>
      <c r="AZ43" s="25"/>
      <c r="BA43" s="25"/>
    </row>
    <row r="44" spans="1:53" ht="12.75">
      <c r="A44" s="25"/>
      <c r="B44" s="2"/>
      <c r="C44" s="3"/>
      <c r="D44" s="2"/>
      <c r="E44" s="1192"/>
      <c r="F44" s="1193"/>
      <c r="G44" s="1193"/>
      <c r="H44" s="1193"/>
      <c r="I44" s="1193"/>
      <c r="J44" s="1193"/>
      <c r="K44" s="1193"/>
      <c r="L44" s="1193"/>
      <c r="M44" s="1193"/>
      <c r="N44" s="1193"/>
      <c r="O44" s="1193"/>
      <c r="P44" s="1193"/>
      <c r="Q44" s="1193"/>
      <c r="R44" s="1193"/>
      <c r="S44" s="1193"/>
      <c r="T44" s="1193"/>
      <c r="U44" s="1193"/>
      <c r="V44" s="1193"/>
      <c r="W44" s="1193"/>
      <c r="X44" s="1193"/>
      <c r="Y44" s="1193"/>
      <c r="Z44" s="1193"/>
      <c r="AA44" s="1193"/>
      <c r="AB44" s="1193"/>
      <c r="AC44" s="1193"/>
      <c r="AD44" s="1193"/>
      <c r="AE44" s="1194"/>
      <c r="AH44" s="25"/>
      <c r="AI44" s="25"/>
      <c r="AJ44" s="25"/>
      <c r="AK44" s="25"/>
      <c r="AL44" s="25"/>
      <c r="AM44" s="25"/>
      <c r="AN44" s="25"/>
      <c r="AO44" s="25"/>
      <c r="AP44" s="25"/>
      <c r="AQ44" s="25"/>
      <c r="AR44" s="25"/>
      <c r="AS44" s="25"/>
      <c r="AT44" s="25"/>
      <c r="AU44" s="25"/>
      <c r="AV44" s="25"/>
      <c r="AW44" s="25"/>
      <c r="AX44" s="25"/>
      <c r="AY44" s="25"/>
      <c r="AZ44" s="25"/>
      <c r="BA44" s="25"/>
    </row>
    <row r="45" spans="1:53" ht="12.75">
      <c r="A45" s="25"/>
      <c r="B45" s="2"/>
      <c r="C45" s="3"/>
      <c r="D45" s="2"/>
      <c r="E45" s="1192"/>
      <c r="F45" s="1193"/>
      <c r="G45" s="1193"/>
      <c r="H45" s="1193"/>
      <c r="I45" s="1193"/>
      <c r="J45" s="1193"/>
      <c r="K45" s="1193"/>
      <c r="L45" s="1193"/>
      <c r="M45" s="1193"/>
      <c r="N45" s="1193"/>
      <c r="O45" s="1193"/>
      <c r="P45" s="1193"/>
      <c r="Q45" s="1193"/>
      <c r="R45" s="1193"/>
      <c r="S45" s="1193"/>
      <c r="T45" s="1193"/>
      <c r="U45" s="1193"/>
      <c r="V45" s="1193"/>
      <c r="W45" s="1193"/>
      <c r="X45" s="1193"/>
      <c r="Y45" s="1193"/>
      <c r="Z45" s="1193"/>
      <c r="AA45" s="1193"/>
      <c r="AB45" s="1193"/>
      <c r="AC45" s="1193"/>
      <c r="AD45" s="1193"/>
      <c r="AE45" s="1194"/>
      <c r="AH45" s="25"/>
      <c r="AI45" s="25"/>
      <c r="AJ45" s="25"/>
      <c r="AK45" s="25"/>
      <c r="AL45" s="25"/>
      <c r="AM45" s="25"/>
      <c r="AN45" s="25"/>
      <c r="AO45" s="25"/>
      <c r="AP45" s="25"/>
      <c r="AQ45" s="25"/>
      <c r="AR45" s="25"/>
      <c r="AS45" s="25"/>
      <c r="AT45" s="25"/>
      <c r="AU45" s="25"/>
      <c r="AV45" s="25"/>
      <c r="AW45" s="25"/>
      <c r="AX45" s="25"/>
      <c r="AY45" s="25"/>
      <c r="AZ45" s="25"/>
      <c r="BA45" s="25"/>
    </row>
    <row r="46" spans="1:53" ht="12.75">
      <c r="A46" s="25"/>
      <c r="B46" s="2"/>
      <c r="C46" s="3"/>
      <c r="D46" s="2"/>
      <c r="E46" s="1195"/>
      <c r="F46" s="1196"/>
      <c r="G46" s="1196"/>
      <c r="H46" s="1196"/>
      <c r="I46" s="1196"/>
      <c r="J46" s="1196"/>
      <c r="K46" s="1196"/>
      <c r="L46" s="1196"/>
      <c r="M46" s="1196"/>
      <c r="N46" s="1196"/>
      <c r="O46" s="1196"/>
      <c r="P46" s="1196"/>
      <c r="Q46" s="1196"/>
      <c r="R46" s="1196"/>
      <c r="S46" s="1196"/>
      <c r="T46" s="1196"/>
      <c r="U46" s="1196"/>
      <c r="V46" s="1196"/>
      <c r="W46" s="1196"/>
      <c r="X46" s="1196"/>
      <c r="Y46" s="1196"/>
      <c r="Z46" s="1196"/>
      <c r="AA46" s="1196"/>
      <c r="AB46" s="1196"/>
      <c r="AC46" s="1196"/>
      <c r="AD46" s="1196"/>
      <c r="AE46" s="1197"/>
      <c r="AH46" s="25"/>
      <c r="AI46" s="25"/>
      <c r="AJ46" s="25"/>
      <c r="AK46" s="25"/>
      <c r="AL46" s="25"/>
      <c r="AM46" s="25"/>
      <c r="AN46" s="25"/>
      <c r="AO46" s="25"/>
      <c r="AP46" s="25"/>
      <c r="AQ46" s="25"/>
      <c r="AR46" s="25"/>
      <c r="AS46" s="25"/>
      <c r="AT46" s="25"/>
      <c r="AU46" s="25"/>
      <c r="AV46" s="25"/>
      <c r="AW46" s="25"/>
      <c r="AX46" s="25"/>
      <c r="AY46" s="25"/>
      <c r="AZ46" s="25"/>
      <c r="BA46" s="25"/>
    </row>
    <row r="47" spans="1:53" ht="22.5" customHeight="1">
      <c r="A47" s="25"/>
      <c r="B47" s="2"/>
      <c r="C47" s="3"/>
      <c r="D47" s="2"/>
      <c r="AH47" s="25"/>
      <c r="AI47" s="25"/>
      <c r="AJ47" s="25"/>
      <c r="AK47" s="25"/>
      <c r="AL47" s="25"/>
      <c r="AM47" s="25"/>
      <c r="AN47" s="25"/>
      <c r="AO47" s="25"/>
      <c r="AP47" s="25"/>
      <c r="AQ47" s="25"/>
      <c r="AR47" s="25"/>
      <c r="AS47" s="25"/>
      <c r="AT47" s="25"/>
      <c r="AU47" s="25"/>
      <c r="AV47" s="25"/>
      <c r="AW47" s="25"/>
      <c r="AX47" s="25"/>
      <c r="AY47" s="25"/>
      <c r="AZ47" s="25"/>
      <c r="BA47" s="25"/>
    </row>
    <row r="48" spans="1:53" ht="12.75">
      <c r="A48" s="25"/>
      <c r="B48" s="2"/>
      <c r="C48" s="2"/>
      <c r="D48" s="51" t="s">
        <v>285</v>
      </c>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H48" s="25"/>
      <c r="AI48" s="25"/>
      <c r="AJ48" s="25"/>
      <c r="AK48" s="25"/>
      <c r="AL48" s="25"/>
      <c r="AM48" s="25"/>
      <c r="AN48" s="25"/>
      <c r="AO48" s="25"/>
      <c r="AP48" s="25"/>
      <c r="AQ48" s="25"/>
      <c r="AR48" s="25"/>
      <c r="AS48" s="25"/>
      <c r="AT48" s="25"/>
      <c r="AU48" s="25"/>
      <c r="AV48" s="25"/>
      <c r="AW48" s="25"/>
      <c r="AX48" s="25"/>
      <c r="AY48" s="25"/>
      <c r="AZ48" s="25"/>
      <c r="BA48" s="25"/>
    </row>
    <row r="49" spans="1:53" ht="15" customHeight="1">
      <c r="A49" s="25"/>
      <c r="B49" s="2"/>
      <c r="C49" s="2"/>
      <c r="D49" s="765" t="s">
        <v>1331</v>
      </c>
      <c r="AH49" s="25"/>
      <c r="AI49" s="25"/>
      <c r="AJ49" s="25"/>
      <c r="AK49" s="25"/>
      <c r="AL49" s="25"/>
      <c r="AM49" s="25"/>
      <c r="AN49" s="25"/>
      <c r="AO49" s="25"/>
      <c r="AP49" s="25"/>
      <c r="AQ49" s="25"/>
      <c r="AR49" s="25"/>
      <c r="AS49" s="25"/>
      <c r="AT49" s="25"/>
      <c r="AU49" s="25"/>
      <c r="AV49" s="25"/>
      <c r="AW49" s="25"/>
      <c r="AX49" s="25"/>
      <c r="AY49" s="25"/>
      <c r="AZ49" s="25"/>
      <c r="BA49" s="25"/>
    </row>
    <row r="50" spans="1:53" ht="5.25" customHeight="1" thickBot="1">
      <c r="A50" s="25"/>
      <c r="B50" s="2"/>
      <c r="C50" s="2"/>
      <c r="D50" s="2"/>
      <c r="AH50" s="25"/>
      <c r="AI50" s="25"/>
      <c r="AJ50" s="25"/>
      <c r="AK50" s="25"/>
      <c r="AL50" s="25"/>
      <c r="AM50" s="25"/>
      <c r="AN50" s="25"/>
      <c r="AO50" s="25"/>
      <c r="AP50" s="25"/>
      <c r="AQ50" s="25"/>
      <c r="AR50" s="25"/>
      <c r="AS50" s="25"/>
      <c r="AT50" s="25"/>
      <c r="AU50" s="25"/>
      <c r="AV50" s="25"/>
      <c r="AW50" s="25"/>
      <c r="AX50" s="25"/>
      <c r="AY50" s="25"/>
      <c r="AZ50" s="25"/>
      <c r="BA50" s="25"/>
    </row>
    <row r="51" spans="1:53" ht="12.75" customHeight="1">
      <c r="A51" s="25"/>
      <c r="B51" s="2"/>
      <c r="C51" s="2"/>
      <c r="D51" s="2"/>
      <c r="E51" s="766" t="s">
        <v>287</v>
      </c>
      <c r="F51" s="1198" t="s">
        <v>1104</v>
      </c>
      <c r="G51" s="1199"/>
      <c r="H51" s="1199"/>
      <c r="I51" s="1199"/>
      <c r="J51" s="1199"/>
      <c r="K51" s="1200"/>
      <c r="L51" s="1198" t="s">
        <v>286</v>
      </c>
      <c r="M51" s="1199"/>
      <c r="N51" s="1199"/>
      <c r="O51" s="1199"/>
      <c r="P51" s="1199"/>
      <c r="Q51" s="1199"/>
      <c r="R51" s="1199"/>
      <c r="S51" s="1199"/>
      <c r="T51" s="1199"/>
      <c r="U51" s="1199"/>
      <c r="V51" s="1199"/>
      <c r="W51" s="1199"/>
      <c r="X51" s="1199"/>
      <c r="Y51" s="1199"/>
      <c r="Z51" s="1199"/>
      <c r="AA51" s="1199"/>
      <c r="AB51" s="1201"/>
      <c r="AC51" s="1205" t="s">
        <v>1323</v>
      </c>
      <c r="AD51" s="1206"/>
      <c r="AE51" s="1207"/>
      <c r="AF51" s="1016"/>
      <c r="AH51" s="25"/>
      <c r="AI51" s="25"/>
      <c r="AJ51" s="25"/>
      <c r="AK51" s="25"/>
      <c r="AL51" s="25"/>
      <c r="AM51" s="25"/>
      <c r="AN51" s="25"/>
      <c r="AO51" s="25"/>
      <c r="AP51" s="25"/>
      <c r="AQ51" s="25"/>
      <c r="AR51" s="25"/>
      <c r="AS51" s="25"/>
      <c r="AT51" s="25"/>
      <c r="AU51" s="25"/>
      <c r="AV51" s="25"/>
      <c r="AW51" s="25"/>
      <c r="AX51" s="25"/>
      <c r="AY51" s="25"/>
      <c r="AZ51" s="25"/>
      <c r="BA51" s="25"/>
    </row>
    <row r="52" spans="1:53" ht="12.75" customHeight="1">
      <c r="A52" s="25"/>
      <c r="B52" s="2"/>
      <c r="C52" s="2"/>
      <c r="D52" s="2"/>
      <c r="E52" s="767">
        <v>1</v>
      </c>
      <c r="F52" s="1179"/>
      <c r="G52" s="1177"/>
      <c r="H52" s="1177"/>
      <c r="I52" s="1177"/>
      <c r="J52" s="1177"/>
      <c r="K52" s="1178"/>
      <c r="L52" s="1176"/>
      <c r="M52" s="1177"/>
      <c r="N52" s="1177"/>
      <c r="O52" s="1177"/>
      <c r="P52" s="1177"/>
      <c r="Q52" s="1177"/>
      <c r="R52" s="1177"/>
      <c r="S52" s="1177"/>
      <c r="T52" s="1177"/>
      <c r="U52" s="1177"/>
      <c r="V52" s="1177"/>
      <c r="W52" s="1177"/>
      <c r="X52" s="1177"/>
      <c r="Y52" s="1177"/>
      <c r="Z52" s="1177"/>
      <c r="AA52" s="1177"/>
      <c r="AB52" s="1178"/>
      <c r="AC52" s="1180"/>
      <c r="AD52" s="1181"/>
      <c r="AE52" s="1181"/>
      <c r="AF52" s="1016"/>
      <c r="AH52" s="25"/>
      <c r="AI52" s="25"/>
      <c r="AJ52" s="25"/>
      <c r="AK52" s="25"/>
      <c r="AL52" s="25"/>
      <c r="AM52" s="25"/>
      <c r="AN52" s="25"/>
      <c r="AO52" s="25"/>
      <c r="AP52" s="25"/>
      <c r="AQ52" s="25"/>
      <c r="AR52" s="25"/>
      <c r="AS52" s="25"/>
      <c r="AT52" s="25"/>
      <c r="AU52" s="25"/>
      <c r="AV52" s="25"/>
      <c r="AW52" s="25"/>
      <c r="AX52" s="25"/>
      <c r="AY52" s="25"/>
      <c r="AZ52" s="25"/>
      <c r="BA52" s="25"/>
    </row>
    <row r="53" spans="1:53" ht="12.75" customHeight="1">
      <c r="A53" s="25"/>
      <c r="B53" s="2"/>
      <c r="C53" s="2"/>
      <c r="D53" s="2"/>
      <c r="E53" s="767">
        <v>2</v>
      </c>
      <c r="F53" s="1179"/>
      <c r="G53" s="1177"/>
      <c r="H53" s="1177"/>
      <c r="I53" s="1177"/>
      <c r="J53" s="1177"/>
      <c r="K53" s="1178"/>
      <c r="L53" s="1176"/>
      <c r="M53" s="1177"/>
      <c r="N53" s="1177"/>
      <c r="O53" s="1177"/>
      <c r="P53" s="1177"/>
      <c r="Q53" s="1177"/>
      <c r="R53" s="1177"/>
      <c r="S53" s="1177"/>
      <c r="T53" s="1177"/>
      <c r="U53" s="1177"/>
      <c r="V53" s="1177"/>
      <c r="W53" s="1177"/>
      <c r="X53" s="1177"/>
      <c r="Y53" s="1177"/>
      <c r="Z53" s="1177"/>
      <c r="AA53" s="1177"/>
      <c r="AB53" s="1178"/>
      <c r="AC53" s="1186"/>
      <c r="AD53" s="1187"/>
      <c r="AE53" s="1188"/>
      <c r="AH53" s="25"/>
      <c r="AI53" s="25"/>
      <c r="AJ53" s="25"/>
      <c r="AK53" s="25"/>
      <c r="AL53" s="25"/>
      <c r="AM53" s="25"/>
      <c r="AN53" s="25"/>
      <c r="AO53" s="25"/>
      <c r="AP53" s="25"/>
      <c r="AQ53" s="25"/>
      <c r="AR53" s="25"/>
      <c r="AS53" s="25"/>
      <c r="AT53" s="25"/>
      <c r="AU53" s="25"/>
      <c r="AV53" s="25"/>
      <c r="AW53" s="25"/>
      <c r="AX53" s="25"/>
      <c r="AY53" s="25"/>
      <c r="AZ53" s="25"/>
      <c r="BA53" s="25"/>
    </row>
    <row r="54" spans="1:53" ht="12.75" customHeight="1">
      <c r="A54" s="25"/>
      <c r="B54" s="2"/>
      <c r="C54" s="2"/>
      <c r="D54" s="2"/>
      <c r="E54" s="767">
        <v>3</v>
      </c>
      <c r="F54" s="1179"/>
      <c r="G54" s="1177"/>
      <c r="H54" s="1177"/>
      <c r="I54" s="1177"/>
      <c r="J54" s="1177"/>
      <c r="K54" s="1178"/>
      <c r="L54" s="1176"/>
      <c r="M54" s="1177"/>
      <c r="N54" s="1177"/>
      <c r="O54" s="1177"/>
      <c r="P54" s="1177"/>
      <c r="Q54" s="1177"/>
      <c r="R54" s="1177"/>
      <c r="S54" s="1177"/>
      <c r="T54" s="1177"/>
      <c r="U54" s="1177"/>
      <c r="V54" s="1177"/>
      <c r="W54" s="1177"/>
      <c r="X54" s="1177"/>
      <c r="Y54" s="1177"/>
      <c r="Z54" s="1177"/>
      <c r="AA54" s="1177"/>
      <c r="AB54" s="1178"/>
      <c r="AC54" s="1180"/>
      <c r="AD54" s="1181"/>
      <c r="AE54" s="1181"/>
      <c r="AF54" s="1016"/>
      <c r="AH54" s="25"/>
      <c r="AI54" s="25"/>
      <c r="AJ54" s="25"/>
      <c r="AK54" s="25"/>
      <c r="AL54" s="25"/>
      <c r="AM54" s="25"/>
      <c r="AN54" s="25"/>
      <c r="AO54" s="25"/>
      <c r="AP54" s="25"/>
      <c r="AQ54" s="25"/>
      <c r="AR54" s="25"/>
      <c r="AS54" s="25"/>
      <c r="AT54" s="25"/>
      <c r="AU54" s="25"/>
      <c r="AV54" s="25"/>
      <c r="AW54" s="25"/>
      <c r="AX54" s="25"/>
      <c r="AY54" s="25"/>
      <c r="AZ54" s="25"/>
      <c r="BA54" s="25"/>
    </row>
    <row r="55" spans="1:53" ht="12.75" customHeight="1">
      <c r="A55" s="25"/>
      <c r="B55" s="2"/>
      <c r="C55" s="2"/>
      <c r="D55" s="2"/>
      <c r="E55" s="767">
        <v>4</v>
      </c>
      <c r="F55" s="1179"/>
      <c r="G55" s="1177"/>
      <c r="H55" s="1177"/>
      <c r="I55" s="1177"/>
      <c r="J55" s="1177"/>
      <c r="K55" s="1178"/>
      <c r="L55" s="1176"/>
      <c r="M55" s="1177"/>
      <c r="N55" s="1177"/>
      <c r="O55" s="1177"/>
      <c r="P55" s="1177"/>
      <c r="Q55" s="1177"/>
      <c r="R55" s="1177"/>
      <c r="S55" s="1177"/>
      <c r="T55" s="1177"/>
      <c r="U55" s="1177"/>
      <c r="V55" s="1177"/>
      <c r="W55" s="1177"/>
      <c r="X55" s="1177"/>
      <c r="Y55" s="1177"/>
      <c r="Z55" s="1177"/>
      <c r="AA55" s="1177"/>
      <c r="AB55" s="1178"/>
      <c r="AC55" s="1180"/>
      <c r="AD55" s="1181"/>
      <c r="AE55" s="1181"/>
      <c r="AF55" s="1016"/>
      <c r="AH55" s="25"/>
      <c r="AI55" s="25"/>
      <c r="AJ55" s="25"/>
      <c r="AK55" s="25"/>
      <c r="AL55" s="25"/>
      <c r="AM55" s="25"/>
      <c r="AN55" s="25"/>
      <c r="AO55" s="25"/>
      <c r="AP55" s="25"/>
      <c r="AQ55" s="25"/>
      <c r="AR55" s="25"/>
      <c r="AS55" s="25"/>
      <c r="AT55" s="25"/>
      <c r="AU55" s="25"/>
      <c r="AV55" s="25"/>
      <c r="AW55" s="25"/>
      <c r="AX55" s="25"/>
      <c r="AY55" s="25"/>
      <c r="AZ55" s="25"/>
      <c r="BA55" s="25"/>
    </row>
    <row r="56" spans="1:53" ht="12.75" customHeight="1">
      <c r="A56" s="25"/>
      <c r="B56" s="2"/>
      <c r="C56" s="2"/>
      <c r="D56" s="2"/>
      <c r="E56" s="767">
        <v>5</v>
      </c>
      <c r="F56" s="1179"/>
      <c r="G56" s="1177"/>
      <c r="H56" s="1177"/>
      <c r="I56" s="1177"/>
      <c r="J56" s="1177"/>
      <c r="K56" s="1178"/>
      <c r="L56" s="1176"/>
      <c r="M56" s="1177"/>
      <c r="N56" s="1177"/>
      <c r="O56" s="1177"/>
      <c r="P56" s="1177"/>
      <c r="Q56" s="1177"/>
      <c r="R56" s="1177"/>
      <c r="S56" s="1177"/>
      <c r="T56" s="1177"/>
      <c r="U56" s="1177"/>
      <c r="V56" s="1177"/>
      <c r="W56" s="1177"/>
      <c r="X56" s="1177"/>
      <c r="Y56" s="1177"/>
      <c r="Z56" s="1177"/>
      <c r="AA56" s="1177"/>
      <c r="AB56" s="1178"/>
      <c r="AC56" s="1180"/>
      <c r="AD56" s="1181"/>
      <c r="AE56" s="1181"/>
      <c r="AF56" s="1016"/>
      <c r="AH56" s="25"/>
      <c r="AI56" s="25"/>
      <c r="AJ56" s="25"/>
      <c r="AK56" s="25"/>
      <c r="AL56" s="25"/>
      <c r="AM56" s="25"/>
      <c r="AN56" s="25"/>
      <c r="AO56" s="25"/>
      <c r="AP56" s="25"/>
      <c r="AQ56" s="25"/>
      <c r="AR56" s="25"/>
      <c r="AS56" s="25"/>
      <c r="AT56" s="25"/>
      <c r="AU56" s="25"/>
      <c r="AV56" s="25"/>
      <c r="AW56" s="25"/>
      <c r="AX56" s="25"/>
      <c r="AY56" s="25"/>
      <c r="AZ56" s="25"/>
      <c r="BA56" s="25"/>
    </row>
    <row r="57" spans="1:53" ht="12.75" customHeight="1">
      <c r="A57" s="25"/>
      <c r="B57" s="2"/>
      <c r="C57" s="2"/>
      <c r="D57" s="2"/>
      <c r="E57" s="767">
        <v>6</v>
      </c>
      <c r="F57" s="1179"/>
      <c r="G57" s="1177"/>
      <c r="H57" s="1177"/>
      <c r="I57" s="1177"/>
      <c r="J57" s="1177"/>
      <c r="K57" s="1178"/>
      <c r="L57" s="1176"/>
      <c r="M57" s="1177"/>
      <c r="N57" s="1177"/>
      <c r="O57" s="1177"/>
      <c r="P57" s="1177"/>
      <c r="Q57" s="1177"/>
      <c r="R57" s="1177"/>
      <c r="S57" s="1177"/>
      <c r="T57" s="1177"/>
      <c r="U57" s="1177"/>
      <c r="V57" s="1177"/>
      <c r="W57" s="1177"/>
      <c r="X57" s="1177"/>
      <c r="Y57" s="1177"/>
      <c r="Z57" s="1177"/>
      <c r="AA57" s="1177"/>
      <c r="AB57" s="1178"/>
      <c r="AC57" s="1180"/>
      <c r="AD57" s="1181"/>
      <c r="AE57" s="1181"/>
      <c r="AF57" s="1016"/>
      <c r="AH57" s="25"/>
      <c r="AI57" s="25"/>
      <c r="AJ57" s="25"/>
      <c r="AK57" s="25"/>
      <c r="AL57" s="25"/>
      <c r="AM57" s="25"/>
      <c r="AN57" s="25"/>
      <c r="AO57" s="25"/>
      <c r="AP57" s="25"/>
      <c r="AQ57" s="25"/>
      <c r="AR57" s="25"/>
      <c r="AS57" s="25"/>
      <c r="AT57" s="25"/>
      <c r="AU57" s="25"/>
      <c r="AV57" s="25"/>
      <c r="AW57" s="25"/>
      <c r="AX57" s="25"/>
      <c r="AY57" s="25"/>
      <c r="AZ57" s="25"/>
      <c r="BA57" s="25"/>
    </row>
    <row r="58" spans="1:53" ht="12.75" customHeight="1">
      <c r="A58" s="25"/>
      <c r="B58" s="2"/>
      <c r="C58" s="2"/>
      <c r="D58" s="2"/>
      <c r="E58" s="767">
        <v>7</v>
      </c>
      <c r="F58" s="1179"/>
      <c r="G58" s="1177"/>
      <c r="H58" s="1177"/>
      <c r="I58" s="1177"/>
      <c r="J58" s="1177"/>
      <c r="K58" s="1178"/>
      <c r="L58" s="1176"/>
      <c r="M58" s="1177"/>
      <c r="N58" s="1177"/>
      <c r="O58" s="1177"/>
      <c r="P58" s="1177"/>
      <c r="Q58" s="1177"/>
      <c r="R58" s="1177"/>
      <c r="S58" s="1177"/>
      <c r="T58" s="1177"/>
      <c r="U58" s="1177"/>
      <c r="V58" s="1177"/>
      <c r="W58" s="1177"/>
      <c r="X58" s="1177"/>
      <c r="Y58" s="1177"/>
      <c r="Z58" s="1177"/>
      <c r="AA58" s="1177"/>
      <c r="AB58" s="1178"/>
      <c r="AC58" s="1180"/>
      <c r="AD58" s="1181"/>
      <c r="AE58" s="1181"/>
      <c r="AF58" s="1016"/>
      <c r="AH58" s="25"/>
      <c r="AI58" s="25"/>
      <c r="AJ58" s="25"/>
      <c r="AK58" s="25"/>
      <c r="AL58" s="25"/>
      <c r="AM58" s="25"/>
      <c r="AN58" s="25"/>
      <c r="AO58" s="25"/>
      <c r="AP58" s="25"/>
      <c r="AQ58" s="25"/>
      <c r="AR58" s="25"/>
      <c r="AS58" s="25"/>
      <c r="AT58" s="25"/>
      <c r="AU58" s="25"/>
      <c r="AV58" s="25"/>
      <c r="AW58" s="25"/>
      <c r="AX58" s="25"/>
      <c r="AY58" s="25"/>
      <c r="AZ58" s="25"/>
      <c r="BA58" s="25"/>
    </row>
    <row r="59" spans="1:53" ht="12.75" customHeight="1">
      <c r="A59" s="25"/>
      <c r="B59" s="2"/>
      <c r="C59" s="2"/>
      <c r="D59" s="2"/>
      <c r="E59" s="767">
        <v>8</v>
      </c>
      <c r="F59" s="1179"/>
      <c r="G59" s="1177"/>
      <c r="H59" s="1177"/>
      <c r="I59" s="1177"/>
      <c r="J59" s="1177"/>
      <c r="K59" s="1178"/>
      <c r="L59" s="1176"/>
      <c r="M59" s="1177"/>
      <c r="N59" s="1177"/>
      <c r="O59" s="1177"/>
      <c r="P59" s="1177"/>
      <c r="Q59" s="1177"/>
      <c r="R59" s="1177"/>
      <c r="S59" s="1177"/>
      <c r="T59" s="1177"/>
      <c r="U59" s="1177"/>
      <c r="V59" s="1177"/>
      <c r="W59" s="1177"/>
      <c r="X59" s="1177"/>
      <c r="Y59" s="1177"/>
      <c r="Z59" s="1177"/>
      <c r="AA59" s="1177"/>
      <c r="AB59" s="1178"/>
      <c r="AC59" s="1180"/>
      <c r="AD59" s="1181"/>
      <c r="AE59" s="1181"/>
      <c r="AF59" s="1016"/>
      <c r="AH59" s="25"/>
      <c r="AI59" s="25"/>
      <c r="AJ59" s="25"/>
      <c r="AK59" s="25"/>
      <c r="AL59" s="25"/>
      <c r="AM59" s="25"/>
      <c r="AN59" s="25"/>
      <c r="AO59" s="25"/>
      <c r="AP59" s="25"/>
      <c r="AQ59" s="25"/>
      <c r="AR59" s="25"/>
      <c r="AS59" s="25"/>
      <c r="AT59" s="25"/>
      <c r="AU59" s="25"/>
      <c r="AV59" s="25"/>
      <c r="AW59" s="25"/>
      <c r="AX59" s="25"/>
      <c r="AY59" s="25"/>
      <c r="AZ59" s="25"/>
      <c r="BA59" s="25"/>
    </row>
    <row r="60" spans="1:53" ht="12.75" customHeight="1">
      <c r="A60" s="25"/>
      <c r="B60" s="2"/>
      <c r="C60" s="2"/>
      <c r="D60" s="2"/>
      <c r="E60" s="767">
        <v>9</v>
      </c>
      <c r="F60" s="1179"/>
      <c r="G60" s="1177"/>
      <c r="H60" s="1177"/>
      <c r="I60" s="1177"/>
      <c r="J60" s="1177"/>
      <c r="K60" s="1178"/>
      <c r="L60" s="1176"/>
      <c r="M60" s="1177"/>
      <c r="N60" s="1177"/>
      <c r="O60" s="1177"/>
      <c r="P60" s="1177"/>
      <c r="Q60" s="1177"/>
      <c r="R60" s="1177"/>
      <c r="S60" s="1177"/>
      <c r="T60" s="1177"/>
      <c r="U60" s="1177"/>
      <c r="V60" s="1177"/>
      <c r="W60" s="1177"/>
      <c r="X60" s="1177"/>
      <c r="Y60" s="1177"/>
      <c r="Z60" s="1177"/>
      <c r="AA60" s="1177"/>
      <c r="AB60" s="1178"/>
      <c r="AC60" s="1186"/>
      <c r="AD60" s="1187"/>
      <c r="AE60" s="1188"/>
      <c r="AH60" s="25"/>
      <c r="AI60" s="25"/>
      <c r="AJ60" s="25"/>
      <c r="AK60" s="25"/>
      <c r="AL60" s="25"/>
      <c r="AM60" s="25"/>
      <c r="AN60" s="25"/>
      <c r="AO60" s="25"/>
      <c r="AP60" s="25"/>
      <c r="AQ60" s="25"/>
      <c r="AR60" s="25"/>
      <c r="AS60" s="25"/>
      <c r="AT60" s="25"/>
      <c r="AU60" s="25"/>
      <c r="AV60" s="25"/>
      <c r="AW60" s="25"/>
      <c r="AX60" s="25"/>
      <c r="AY60" s="25"/>
      <c r="AZ60" s="25"/>
      <c r="BA60" s="25"/>
    </row>
    <row r="61" spans="1:53" ht="12.75" customHeight="1">
      <c r="A61" s="25"/>
      <c r="B61" s="2"/>
      <c r="C61" s="2"/>
      <c r="D61" s="2"/>
      <c r="E61" s="767">
        <v>10</v>
      </c>
      <c r="F61" s="1179"/>
      <c r="G61" s="1177"/>
      <c r="H61" s="1177"/>
      <c r="I61" s="1177"/>
      <c r="J61" s="1177"/>
      <c r="K61" s="1178"/>
      <c r="L61" s="1176"/>
      <c r="M61" s="1177"/>
      <c r="N61" s="1177"/>
      <c r="O61" s="1177"/>
      <c r="P61" s="1177"/>
      <c r="Q61" s="1177"/>
      <c r="R61" s="1177"/>
      <c r="S61" s="1177"/>
      <c r="T61" s="1177"/>
      <c r="U61" s="1177"/>
      <c r="V61" s="1177"/>
      <c r="W61" s="1177"/>
      <c r="X61" s="1177"/>
      <c r="Y61" s="1177"/>
      <c r="Z61" s="1177"/>
      <c r="AA61" s="1177"/>
      <c r="AB61" s="1178"/>
      <c r="AC61" s="1180"/>
      <c r="AD61" s="1181"/>
      <c r="AE61" s="1181"/>
      <c r="AF61" s="1016"/>
      <c r="AH61" s="25"/>
      <c r="AI61" s="25"/>
      <c r="AJ61" s="25"/>
      <c r="AK61" s="25"/>
      <c r="AL61" s="25"/>
      <c r="AM61" s="25"/>
      <c r="AN61" s="25"/>
      <c r="AO61" s="25"/>
      <c r="AP61" s="25"/>
      <c r="AQ61" s="25"/>
      <c r="AR61" s="25"/>
      <c r="AS61" s="25"/>
      <c r="AT61" s="25"/>
      <c r="AU61" s="25"/>
      <c r="AV61" s="25"/>
      <c r="AW61" s="25"/>
      <c r="AX61" s="25"/>
      <c r="AY61" s="25"/>
      <c r="AZ61" s="25"/>
      <c r="BA61" s="25"/>
    </row>
    <row r="62" spans="1:53" ht="12.75" customHeight="1">
      <c r="A62" s="25"/>
      <c r="B62" s="2"/>
      <c r="C62" s="2"/>
      <c r="D62" s="2"/>
      <c r="E62" s="767">
        <v>11</v>
      </c>
      <c r="F62" s="1179"/>
      <c r="G62" s="1177"/>
      <c r="H62" s="1177"/>
      <c r="I62" s="1177"/>
      <c r="J62" s="1177"/>
      <c r="K62" s="1178"/>
      <c r="L62" s="1176"/>
      <c r="M62" s="1177"/>
      <c r="N62" s="1177"/>
      <c r="O62" s="1177"/>
      <c r="P62" s="1177"/>
      <c r="Q62" s="1177"/>
      <c r="R62" s="1177"/>
      <c r="S62" s="1177"/>
      <c r="T62" s="1177"/>
      <c r="U62" s="1177"/>
      <c r="V62" s="1177"/>
      <c r="W62" s="1177"/>
      <c r="X62" s="1177"/>
      <c r="Y62" s="1177"/>
      <c r="Z62" s="1177"/>
      <c r="AA62" s="1177"/>
      <c r="AB62" s="1178"/>
      <c r="AC62" s="1180"/>
      <c r="AD62" s="1181"/>
      <c r="AE62" s="1181"/>
      <c r="AF62" s="1016"/>
      <c r="AH62" s="25"/>
      <c r="AI62" s="25"/>
      <c r="AJ62" s="25"/>
      <c r="AK62" s="25"/>
      <c r="AL62" s="25"/>
      <c r="AM62" s="25"/>
      <c r="AN62" s="25"/>
      <c r="AO62" s="25"/>
      <c r="AP62" s="25"/>
      <c r="AQ62" s="25"/>
      <c r="AR62" s="25"/>
      <c r="AS62" s="25"/>
      <c r="AT62" s="25"/>
      <c r="AU62" s="25"/>
      <c r="AV62" s="25"/>
      <c r="AW62" s="25"/>
      <c r="AX62" s="25"/>
      <c r="AY62" s="25"/>
      <c r="AZ62" s="25"/>
      <c r="BA62" s="25"/>
    </row>
    <row r="63" spans="1:53" ht="12.75" customHeight="1">
      <c r="A63" s="25"/>
      <c r="B63" s="2"/>
      <c r="C63" s="3"/>
      <c r="D63" s="2"/>
      <c r="E63" s="767">
        <v>12</v>
      </c>
      <c r="F63" s="1179"/>
      <c r="G63" s="1177"/>
      <c r="H63" s="1177"/>
      <c r="I63" s="1177"/>
      <c r="J63" s="1177"/>
      <c r="K63" s="1178"/>
      <c r="L63" s="1176"/>
      <c r="M63" s="1177"/>
      <c r="N63" s="1177"/>
      <c r="O63" s="1177"/>
      <c r="P63" s="1177"/>
      <c r="Q63" s="1177"/>
      <c r="R63" s="1177"/>
      <c r="S63" s="1177"/>
      <c r="T63" s="1177"/>
      <c r="U63" s="1177"/>
      <c r="V63" s="1177"/>
      <c r="W63" s="1177"/>
      <c r="X63" s="1177"/>
      <c r="Y63" s="1177"/>
      <c r="Z63" s="1177"/>
      <c r="AA63" s="1177"/>
      <c r="AB63" s="1178"/>
      <c r="AC63" s="1186"/>
      <c r="AD63" s="1187"/>
      <c r="AE63" s="1188"/>
      <c r="AH63" s="25"/>
      <c r="AI63" s="25"/>
      <c r="AJ63" s="25"/>
      <c r="AK63" s="25"/>
      <c r="AL63" s="25"/>
      <c r="AM63" s="25"/>
      <c r="AN63" s="25"/>
      <c r="AO63" s="25"/>
      <c r="AP63" s="25"/>
      <c r="AQ63" s="25"/>
      <c r="AR63" s="25"/>
      <c r="AS63" s="25"/>
      <c r="AT63" s="25"/>
      <c r="AU63" s="25"/>
      <c r="AV63" s="25"/>
      <c r="AW63" s="25"/>
      <c r="AX63" s="25"/>
      <c r="AY63" s="25"/>
      <c r="AZ63" s="25"/>
      <c r="BA63" s="25"/>
    </row>
    <row r="64" spans="1:53" ht="12.75">
      <c r="A64" s="25"/>
      <c r="B64" s="2"/>
      <c r="C64" s="3"/>
      <c r="D64" s="2"/>
      <c r="E64" s="767">
        <v>13</v>
      </c>
      <c r="F64" s="1179"/>
      <c r="G64" s="1177"/>
      <c r="H64" s="1177"/>
      <c r="I64" s="1177"/>
      <c r="J64" s="1177"/>
      <c r="K64" s="1178"/>
      <c r="L64" s="1176"/>
      <c r="M64" s="1177"/>
      <c r="N64" s="1177"/>
      <c r="O64" s="1177"/>
      <c r="P64" s="1177"/>
      <c r="Q64" s="1177"/>
      <c r="R64" s="1177"/>
      <c r="S64" s="1177"/>
      <c r="T64" s="1177"/>
      <c r="U64" s="1177"/>
      <c r="V64" s="1177"/>
      <c r="W64" s="1177"/>
      <c r="X64" s="1177"/>
      <c r="Y64" s="1177"/>
      <c r="Z64" s="1177"/>
      <c r="AA64" s="1177"/>
      <c r="AB64" s="1178"/>
      <c r="AC64" s="1180"/>
      <c r="AD64" s="1181"/>
      <c r="AE64" s="1181"/>
      <c r="AF64" s="1016"/>
      <c r="AH64" s="25"/>
      <c r="AI64" s="25"/>
      <c r="AJ64" s="25"/>
      <c r="AK64" s="25"/>
      <c r="AL64" s="25"/>
      <c r="AM64" s="25"/>
      <c r="AN64" s="25"/>
      <c r="AO64" s="25"/>
      <c r="AP64" s="25"/>
      <c r="AQ64" s="25"/>
      <c r="AR64" s="25"/>
      <c r="AS64" s="25"/>
      <c r="AT64" s="25"/>
      <c r="AU64" s="25"/>
      <c r="AV64" s="25"/>
      <c r="AW64" s="25"/>
      <c r="AX64" s="25"/>
      <c r="AY64" s="25"/>
      <c r="AZ64" s="25"/>
      <c r="BA64" s="25"/>
    </row>
    <row r="65" spans="1:53" ht="12.75">
      <c r="A65" s="25"/>
      <c r="B65" s="2"/>
      <c r="C65" s="3"/>
      <c r="D65" s="2"/>
      <c r="E65" s="767">
        <v>14</v>
      </c>
      <c r="F65" s="1179"/>
      <c r="G65" s="1177"/>
      <c r="H65" s="1177"/>
      <c r="I65" s="1177"/>
      <c r="J65" s="1177"/>
      <c r="K65" s="1178"/>
      <c r="L65" s="1176"/>
      <c r="M65" s="1177"/>
      <c r="N65" s="1177"/>
      <c r="O65" s="1177"/>
      <c r="P65" s="1177"/>
      <c r="Q65" s="1177"/>
      <c r="R65" s="1177"/>
      <c r="S65" s="1177"/>
      <c r="T65" s="1177"/>
      <c r="U65" s="1177"/>
      <c r="V65" s="1177"/>
      <c r="W65" s="1177"/>
      <c r="X65" s="1177"/>
      <c r="Y65" s="1177"/>
      <c r="Z65" s="1177"/>
      <c r="AA65" s="1177"/>
      <c r="AB65" s="1178"/>
      <c r="AC65" s="1186"/>
      <c r="AD65" s="1187"/>
      <c r="AE65" s="1188"/>
      <c r="AH65" s="25"/>
      <c r="AI65" s="25"/>
      <c r="AJ65" s="25"/>
      <c r="AK65" s="25"/>
      <c r="AL65" s="25"/>
      <c r="AM65" s="25"/>
      <c r="AN65" s="25"/>
      <c r="AO65" s="25"/>
      <c r="AP65" s="25"/>
      <c r="AQ65" s="25"/>
      <c r="AR65" s="25"/>
      <c r="AS65" s="25"/>
      <c r="AT65" s="25"/>
      <c r="AU65" s="25"/>
      <c r="AV65" s="25"/>
      <c r="AW65" s="25"/>
      <c r="AX65" s="25"/>
      <c r="AY65" s="25"/>
      <c r="AZ65" s="25"/>
      <c r="BA65" s="25"/>
    </row>
    <row r="66" spans="1:53" ht="12.75">
      <c r="A66" s="25"/>
      <c r="B66" s="2"/>
      <c r="C66" s="3"/>
      <c r="D66" s="2"/>
      <c r="E66" s="767">
        <v>15</v>
      </c>
      <c r="F66" s="1179"/>
      <c r="G66" s="1177"/>
      <c r="H66" s="1177"/>
      <c r="I66" s="1177"/>
      <c r="J66" s="1177"/>
      <c r="K66" s="1178"/>
      <c r="L66" s="1176"/>
      <c r="M66" s="1177"/>
      <c r="N66" s="1177"/>
      <c r="O66" s="1177"/>
      <c r="P66" s="1177"/>
      <c r="Q66" s="1177"/>
      <c r="R66" s="1177"/>
      <c r="S66" s="1177"/>
      <c r="T66" s="1177"/>
      <c r="U66" s="1177"/>
      <c r="V66" s="1177"/>
      <c r="W66" s="1177"/>
      <c r="X66" s="1177"/>
      <c r="Y66" s="1177"/>
      <c r="Z66" s="1177"/>
      <c r="AA66" s="1177"/>
      <c r="AB66" s="1178"/>
      <c r="AC66" s="1180"/>
      <c r="AD66" s="1181"/>
      <c r="AE66" s="1181"/>
      <c r="AF66" s="1016"/>
      <c r="AH66" s="25"/>
      <c r="AI66" s="25"/>
      <c r="AJ66" s="25"/>
      <c r="AK66" s="25"/>
      <c r="AL66" s="25"/>
      <c r="AM66" s="25"/>
      <c r="AN66" s="25"/>
      <c r="AO66" s="25"/>
      <c r="AP66" s="25"/>
      <c r="AQ66" s="25"/>
      <c r="AR66" s="25"/>
      <c r="AS66" s="25"/>
      <c r="AT66" s="25"/>
      <c r="AU66" s="25"/>
      <c r="AV66" s="25"/>
      <c r="AW66" s="25"/>
      <c r="AX66" s="25"/>
      <c r="AY66" s="25"/>
      <c r="AZ66" s="25"/>
      <c r="BA66" s="25"/>
    </row>
    <row r="67" spans="1:53" ht="12.75">
      <c r="A67" s="25"/>
      <c r="B67" s="2"/>
      <c r="C67" s="3"/>
      <c r="D67" s="2"/>
      <c r="E67" s="767">
        <v>16</v>
      </c>
      <c r="F67" s="1179"/>
      <c r="G67" s="1177"/>
      <c r="H67" s="1177"/>
      <c r="I67" s="1177"/>
      <c r="J67" s="1177"/>
      <c r="K67" s="1178"/>
      <c r="L67" s="1176"/>
      <c r="M67" s="1177"/>
      <c r="N67" s="1177"/>
      <c r="O67" s="1177"/>
      <c r="P67" s="1177"/>
      <c r="Q67" s="1177"/>
      <c r="R67" s="1177"/>
      <c r="S67" s="1177"/>
      <c r="T67" s="1177"/>
      <c r="U67" s="1177"/>
      <c r="V67" s="1177"/>
      <c r="W67" s="1177"/>
      <c r="X67" s="1177"/>
      <c r="Y67" s="1177"/>
      <c r="Z67" s="1177"/>
      <c r="AA67" s="1177"/>
      <c r="AB67" s="1178"/>
      <c r="AC67" s="1180"/>
      <c r="AD67" s="1181"/>
      <c r="AE67" s="1181"/>
      <c r="AF67" s="1016"/>
      <c r="AH67" s="25"/>
      <c r="AI67" s="25"/>
      <c r="AJ67" s="25"/>
      <c r="AK67" s="25"/>
      <c r="AL67" s="25"/>
      <c r="AM67" s="25"/>
      <c r="AN67" s="25"/>
      <c r="AO67" s="25"/>
      <c r="AP67" s="25"/>
      <c r="AQ67" s="25"/>
      <c r="AR67" s="25"/>
      <c r="AS67" s="25"/>
      <c r="AT67" s="25"/>
      <c r="AU67" s="25"/>
      <c r="AV67" s="25"/>
      <c r="AW67" s="25"/>
      <c r="AX67" s="25"/>
      <c r="AY67" s="25"/>
      <c r="AZ67" s="25"/>
      <c r="BA67" s="25"/>
    </row>
    <row r="68" spans="1:53" ht="12.75">
      <c r="A68" s="25"/>
      <c r="B68" s="2"/>
      <c r="C68" s="3"/>
      <c r="D68" s="2"/>
      <c r="E68" s="767">
        <v>17</v>
      </c>
      <c r="F68" s="1179"/>
      <c r="G68" s="1177"/>
      <c r="H68" s="1177"/>
      <c r="I68" s="1177"/>
      <c r="J68" s="1177"/>
      <c r="K68" s="1178"/>
      <c r="L68" s="1176"/>
      <c r="M68" s="1177"/>
      <c r="N68" s="1177"/>
      <c r="O68" s="1177"/>
      <c r="P68" s="1177"/>
      <c r="Q68" s="1177"/>
      <c r="R68" s="1177"/>
      <c r="S68" s="1177"/>
      <c r="T68" s="1177"/>
      <c r="U68" s="1177"/>
      <c r="V68" s="1177"/>
      <c r="W68" s="1177"/>
      <c r="X68" s="1177"/>
      <c r="Y68" s="1177"/>
      <c r="Z68" s="1177"/>
      <c r="AA68" s="1177"/>
      <c r="AB68" s="1178"/>
      <c r="AC68" s="1180"/>
      <c r="AD68" s="1181"/>
      <c r="AE68" s="1181"/>
      <c r="AF68" s="1016"/>
      <c r="AH68" s="25"/>
      <c r="AI68" s="25"/>
      <c r="AJ68" s="25"/>
      <c r="AK68" s="25"/>
      <c r="AL68" s="25"/>
      <c r="AM68" s="25"/>
      <c r="AN68" s="25"/>
      <c r="AO68" s="25"/>
      <c r="AP68" s="25"/>
      <c r="AQ68" s="25"/>
      <c r="AR68" s="25"/>
      <c r="AS68" s="25"/>
      <c r="AT68" s="25"/>
      <c r="AU68" s="25"/>
      <c r="AV68" s="25"/>
      <c r="AW68" s="25"/>
      <c r="AX68" s="25"/>
      <c r="AY68" s="25"/>
      <c r="AZ68" s="25"/>
      <c r="BA68" s="25"/>
    </row>
    <row r="69" spans="1:53" ht="12.75">
      <c r="A69" s="25"/>
      <c r="B69" s="2"/>
      <c r="C69" s="3"/>
      <c r="D69" s="2"/>
      <c r="E69" s="767">
        <v>18</v>
      </c>
      <c r="F69" s="1179"/>
      <c r="G69" s="1177"/>
      <c r="H69" s="1177"/>
      <c r="I69" s="1177"/>
      <c r="J69" s="1177"/>
      <c r="K69" s="1178"/>
      <c r="L69" s="1176"/>
      <c r="M69" s="1177"/>
      <c r="N69" s="1177"/>
      <c r="O69" s="1177"/>
      <c r="P69" s="1177"/>
      <c r="Q69" s="1177"/>
      <c r="R69" s="1177"/>
      <c r="S69" s="1177"/>
      <c r="T69" s="1177"/>
      <c r="U69" s="1177"/>
      <c r="V69" s="1177"/>
      <c r="W69" s="1177"/>
      <c r="X69" s="1177"/>
      <c r="Y69" s="1177"/>
      <c r="Z69" s="1177"/>
      <c r="AA69" s="1177"/>
      <c r="AB69" s="1178"/>
      <c r="AC69" s="1186"/>
      <c r="AD69" s="1187"/>
      <c r="AE69" s="1188"/>
      <c r="AH69" s="25"/>
      <c r="AI69" s="25"/>
      <c r="AJ69" s="25"/>
      <c r="AK69" s="25"/>
      <c r="AL69" s="25"/>
      <c r="AM69" s="25"/>
      <c r="AN69" s="25"/>
      <c r="AO69" s="25"/>
      <c r="AP69" s="25"/>
      <c r="AQ69" s="25"/>
      <c r="AR69" s="25"/>
      <c r="AS69" s="25"/>
      <c r="AT69" s="25"/>
      <c r="AU69" s="25"/>
      <c r="AV69" s="25"/>
      <c r="AW69" s="25"/>
      <c r="AX69" s="25"/>
      <c r="AY69" s="25"/>
      <c r="AZ69" s="25"/>
      <c r="BA69" s="25"/>
    </row>
    <row r="70" spans="1:53" ht="12.75">
      <c r="A70" s="25"/>
      <c r="B70" s="2"/>
      <c r="C70" s="3"/>
      <c r="D70" s="2"/>
      <c r="E70" s="767">
        <v>19</v>
      </c>
      <c r="F70" s="1179"/>
      <c r="G70" s="1177"/>
      <c r="H70" s="1177"/>
      <c r="I70" s="1177"/>
      <c r="J70" s="1177"/>
      <c r="K70" s="1178"/>
      <c r="L70" s="1176"/>
      <c r="M70" s="1177"/>
      <c r="N70" s="1177"/>
      <c r="O70" s="1177"/>
      <c r="P70" s="1177"/>
      <c r="Q70" s="1177"/>
      <c r="R70" s="1177"/>
      <c r="S70" s="1177"/>
      <c r="T70" s="1177"/>
      <c r="U70" s="1177"/>
      <c r="V70" s="1177"/>
      <c r="W70" s="1177"/>
      <c r="X70" s="1177"/>
      <c r="Y70" s="1177"/>
      <c r="Z70" s="1177"/>
      <c r="AA70" s="1177"/>
      <c r="AB70" s="1178"/>
      <c r="AC70" s="1186"/>
      <c r="AD70" s="1187"/>
      <c r="AE70" s="1188"/>
      <c r="AH70" s="25"/>
      <c r="AI70" s="25"/>
      <c r="AJ70" s="25"/>
      <c r="AK70" s="25"/>
      <c r="AL70" s="25"/>
      <c r="AM70" s="25"/>
      <c r="AN70" s="25"/>
      <c r="AO70" s="25"/>
      <c r="AP70" s="25"/>
      <c r="AQ70" s="25"/>
      <c r="AR70" s="25"/>
      <c r="AS70" s="25"/>
      <c r="AT70" s="25"/>
      <c r="AU70" s="25"/>
      <c r="AV70" s="25"/>
      <c r="AW70" s="25"/>
      <c r="AX70" s="25"/>
      <c r="AY70" s="25"/>
      <c r="AZ70" s="25"/>
      <c r="BA70" s="25"/>
    </row>
    <row r="71" spans="1:53" ht="12.75">
      <c r="A71" s="25"/>
      <c r="B71" s="2"/>
      <c r="C71" s="3"/>
      <c r="D71" s="2"/>
      <c r="E71" s="767">
        <v>20</v>
      </c>
      <c r="F71" s="1179"/>
      <c r="G71" s="1177"/>
      <c r="H71" s="1177"/>
      <c r="I71" s="1177"/>
      <c r="J71" s="1177"/>
      <c r="K71" s="1178"/>
      <c r="L71" s="1176"/>
      <c r="M71" s="1177"/>
      <c r="N71" s="1177"/>
      <c r="O71" s="1177"/>
      <c r="P71" s="1177"/>
      <c r="Q71" s="1177"/>
      <c r="R71" s="1177"/>
      <c r="S71" s="1177"/>
      <c r="T71" s="1177"/>
      <c r="U71" s="1177"/>
      <c r="V71" s="1177"/>
      <c r="W71" s="1177"/>
      <c r="X71" s="1177"/>
      <c r="Y71" s="1177"/>
      <c r="Z71" s="1177"/>
      <c r="AA71" s="1177"/>
      <c r="AB71" s="1178"/>
      <c r="AC71" s="1180"/>
      <c r="AD71" s="1181"/>
      <c r="AE71" s="1181"/>
      <c r="AF71" s="1016"/>
      <c r="AH71" s="25"/>
      <c r="AI71" s="25"/>
      <c r="AJ71" s="25"/>
      <c r="AK71" s="25"/>
      <c r="AL71" s="25"/>
      <c r="AM71" s="25"/>
      <c r="AN71" s="25"/>
      <c r="AO71" s="25"/>
      <c r="AP71" s="25"/>
      <c r="AQ71" s="25"/>
      <c r="AR71" s="25"/>
      <c r="AS71" s="25"/>
      <c r="AT71" s="25"/>
      <c r="AU71" s="25"/>
      <c r="AV71" s="25"/>
      <c r="AW71" s="25"/>
      <c r="AX71" s="25"/>
      <c r="AY71" s="25"/>
      <c r="AZ71" s="25"/>
      <c r="BA71" s="25"/>
    </row>
    <row r="72" spans="1:53" ht="12.75">
      <c r="A72" s="25"/>
      <c r="B72" s="2"/>
      <c r="C72" s="3"/>
      <c r="D72" s="2"/>
      <c r="E72" s="767">
        <v>21</v>
      </c>
      <c r="F72" s="1179"/>
      <c r="G72" s="1177"/>
      <c r="H72" s="1177"/>
      <c r="I72" s="1177"/>
      <c r="J72" s="1177"/>
      <c r="K72" s="1178"/>
      <c r="L72" s="1176"/>
      <c r="M72" s="1177"/>
      <c r="N72" s="1177"/>
      <c r="O72" s="1177"/>
      <c r="P72" s="1177"/>
      <c r="Q72" s="1177"/>
      <c r="R72" s="1177"/>
      <c r="S72" s="1177"/>
      <c r="T72" s="1177"/>
      <c r="U72" s="1177"/>
      <c r="V72" s="1177"/>
      <c r="W72" s="1177"/>
      <c r="X72" s="1177"/>
      <c r="Y72" s="1177"/>
      <c r="Z72" s="1177"/>
      <c r="AA72" s="1177"/>
      <c r="AB72" s="1178"/>
      <c r="AC72" s="1186"/>
      <c r="AD72" s="1187"/>
      <c r="AE72" s="1187"/>
      <c r="AF72" s="1016"/>
      <c r="AH72" s="25"/>
      <c r="AI72" s="25"/>
      <c r="AJ72" s="25"/>
      <c r="AK72" s="25"/>
      <c r="AL72" s="25"/>
      <c r="AM72" s="25"/>
      <c r="AN72" s="25"/>
      <c r="AO72" s="25"/>
      <c r="AP72" s="25"/>
      <c r="AQ72" s="25"/>
      <c r="AR72" s="25"/>
      <c r="AS72" s="25"/>
      <c r="AT72" s="25"/>
      <c r="AU72" s="25"/>
      <c r="AV72" s="25"/>
      <c r="AW72" s="25"/>
      <c r="AX72" s="25"/>
      <c r="AY72" s="25"/>
      <c r="AZ72" s="25"/>
      <c r="BA72" s="25"/>
    </row>
    <row r="73" spans="1:53" ht="15" customHeight="1" thickBot="1">
      <c r="A73" s="25"/>
      <c r="C73" s="5"/>
      <c r="E73" s="768" t="s">
        <v>288</v>
      </c>
      <c r="F73" s="769"/>
      <c r="G73" s="769"/>
      <c r="H73" s="1204"/>
      <c r="I73" s="1204"/>
      <c r="J73" s="1204"/>
      <c r="K73" s="1204"/>
      <c r="L73" s="1204"/>
      <c r="M73" s="1204"/>
      <c r="N73" s="1204"/>
      <c r="O73" s="1204"/>
      <c r="P73" s="1204"/>
      <c r="Q73" s="1204"/>
      <c r="R73" s="1204"/>
      <c r="S73" s="1204"/>
      <c r="T73" s="1204"/>
      <c r="U73" s="1204"/>
      <c r="V73" s="1204"/>
      <c r="W73" s="1204"/>
      <c r="X73" s="1204"/>
      <c r="Y73" s="1204"/>
      <c r="Z73" s="1204"/>
      <c r="AA73" s="1204"/>
      <c r="AB73" s="1204"/>
      <c r="AC73" s="1202">
        <f>SUM(AC52:AE72)</f>
        <v>0</v>
      </c>
      <c r="AD73" s="1202"/>
      <c r="AE73" s="1203"/>
      <c r="AH73" s="25"/>
      <c r="AI73" s="25"/>
      <c r="AJ73" s="25"/>
      <c r="AK73" s="25"/>
      <c r="AL73" s="25"/>
      <c r="AM73" s="25"/>
      <c r="AN73" s="25"/>
      <c r="AO73" s="25"/>
      <c r="AP73" s="25"/>
      <c r="AQ73" s="25"/>
      <c r="AR73" s="25"/>
      <c r="AS73" s="25"/>
      <c r="AT73" s="25"/>
      <c r="AU73" s="25"/>
      <c r="AV73" s="25"/>
      <c r="AW73" s="25"/>
      <c r="AX73" s="25"/>
      <c r="AY73" s="25"/>
      <c r="AZ73" s="25"/>
      <c r="BA73" s="25"/>
    </row>
    <row r="74" spans="1:53" ht="12.75">
      <c r="A74" s="25"/>
      <c r="C74" s="5"/>
      <c r="E74" s="1182" t="s">
        <v>1329</v>
      </c>
      <c r="F74" s="1183"/>
      <c r="G74" s="1183"/>
      <c r="H74" s="1183"/>
      <c r="I74" s="1183"/>
      <c r="J74" s="1183"/>
      <c r="K74" s="1183"/>
      <c r="L74" s="1183"/>
      <c r="M74" s="1183"/>
      <c r="N74" s="1183"/>
      <c r="O74" s="1183"/>
      <c r="P74" s="1183"/>
      <c r="Q74" s="1183"/>
      <c r="R74" s="1183"/>
      <c r="S74" s="1183"/>
      <c r="T74" s="1183"/>
      <c r="U74" s="1183"/>
      <c r="V74" s="1183"/>
      <c r="W74" s="1183"/>
      <c r="X74" s="1183"/>
      <c r="Y74" s="1183"/>
      <c r="Z74" s="1183"/>
      <c r="AA74" s="1183"/>
      <c r="AB74" s="1183"/>
      <c r="AC74" s="1183"/>
      <c r="AD74" s="1183"/>
      <c r="AE74" s="1183"/>
      <c r="AH74" s="25"/>
      <c r="AI74" s="25"/>
      <c r="AJ74" s="25"/>
      <c r="AK74" s="25"/>
      <c r="AL74" s="25"/>
      <c r="AM74" s="25"/>
      <c r="AN74" s="25"/>
      <c r="AO74" s="25"/>
      <c r="AP74" s="25"/>
      <c r="AQ74" s="25"/>
      <c r="AR74" s="25"/>
      <c r="AS74" s="25"/>
      <c r="AT74" s="25"/>
      <c r="AU74" s="25"/>
      <c r="AV74" s="25"/>
      <c r="AW74" s="25"/>
      <c r="AX74" s="25"/>
      <c r="AY74" s="25"/>
      <c r="AZ74" s="25"/>
      <c r="BA74" s="25"/>
    </row>
    <row r="75" spans="1:53" ht="12.75">
      <c r="A75" s="25"/>
      <c r="C75" s="5"/>
      <c r="E75" s="1184"/>
      <c r="F75" s="1184"/>
      <c r="G75" s="1184"/>
      <c r="H75" s="1184"/>
      <c r="I75" s="1184"/>
      <c r="J75" s="1184"/>
      <c r="K75" s="1184"/>
      <c r="L75" s="1184"/>
      <c r="M75" s="1184"/>
      <c r="N75" s="1184"/>
      <c r="O75" s="1184"/>
      <c r="P75" s="1184"/>
      <c r="Q75" s="1184"/>
      <c r="R75" s="1184"/>
      <c r="S75" s="1184"/>
      <c r="T75" s="1184"/>
      <c r="U75" s="1184"/>
      <c r="V75" s="1184"/>
      <c r="W75" s="1184"/>
      <c r="X75" s="1184"/>
      <c r="Y75" s="1184"/>
      <c r="Z75" s="1184"/>
      <c r="AA75" s="1184"/>
      <c r="AB75" s="1184"/>
      <c r="AC75" s="1184"/>
      <c r="AD75" s="1184"/>
      <c r="AE75" s="1184"/>
      <c r="AH75" s="25"/>
      <c r="AI75" s="25"/>
      <c r="AJ75" s="25"/>
      <c r="AK75" s="25"/>
      <c r="AL75" s="25"/>
      <c r="AM75" s="25"/>
      <c r="AN75" s="25"/>
      <c r="AO75" s="25"/>
      <c r="AP75" s="25"/>
      <c r="AQ75" s="25"/>
      <c r="AR75" s="25"/>
      <c r="AS75" s="25"/>
      <c r="AT75" s="25"/>
      <c r="AU75" s="25"/>
      <c r="AV75" s="25"/>
      <c r="AW75" s="25"/>
      <c r="AX75" s="25"/>
      <c r="AY75" s="25"/>
      <c r="AZ75" s="25"/>
      <c r="BA75" s="25"/>
    </row>
    <row r="76" spans="1:53" ht="12.75">
      <c r="A76" s="25"/>
      <c r="B76" s="428" t="str">
        <f ca="1">"Cascade Energy, Inc. © "&amp;YEAR(TODAY())</f>
        <v>Cascade Energy, Inc. © 2023</v>
      </c>
      <c r="AF76" s="773"/>
      <c r="AG76" s="773" t="str">
        <f>ToolName&amp;" - "&amp;ToolVersion</f>
        <v>BPA NW Regional Compressed Air Tool - 4.1</v>
      </c>
      <c r="AH76" s="25"/>
      <c r="AI76" s="25"/>
      <c r="AJ76" s="25"/>
      <c r="AK76" s="25"/>
      <c r="AL76" s="25"/>
      <c r="AM76" s="25"/>
      <c r="AN76" s="25"/>
      <c r="AO76" s="25"/>
      <c r="AP76" s="25"/>
      <c r="AQ76" s="25"/>
      <c r="AR76" s="25"/>
      <c r="AS76" s="25"/>
      <c r="AT76" s="25"/>
      <c r="AU76" s="25"/>
      <c r="AV76" s="25"/>
      <c r="AW76" s="25"/>
      <c r="AX76" s="25"/>
      <c r="AY76" s="25"/>
      <c r="AZ76" s="25"/>
      <c r="BA76" s="25"/>
    </row>
    <row r="77" spans="1:53" ht="12.75">
      <c r="A77" s="25"/>
      <c r="B77" s="25"/>
      <c r="C77" s="25"/>
      <c r="D77" s="25"/>
      <c r="E77" s="25"/>
      <c r="F77" s="25"/>
      <c r="G77" s="25"/>
      <c r="H77" s="25"/>
      <c r="I77" s="25"/>
      <c r="J77" s="25"/>
      <c r="K77" s="25"/>
      <c r="L77" s="25"/>
      <c r="M77" s="25"/>
      <c r="N77" s="25"/>
      <c r="O77" s="25"/>
      <c r="P77" s="25"/>
      <c r="Q77" s="25"/>
      <c r="R77" s="25"/>
      <c r="S77" s="25"/>
      <c r="T77" s="25"/>
      <c r="U77" s="25"/>
      <c r="V77" s="25"/>
      <c r="W77" s="25"/>
      <c r="X77" s="25"/>
      <c r="Y77" s="25"/>
      <c r="Z77" s="25"/>
      <c r="AA77" s="25"/>
      <c r="AB77" s="25"/>
      <c r="AC77" s="25"/>
      <c r="AD77" s="25"/>
      <c r="AE77" s="25"/>
      <c r="AF77" s="25"/>
      <c r="AG77" s="25"/>
      <c r="AH77" s="25"/>
      <c r="AI77" s="25"/>
      <c r="AJ77" s="25"/>
      <c r="AK77" s="25"/>
      <c r="AL77" s="25"/>
      <c r="AM77" s="25"/>
      <c r="AN77" s="25"/>
      <c r="AO77" s="25"/>
      <c r="AP77" s="25"/>
      <c r="AQ77" s="25"/>
      <c r="AR77" s="25"/>
      <c r="AS77" s="25"/>
      <c r="AT77" s="25"/>
      <c r="AU77" s="25"/>
      <c r="AV77" s="25"/>
      <c r="AW77" s="25"/>
      <c r="AX77" s="25"/>
      <c r="AY77" s="25"/>
      <c r="AZ77" s="25"/>
      <c r="BA77" s="25"/>
    </row>
    <row r="78" spans="1:53" ht="12.75">
      <c r="A78" s="25"/>
      <c r="B78" s="25"/>
      <c r="C78" s="25"/>
      <c r="D78" s="25"/>
      <c r="E78" s="25"/>
      <c r="F78" s="25"/>
      <c r="G78" s="25"/>
      <c r="H78" s="25"/>
      <c r="I78" s="25"/>
      <c r="J78" s="25"/>
      <c r="K78" s="25"/>
      <c r="L78" s="25"/>
      <c r="M78" s="25"/>
      <c r="N78" s="25"/>
      <c r="O78" s="25"/>
      <c r="P78" s="25"/>
      <c r="Q78" s="25"/>
      <c r="R78" s="25"/>
      <c r="S78" s="25"/>
      <c r="T78" s="25"/>
      <c r="U78" s="25"/>
      <c r="V78" s="25"/>
      <c r="W78" s="25"/>
      <c r="X78" s="25"/>
      <c r="Y78" s="25"/>
      <c r="Z78" s="25"/>
      <c r="AA78" s="25"/>
      <c r="AB78" s="25"/>
      <c r="AC78" s="25"/>
      <c r="AD78" s="25"/>
      <c r="AE78" s="25"/>
      <c r="AF78" s="25"/>
      <c r="AG78" s="25"/>
      <c r="AH78" s="25"/>
      <c r="AI78" s="25"/>
      <c r="AJ78" s="25"/>
      <c r="AK78" s="25"/>
      <c r="AL78" s="25"/>
      <c r="AM78" s="25"/>
      <c r="AN78" s="25"/>
      <c r="AO78" s="25"/>
      <c r="AP78" s="25"/>
      <c r="AQ78" s="25"/>
      <c r="AR78" s="25"/>
      <c r="AS78" s="25"/>
      <c r="AT78" s="25"/>
      <c r="AU78" s="25"/>
      <c r="AV78" s="25"/>
      <c r="AW78" s="25"/>
      <c r="AX78" s="25"/>
      <c r="AY78" s="25"/>
      <c r="AZ78" s="25"/>
      <c r="BA78" s="25"/>
    </row>
    <row r="79" spans="1:53" ht="12.75">
      <c r="A79" s="25"/>
      <c r="B79" s="25"/>
      <c r="C79" s="25"/>
      <c r="D79" s="25"/>
      <c r="E79" s="25"/>
      <c r="F79" s="25"/>
      <c r="G79" s="25"/>
      <c r="H79" s="25"/>
      <c r="I79" s="25"/>
      <c r="J79" s="25"/>
      <c r="K79" s="25"/>
      <c r="L79" s="25"/>
      <c r="M79" s="25"/>
      <c r="N79" s="25"/>
      <c r="O79" s="25"/>
      <c r="P79" s="25"/>
      <c r="Q79" s="25"/>
      <c r="R79" s="25"/>
      <c r="S79" s="25"/>
      <c r="T79" s="25"/>
      <c r="U79" s="25"/>
      <c r="V79" s="25"/>
      <c r="W79" s="25"/>
      <c r="X79" s="25"/>
      <c r="Y79" s="25"/>
      <c r="Z79" s="25"/>
      <c r="AA79" s="25"/>
      <c r="AB79" s="25"/>
      <c r="AC79" s="25"/>
      <c r="AD79" s="25"/>
      <c r="AE79" s="25"/>
      <c r="AF79" s="25"/>
      <c r="AG79" s="25"/>
      <c r="AH79" s="25"/>
      <c r="AI79" s="25"/>
      <c r="AJ79" s="25"/>
      <c r="AK79" s="25"/>
      <c r="AL79" s="25"/>
      <c r="AM79" s="25"/>
      <c r="AN79" s="25"/>
      <c r="AO79" s="25"/>
      <c r="AP79" s="25"/>
      <c r="AQ79" s="25"/>
      <c r="AR79" s="25"/>
      <c r="AS79" s="25"/>
      <c r="AT79" s="25"/>
      <c r="AU79" s="25"/>
      <c r="AV79" s="25"/>
      <c r="AW79" s="25"/>
      <c r="AX79" s="25"/>
      <c r="AY79" s="25"/>
      <c r="AZ79" s="25"/>
      <c r="BA79" s="25"/>
    </row>
    <row r="80" spans="1:53" ht="12.75">
      <c r="A80" s="25"/>
      <c r="B80" s="25"/>
      <c r="C80" s="25"/>
      <c r="D80" s="25"/>
      <c r="E80" s="25"/>
      <c r="F80" s="25"/>
      <c r="G80" s="25"/>
      <c r="H80" s="25"/>
      <c r="I80" s="25"/>
      <c r="J80" s="25"/>
      <c r="K80" s="25"/>
      <c r="L80" s="25"/>
      <c r="M80" s="25"/>
      <c r="N80" s="25"/>
      <c r="O80" s="25"/>
      <c r="P80" s="25"/>
      <c r="Q80" s="25"/>
      <c r="R80" s="25"/>
      <c r="S80" s="25"/>
      <c r="T80" s="25"/>
      <c r="U80" s="25"/>
      <c r="V80" s="25"/>
      <c r="W80" s="25"/>
      <c r="X80" s="25"/>
      <c r="Y80" s="25"/>
      <c r="Z80" s="25"/>
      <c r="AA80" s="25"/>
      <c r="AB80" s="25"/>
      <c r="AC80" s="25"/>
      <c r="AD80" s="25"/>
      <c r="AE80" s="25"/>
      <c r="AF80" s="25"/>
      <c r="AG80" s="25"/>
      <c r="AH80" s="25"/>
      <c r="AI80" s="25"/>
      <c r="AJ80" s="25"/>
      <c r="AK80" s="25"/>
      <c r="AL80" s="25"/>
      <c r="AM80" s="25"/>
      <c r="AN80" s="25"/>
      <c r="AO80" s="25"/>
      <c r="AP80" s="25"/>
      <c r="AQ80" s="25"/>
      <c r="AR80" s="25"/>
      <c r="AS80" s="25"/>
      <c r="AT80" s="25"/>
      <c r="AU80" s="25"/>
      <c r="AV80" s="25"/>
      <c r="AW80" s="25"/>
      <c r="AX80" s="25"/>
      <c r="AY80" s="25"/>
      <c r="AZ80" s="25"/>
      <c r="BA80" s="25"/>
    </row>
    <row r="81" spans="1:53" ht="12.75">
      <c r="A81" s="25"/>
      <c r="B81" s="25"/>
      <c r="C81" s="25"/>
      <c r="D81" s="25"/>
      <c r="E81" s="25"/>
      <c r="F81" s="25"/>
      <c r="G81" s="25"/>
      <c r="H81" s="25"/>
      <c r="I81" s="25"/>
      <c r="J81" s="25"/>
      <c r="K81" s="25"/>
      <c r="L81" s="25"/>
      <c r="M81" s="25"/>
      <c r="N81" s="25"/>
      <c r="O81" s="25"/>
      <c r="P81" s="25"/>
      <c r="Q81" s="25"/>
      <c r="R81" s="25"/>
      <c r="S81" s="25"/>
      <c r="T81" s="25"/>
      <c r="U81" s="25"/>
      <c r="V81" s="25"/>
      <c r="W81" s="25"/>
      <c r="X81" s="25"/>
      <c r="Y81" s="25"/>
      <c r="Z81" s="25"/>
      <c r="AA81" s="25"/>
      <c r="AB81" s="25"/>
      <c r="AC81" s="25"/>
      <c r="AD81" s="25"/>
      <c r="AE81" s="25"/>
      <c r="AF81" s="25"/>
      <c r="AG81" s="25"/>
      <c r="AH81" s="25"/>
      <c r="AI81" s="25"/>
      <c r="AJ81" s="25"/>
      <c r="AK81" s="25"/>
      <c r="AL81" s="25"/>
      <c r="AM81" s="25"/>
      <c r="AN81" s="25"/>
      <c r="AO81" s="25"/>
      <c r="AP81" s="25"/>
      <c r="AQ81" s="25"/>
      <c r="AR81" s="25"/>
      <c r="AS81" s="25"/>
      <c r="AT81" s="25"/>
      <c r="AU81" s="25"/>
      <c r="AV81" s="25"/>
      <c r="AW81" s="25"/>
      <c r="AX81" s="25"/>
      <c r="AY81" s="25"/>
      <c r="AZ81" s="25"/>
      <c r="BA81" s="25"/>
    </row>
    <row r="82" spans="1:53" ht="12.75">
      <c r="A82" s="25"/>
      <c r="B82" s="25"/>
      <c r="C82" s="25"/>
      <c r="D82" s="25"/>
      <c r="E82" s="25"/>
      <c r="F82" s="25"/>
      <c r="G82" s="25"/>
      <c r="H82" s="25"/>
      <c r="I82" s="25"/>
      <c r="J82" s="25"/>
      <c r="K82" s="25"/>
      <c r="L82" s="25"/>
      <c r="M82" s="25"/>
      <c r="N82" s="25"/>
      <c r="O82" s="25"/>
      <c r="P82" s="25"/>
      <c r="Q82" s="25"/>
      <c r="R82" s="25"/>
      <c r="S82" s="25"/>
      <c r="T82" s="25"/>
      <c r="U82" s="25"/>
      <c r="V82" s="25"/>
      <c r="W82" s="25"/>
      <c r="X82" s="25"/>
      <c r="Y82" s="25"/>
      <c r="Z82" s="25"/>
      <c r="AA82" s="25"/>
      <c r="AB82" s="25"/>
      <c r="AC82" s="25"/>
      <c r="AD82" s="25"/>
      <c r="AE82" s="25"/>
      <c r="AF82" s="25"/>
      <c r="AG82" s="25"/>
      <c r="AH82" s="25"/>
      <c r="AI82" s="25"/>
      <c r="AJ82" s="25"/>
      <c r="AK82" s="25"/>
      <c r="AL82" s="25"/>
      <c r="AM82" s="25"/>
      <c r="AN82" s="25"/>
      <c r="AO82" s="25"/>
      <c r="AP82" s="25"/>
      <c r="AQ82" s="25"/>
      <c r="AR82" s="25"/>
      <c r="AS82" s="25"/>
      <c r="AT82" s="25"/>
      <c r="AU82" s="25"/>
      <c r="AV82" s="25"/>
      <c r="AW82" s="25"/>
      <c r="AX82" s="25"/>
      <c r="AY82" s="25"/>
      <c r="AZ82" s="25"/>
      <c r="BA82" s="25"/>
    </row>
    <row r="83" spans="1:53" ht="12.75">
      <c r="A83" s="25"/>
      <c r="B83" s="25"/>
      <c r="C83" s="25"/>
      <c r="D83" s="25"/>
      <c r="E83" s="25"/>
      <c r="F83" s="25"/>
      <c r="G83" s="25"/>
      <c r="H83" s="25"/>
      <c r="I83" s="25"/>
      <c r="J83" s="25"/>
      <c r="K83" s="25"/>
      <c r="L83" s="25"/>
      <c r="M83" s="25"/>
      <c r="N83" s="25"/>
      <c r="O83" s="25"/>
      <c r="P83" s="25"/>
      <c r="Q83" s="25"/>
      <c r="R83" s="25"/>
      <c r="S83" s="25"/>
      <c r="T83" s="25"/>
      <c r="U83" s="25"/>
      <c r="V83" s="25"/>
      <c r="W83" s="25"/>
      <c r="X83" s="25"/>
      <c r="Y83" s="25"/>
      <c r="Z83" s="25"/>
      <c r="AA83" s="25"/>
      <c r="AB83" s="25"/>
      <c r="AC83" s="25"/>
      <c r="AD83" s="25"/>
      <c r="AE83" s="25"/>
      <c r="AF83" s="25"/>
      <c r="AG83" s="25"/>
      <c r="AH83" s="25"/>
      <c r="AI83" s="25"/>
      <c r="AJ83" s="25"/>
      <c r="AK83" s="25"/>
      <c r="AL83" s="25"/>
      <c r="AM83" s="25"/>
      <c r="AN83" s="25"/>
      <c r="AO83" s="25"/>
      <c r="AP83" s="25"/>
      <c r="AQ83" s="25"/>
      <c r="AR83" s="25"/>
      <c r="AS83" s="25"/>
      <c r="AT83" s="25"/>
      <c r="AU83" s="25"/>
      <c r="AV83" s="25"/>
      <c r="AW83" s="25"/>
      <c r="AX83" s="25"/>
      <c r="AY83" s="25"/>
      <c r="AZ83" s="25"/>
      <c r="BA83" s="25"/>
    </row>
    <row r="84" spans="1:53" ht="12.75">
      <c r="A84" s="25"/>
      <c r="B84" s="25"/>
      <c r="C84" s="25"/>
      <c r="D84" s="25"/>
      <c r="E84" s="25"/>
      <c r="F84" s="25"/>
      <c r="G84" s="25"/>
      <c r="H84" s="25"/>
      <c r="I84" s="25"/>
      <c r="J84" s="25"/>
      <c r="K84" s="25"/>
      <c r="L84" s="25"/>
      <c r="M84" s="25"/>
      <c r="N84" s="25"/>
      <c r="O84" s="25"/>
      <c r="P84" s="25"/>
      <c r="Q84" s="25"/>
      <c r="R84" s="25"/>
      <c r="S84" s="25"/>
      <c r="T84" s="25"/>
      <c r="U84" s="25"/>
      <c r="V84" s="25"/>
      <c r="W84" s="25"/>
      <c r="X84" s="25"/>
      <c r="Y84" s="25"/>
      <c r="Z84" s="25"/>
      <c r="AA84" s="25"/>
      <c r="AB84" s="25"/>
      <c r="AC84" s="25"/>
      <c r="AD84" s="25"/>
      <c r="AE84" s="25"/>
      <c r="AF84" s="25"/>
      <c r="AG84" s="25"/>
      <c r="AH84" s="25"/>
      <c r="AI84" s="25"/>
      <c r="AJ84" s="25"/>
      <c r="AK84" s="25"/>
      <c r="AL84" s="25"/>
      <c r="AM84" s="25"/>
      <c r="AN84" s="25"/>
      <c r="AO84" s="25"/>
      <c r="AP84" s="25"/>
      <c r="AQ84" s="25"/>
      <c r="AR84" s="25"/>
      <c r="AS84" s="25"/>
      <c r="AT84" s="25"/>
      <c r="AU84" s="25"/>
      <c r="AV84" s="25"/>
      <c r="AW84" s="25"/>
      <c r="AX84" s="25"/>
      <c r="AY84" s="25"/>
      <c r="AZ84" s="25"/>
      <c r="BA84" s="25"/>
    </row>
    <row r="85" spans="1:53" ht="12.75">
      <c r="A85" s="25"/>
      <c r="B85" s="25"/>
      <c r="C85" s="25"/>
      <c r="D85" s="25"/>
      <c r="E85" s="25"/>
      <c r="F85" s="25"/>
      <c r="G85" s="25"/>
      <c r="H85" s="25"/>
      <c r="I85" s="25"/>
      <c r="J85" s="25"/>
      <c r="K85" s="25"/>
      <c r="L85" s="25"/>
      <c r="M85" s="25"/>
      <c r="N85" s="25"/>
      <c r="O85" s="25"/>
      <c r="P85" s="25"/>
      <c r="Q85" s="25"/>
      <c r="R85" s="25"/>
      <c r="S85" s="25"/>
      <c r="T85" s="25"/>
      <c r="U85" s="25"/>
      <c r="V85" s="25"/>
      <c r="W85" s="25"/>
      <c r="X85" s="25"/>
      <c r="Y85" s="25"/>
      <c r="Z85" s="25"/>
      <c r="AA85" s="25"/>
      <c r="AB85" s="25"/>
      <c r="AC85" s="25"/>
      <c r="AD85" s="25"/>
      <c r="AE85" s="25"/>
      <c r="AF85" s="25"/>
      <c r="AG85" s="25"/>
      <c r="AH85" s="25"/>
      <c r="AI85" s="25"/>
      <c r="AJ85" s="25"/>
      <c r="AK85" s="25"/>
      <c r="AL85" s="25"/>
      <c r="AM85" s="25"/>
      <c r="AN85" s="25"/>
      <c r="AO85" s="25"/>
      <c r="AP85" s="25"/>
      <c r="AQ85" s="25"/>
      <c r="AR85" s="25"/>
      <c r="AS85" s="25"/>
      <c r="AT85" s="25"/>
      <c r="AU85" s="25"/>
      <c r="AV85" s="25"/>
      <c r="AW85" s="25"/>
      <c r="AX85" s="25"/>
      <c r="AY85" s="25"/>
      <c r="AZ85" s="25"/>
      <c r="BA85" s="25"/>
    </row>
    <row r="86" spans="1:53" ht="12.75">
      <c r="A86" s="25"/>
      <c r="B86" s="25"/>
      <c r="C86" s="25"/>
      <c r="D86" s="25"/>
      <c r="E86" s="25"/>
      <c r="F86" s="25"/>
      <c r="G86" s="25"/>
      <c r="H86" s="25"/>
      <c r="I86" s="25"/>
      <c r="J86" s="25"/>
      <c r="K86" s="25"/>
      <c r="L86" s="25"/>
      <c r="M86" s="25"/>
      <c r="N86" s="25"/>
      <c r="O86" s="25"/>
      <c r="P86" s="25"/>
      <c r="Q86" s="25"/>
      <c r="R86" s="25"/>
      <c r="S86" s="25"/>
      <c r="T86" s="25"/>
      <c r="U86" s="25"/>
      <c r="V86" s="25"/>
      <c r="W86" s="25"/>
      <c r="X86" s="25"/>
      <c r="Y86" s="25"/>
      <c r="Z86" s="25"/>
      <c r="AA86" s="25"/>
      <c r="AB86" s="25"/>
      <c r="AC86" s="25"/>
      <c r="AD86" s="25"/>
      <c r="AE86" s="25"/>
      <c r="AF86" s="25"/>
      <c r="AG86" s="25"/>
      <c r="AH86" s="25"/>
      <c r="AI86" s="25"/>
      <c r="AJ86" s="25"/>
      <c r="AK86" s="25"/>
      <c r="AL86" s="25"/>
      <c r="AM86" s="25"/>
      <c r="AN86" s="25"/>
      <c r="AO86" s="25"/>
      <c r="AP86" s="25"/>
      <c r="AQ86" s="25"/>
      <c r="AR86" s="25"/>
      <c r="AS86" s="25"/>
      <c r="AT86" s="25"/>
      <c r="AU86" s="25"/>
      <c r="AV86" s="25"/>
      <c r="AW86" s="25"/>
      <c r="AX86" s="25"/>
      <c r="AY86" s="25"/>
      <c r="AZ86" s="25"/>
      <c r="BA86" s="25"/>
    </row>
    <row r="87" spans="1:53" ht="12.75">
      <c r="A87" s="25"/>
      <c r="B87" s="25"/>
      <c r="C87" s="25"/>
      <c r="D87" s="25"/>
      <c r="E87" s="25"/>
      <c r="F87" s="25"/>
      <c r="G87" s="25"/>
      <c r="H87" s="25"/>
      <c r="I87" s="25"/>
      <c r="J87" s="25"/>
      <c r="K87" s="25"/>
      <c r="L87" s="25"/>
      <c r="M87" s="25"/>
      <c r="N87" s="25"/>
      <c r="O87" s="25"/>
      <c r="P87" s="25"/>
      <c r="Q87" s="25"/>
      <c r="R87" s="25"/>
      <c r="S87" s="25"/>
      <c r="T87" s="25"/>
      <c r="U87" s="25"/>
      <c r="V87" s="25"/>
      <c r="W87" s="25"/>
      <c r="X87" s="25"/>
      <c r="Y87" s="25"/>
      <c r="Z87" s="25"/>
      <c r="AA87" s="25"/>
      <c r="AB87" s="25"/>
      <c r="AC87" s="25"/>
      <c r="AD87" s="25"/>
      <c r="AE87" s="25"/>
      <c r="AF87" s="25"/>
      <c r="AG87" s="25"/>
      <c r="AH87" s="25"/>
      <c r="AI87" s="25"/>
      <c r="AJ87" s="25"/>
      <c r="AK87" s="25"/>
      <c r="AL87" s="25"/>
      <c r="AM87" s="25"/>
      <c r="AN87" s="25"/>
      <c r="AO87" s="25"/>
      <c r="AP87" s="25"/>
      <c r="AQ87" s="25"/>
      <c r="AR87" s="25"/>
      <c r="AS87" s="25"/>
      <c r="AT87" s="25"/>
      <c r="AU87" s="25"/>
      <c r="AV87" s="25"/>
      <c r="AW87" s="25"/>
      <c r="AX87" s="25"/>
      <c r="AY87" s="25"/>
      <c r="AZ87" s="25"/>
      <c r="BA87" s="25"/>
    </row>
    <row r="88" spans="1:53" ht="12.75">
      <c r="A88" s="25"/>
      <c r="B88" s="25"/>
      <c r="C88" s="25"/>
      <c r="D88" s="25"/>
      <c r="E88" s="25"/>
      <c r="F88" s="25"/>
      <c r="G88" s="25"/>
      <c r="H88" s="25"/>
      <c r="I88" s="25"/>
      <c r="J88" s="25"/>
      <c r="K88" s="25"/>
      <c r="L88" s="25"/>
      <c r="M88" s="25"/>
      <c r="N88" s="25"/>
      <c r="O88" s="25"/>
      <c r="P88" s="25"/>
      <c r="Q88" s="25"/>
      <c r="R88" s="25"/>
      <c r="S88" s="25"/>
      <c r="T88" s="25"/>
      <c r="U88" s="25"/>
      <c r="V88" s="25"/>
      <c r="W88" s="25"/>
      <c r="X88" s="25"/>
      <c r="Y88" s="25"/>
      <c r="Z88" s="25"/>
      <c r="AA88" s="25"/>
      <c r="AB88" s="25"/>
      <c r="AC88" s="25"/>
      <c r="AD88" s="25"/>
      <c r="AE88" s="25"/>
      <c r="AF88" s="25"/>
      <c r="AG88" s="25"/>
      <c r="AH88" s="25"/>
      <c r="AI88" s="25"/>
      <c r="AJ88" s="25"/>
      <c r="AK88" s="25"/>
      <c r="AL88" s="25"/>
      <c r="AM88" s="25"/>
      <c r="AN88" s="25"/>
      <c r="AO88" s="25"/>
      <c r="AP88" s="25"/>
      <c r="AQ88" s="25"/>
      <c r="AR88" s="25"/>
      <c r="AS88" s="25"/>
      <c r="AT88" s="25"/>
      <c r="AU88" s="25"/>
      <c r="AV88" s="25"/>
      <c r="AW88" s="25"/>
      <c r="AX88" s="25"/>
      <c r="AY88" s="25"/>
      <c r="AZ88" s="25"/>
      <c r="BA88" s="25"/>
    </row>
    <row r="89" spans="1:53" ht="12.75">
      <c r="A89" s="25"/>
      <c r="B89" s="25"/>
      <c r="C89" s="25"/>
      <c r="D89" s="25"/>
      <c r="E89" s="25"/>
      <c r="F89" s="25"/>
      <c r="G89" s="25"/>
      <c r="H89" s="25"/>
      <c r="I89" s="25"/>
      <c r="J89" s="25"/>
      <c r="K89" s="25"/>
      <c r="L89" s="25"/>
      <c r="M89" s="25"/>
      <c r="N89" s="25"/>
      <c r="O89" s="25"/>
      <c r="P89" s="25"/>
      <c r="Q89" s="25"/>
      <c r="R89" s="25"/>
      <c r="S89" s="25"/>
      <c r="T89" s="25"/>
      <c r="U89" s="25"/>
      <c r="V89" s="25"/>
      <c r="W89" s="25"/>
      <c r="X89" s="25"/>
      <c r="Y89" s="25"/>
      <c r="Z89" s="25"/>
      <c r="AA89" s="25"/>
      <c r="AB89" s="25"/>
      <c r="AC89" s="25"/>
      <c r="AD89" s="25"/>
      <c r="AE89" s="25"/>
      <c r="AF89" s="25"/>
      <c r="AG89" s="25"/>
      <c r="AH89" s="25"/>
      <c r="AI89" s="25"/>
      <c r="AJ89" s="25"/>
      <c r="AK89" s="25"/>
      <c r="AL89" s="25"/>
      <c r="AM89" s="25"/>
      <c r="AN89" s="25"/>
      <c r="AO89" s="25"/>
      <c r="AP89" s="25"/>
      <c r="AQ89" s="25"/>
      <c r="AR89" s="25"/>
      <c r="AS89" s="25"/>
      <c r="AT89" s="25"/>
      <c r="AU89" s="25"/>
      <c r="AV89" s="25"/>
      <c r="AW89" s="25"/>
      <c r="AX89" s="25"/>
      <c r="AY89" s="25"/>
      <c r="AZ89" s="25"/>
      <c r="BA89" s="25"/>
    </row>
    <row r="90" spans="1:53" ht="12.75">
      <c r="A90" s="25"/>
      <c r="B90" s="25"/>
      <c r="C90" s="25"/>
      <c r="D90" s="25"/>
      <c r="E90" s="25"/>
      <c r="F90" s="25"/>
      <c r="G90" s="25"/>
      <c r="H90" s="25"/>
      <c r="I90" s="25"/>
      <c r="J90" s="25"/>
      <c r="K90" s="25"/>
      <c r="L90" s="25"/>
      <c r="M90" s="25"/>
      <c r="N90" s="25"/>
      <c r="O90" s="25"/>
      <c r="P90" s="25"/>
      <c r="Q90" s="25"/>
      <c r="R90" s="25"/>
      <c r="S90" s="25"/>
      <c r="T90" s="25"/>
      <c r="U90" s="25"/>
      <c r="V90" s="25"/>
      <c r="W90" s="25"/>
      <c r="X90" s="25"/>
      <c r="Y90" s="25"/>
      <c r="Z90" s="25"/>
      <c r="AA90" s="25"/>
      <c r="AB90" s="25"/>
      <c r="AC90" s="25"/>
      <c r="AD90" s="25"/>
      <c r="AE90" s="25"/>
      <c r="AF90" s="25"/>
      <c r="AG90" s="25"/>
      <c r="AH90" s="25"/>
      <c r="AI90" s="25"/>
      <c r="AJ90" s="25"/>
      <c r="AK90" s="25"/>
      <c r="AL90" s="25"/>
      <c r="AM90" s="25"/>
      <c r="AN90" s="25"/>
      <c r="AO90" s="25"/>
      <c r="AP90" s="25"/>
      <c r="AQ90" s="25"/>
      <c r="AR90" s="25"/>
      <c r="AS90" s="25"/>
      <c r="AT90" s="25"/>
      <c r="AU90" s="25"/>
      <c r="AV90" s="25"/>
      <c r="AW90" s="25"/>
      <c r="AX90" s="25"/>
      <c r="AY90" s="25"/>
      <c r="AZ90" s="25"/>
      <c r="BA90" s="25"/>
    </row>
    <row r="91" spans="1:53" ht="12.75">
      <c r="A91" s="25"/>
      <c r="B91" s="25"/>
      <c r="C91" s="25"/>
      <c r="D91" s="25"/>
      <c r="E91" s="25"/>
      <c r="F91" s="25"/>
      <c r="G91" s="25"/>
      <c r="H91" s="25"/>
      <c r="I91" s="25"/>
      <c r="J91" s="25"/>
      <c r="K91" s="25"/>
      <c r="L91" s="25"/>
      <c r="M91" s="25"/>
      <c r="N91" s="25"/>
      <c r="O91" s="25"/>
      <c r="P91" s="25"/>
      <c r="Q91" s="25"/>
      <c r="R91" s="25"/>
      <c r="S91" s="25"/>
      <c r="T91" s="25"/>
      <c r="U91" s="25"/>
      <c r="V91" s="25"/>
      <c r="W91" s="25"/>
      <c r="X91" s="25"/>
      <c r="Y91" s="25"/>
      <c r="Z91" s="25"/>
      <c r="AA91" s="25"/>
      <c r="AB91" s="25"/>
      <c r="AC91" s="25"/>
      <c r="AD91" s="25"/>
      <c r="AE91" s="25"/>
      <c r="AF91" s="25"/>
      <c r="AG91" s="25"/>
      <c r="AH91" s="25"/>
      <c r="AI91" s="25"/>
      <c r="AJ91" s="25"/>
      <c r="AK91" s="25"/>
      <c r="AL91" s="25"/>
      <c r="AM91" s="25"/>
      <c r="AN91" s="25"/>
      <c r="AO91" s="25"/>
      <c r="AP91" s="25"/>
      <c r="AQ91" s="25"/>
      <c r="AR91" s="25"/>
      <c r="AS91" s="25"/>
      <c r="AT91" s="25"/>
      <c r="AU91" s="25"/>
      <c r="AV91" s="25"/>
      <c r="AW91" s="25"/>
      <c r="AX91" s="25"/>
      <c r="AY91" s="25"/>
      <c r="AZ91" s="25"/>
      <c r="BA91" s="25"/>
    </row>
    <row r="92" spans="1:53" ht="12.75">
      <c r="A92" s="25"/>
      <c r="B92" s="25"/>
      <c r="C92" s="25"/>
      <c r="D92" s="25"/>
      <c r="E92" s="25"/>
      <c r="F92" s="25"/>
      <c r="G92" s="25"/>
      <c r="H92" s="25"/>
      <c r="I92" s="25"/>
      <c r="J92" s="25"/>
      <c r="K92" s="25"/>
      <c r="L92" s="25"/>
      <c r="M92" s="25"/>
      <c r="N92" s="25"/>
      <c r="O92" s="25"/>
      <c r="P92" s="25"/>
      <c r="Q92" s="25"/>
      <c r="R92" s="25"/>
      <c r="S92" s="25"/>
      <c r="T92" s="25"/>
      <c r="U92" s="25"/>
      <c r="V92" s="25"/>
      <c r="W92" s="25"/>
      <c r="X92" s="25"/>
      <c r="Y92" s="25"/>
      <c r="Z92" s="25"/>
      <c r="AA92" s="25"/>
      <c r="AB92" s="25"/>
      <c r="AC92" s="25"/>
      <c r="AD92" s="25"/>
      <c r="AE92" s="25"/>
      <c r="AF92" s="25"/>
      <c r="AG92" s="25"/>
      <c r="AH92" s="25"/>
      <c r="AI92" s="25"/>
      <c r="AJ92" s="25"/>
      <c r="AK92" s="25"/>
      <c r="AL92" s="25"/>
      <c r="AM92" s="25"/>
      <c r="AN92" s="25"/>
      <c r="AO92" s="25"/>
      <c r="AP92" s="25"/>
      <c r="AQ92" s="25"/>
      <c r="AR92" s="25"/>
      <c r="AS92" s="25"/>
      <c r="AT92" s="25"/>
      <c r="AU92" s="25"/>
      <c r="AV92" s="25"/>
      <c r="AW92" s="25"/>
      <c r="AX92" s="25"/>
      <c r="AY92" s="25"/>
      <c r="AZ92" s="25"/>
      <c r="BA92" s="25"/>
    </row>
    <row r="93" spans="1:53" ht="12.75">
      <c r="A93" s="25"/>
      <c r="B93" s="25"/>
      <c r="C93" s="25"/>
      <c r="D93" s="25"/>
      <c r="E93" s="25"/>
      <c r="F93" s="25"/>
      <c r="G93" s="25"/>
      <c r="H93" s="25"/>
      <c r="I93" s="25"/>
      <c r="J93" s="25"/>
      <c r="K93" s="25"/>
      <c r="L93" s="25"/>
      <c r="M93" s="25"/>
      <c r="N93" s="25"/>
      <c r="O93" s="25"/>
      <c r="P93" s="25"/>
      <c r="Q93" s="25"/>
      <c r="R93" s="25"/>
      <c r="S93" s="25"/>
      <c r="T93" s="25"/>
      <c r="U93" s="25"/>
      <c r="V93" s="25"/>
      <c r="W93" s="25"/>
      <c r="X93" s="25"/>
      <c r="Y93" s="25"/>
      <c r="Z93" s="25"/>
      <c r="AA93" s="25"/>
      <c r="AB93" s="25"/>
      <c r="AC93" s="25"/>
      <c r="AD93" s="25"/>
      <c r="AE93" s="25"/>
      <c r="AF93" s="25"/>
      <c r="AG93" s="25"/>
      <c r="AH93" s="25"/>
      <c r="AI93" s="25"/>
      <c r="AJ93" s="25"/>
      <c r="AK93" s="25"/>
      <c r="AL93" s="25"/>
      <c r="AM93" s="25"/>
      <c r="AN93" s="25"/>
      <c r="AO93" s="25"/>
      <c r="AP93" s="25"/>
      <c r="AQ93" s="25"/>
      <c r="AR93" s="25"/>
      <c r="AS93" s="25"/>
      <c r="AT93" s="25"/>
      <c r="AU93" s="25"/>
      <c r="AV93" s="25"/>
      <c r="AW93" s="25"/>
      <c r="AX93" s="25"/>
      <c r="AY93" s="25"/>
      <c r="AZ93" s="25"/>
      <c r="BA93" s="25"/>
    </row>
    <row r="94" spans="1:53" ht="12.75">
      <c r="A94" s="25"/>
      <c r="B94" s="25"/>
      <c r="C94" s="25"/>
      <c r="D94" s="25"/>
      <c r="E94" s="25"/>
      <c r="F94" s="25"/>
      <c r="G94" s="25"/>
      <c r="H94" s="25"/>
      <c r="I94" s="25"/>
      <c r="J94" s="25"/>
      <c r="K94" s="25"/>
      <c r="L94" s="25"/>
      <c r="M94" s="25"/>
      <c r="N94" s="25"/>
      <c r="O94" s="25"/>
      <c r="P94" s="25"/>
      <c r="Q94" s="25"/>
      <c r="R94" s="25"/>
      <c r="S94" s="25"/>
      <c r="T94" s="25"/>
      <c r="U94" s="25"/>
      <c r="V94" s="25"/>
      <c r="W94" s="25"/>
      <c r="X94" s="25"/>
      <c r="Y94" s="25"/>
      <c r="Z94" s="25"/>
      <c r="AA94" s="25"/>
      <c r="AB94" s="25"/>
      <c r="AC94" s="25"/>
      <c r="AD94" s="25"/>
      <c r="AE94" s="25"/>
      <c r="AF94" s="25"/>
      <c r="AG94" s="25"/>
      <c r="AH94" s="25"/>
      <c r="AI94" s="25"/>
      <c r="AJ94" s="25"/>
      <c r="AK94" s="25"/>
      <c r="AL94" s="25"/>
      <c r="AM94" s="25"/>
      <c r="AN94" s="25"/>
      <c r="AO94" s="25"/>
      <c r="AP94" s="25"/>
      <c r="AQ94" s="25"/>
      <c r="AR94" s="25"/>
      <c r="AS94" s="25"/>
      <c r="AT94" s="25"/>
      <c r="AU94" s="25"/>
      <c r="AV94" s="25"/>
      <c r="AW94" s="25"/>
      <c r="AX94" s="25"/>
      <c r="AY94" s="25"/>
      <c r="AZ94" s="25"/>
      <c r="BA94" s="25"/>
    </row>
    <row r="95" spans="1:53" ht="12.75">
      <c r="A95" s="25"/>
      <c r="B95" s="25"/>
      <c r="C95" s="25"/>
      <c r="D95" s="25"/>
      <c r="E95" s="25"/>
      <c r="F95" s="25"/>
      <c r="G95" s="25"/>
      <c r="H95" s="25"/>
      <c r="I95" s="25"/>
      <c r="J95" s="25"/>
      <c r="K95" s="25"/>
      <c r="L95" s="25"/>
      <c r="M95" s="25"/>
      <c r="N95" s="25"/>
      <c r="O95" s="25"/>
      <c r="P95" s="25"/>
      <c r="Q95" s="25"/>
      <c r="R95" s="25"/>
      <c r="S95" s="25"/>
      <c r="T95" s="25"/>
      <c r="U95" s="25"/>
      <c r="V95" s="25"/>
      <c r="W95" s="25"/>
      <c r="X95" s="25"/>
      <c r="Y95" s="25"/>
      <c r="Z95" s="25"/>
      <c r="AA95" s="25"/>
      <c r="AB95" s="25"/>
      <c r="AC95" s="25"/>
      <c r="AD95" s="25"/>
      <c r="AE95" s="25"/>
      <c r="AF95" s="25"/>
      <c r="AG95" s="25"/>
      <c r="AH95" s="25"/>
      <c r="AI95" s="25"/>
      <c r="AJ95" s="25"/>
      <c r="AK95" s="25"/>
      <c r="AL95" s="25"/>
      <c r="AM95" s="25"/>
      <c r="AN95" s="25"/>
      <c r="AO95" s="25"/>
      <c r="AP95" s="25"/>
      <c r="AQ95" s="25"/>
      <c r="AR95" s="25"/>
      <c r="AS95" s="25"/>
      <c r="AT95" s="25"/>
      <c r="AU95" s="25"/>
      <c r="AV95" s="25"/>
      <c r="AW95" s="25"/>
      <c r="AX95" s="25"/>
      <c r="AY95" s="25"/>
      <c r="AZ95" s="25"/>
      <c r="BA95" s="25"/>
    </row>
    <row r="96" spans="1:53" ht="12.75">
      <c r="A96" s="25"/>
      <c r="B96" s="25"/>
      <c r="C96" s="25"/>
      <c r="D96" s="25"/>
      <c r="E96" s="25"/>
      <c r="F96" s="25"/>
      <c r="G96" s="25"/>
      <c r="H96" s="25"/>
      <c r="I96" s="25"/>
      <c r="J96" s="25"/>
      <c r="K96" s="25"/>
      <c r="L96" s="25"/>
      <c r="M96" s="25"/>
      <c r="N96" s="25"/>
      <c r="O96" s="25"/>
      <c r="P96" s="25"/>
      <c r="Q96" s="25"/>
      <c r="R96" s="25"/>
      <c r="S96" s="25"/>
      <c r="T96" s="25"/>
      <c r="U96" s="25"/>
      <c r="V96" s="25"/>
      <c r="W96" s="25"/>
      <c r="X96" s="25"/>
      <c r="Y96" s="25"/>
      <c r="Z96" s="25"/>
      <c r="AA96" s="25"/>
      <c r="AB96" s="25"/>
      <c r="AC96" s="25"/>
      <c r="AD96" s="25"/>
      <c r="AE96" s="25"/>
      <c r="AF96" s="25"/>
      <c r="AG96" s="25"/>
      <c r="AH96" s="25"/>
      <c r="AI96" s="25"/>
      <c r="AJ96" s="25"/>
      <c r="AK96" s="25"/>
      <c r="AL96" s="25"/>
      <c r="AM96" s="25"/>
      <c r="AN96" s="25"/>
      <c r="AO96" s="25"/>
      <c r="AP96" s="25"/>
      <c r="AQ96" s="25"/>
      <c r="AR96" s="25"/>
      <c r="AS96" s="25"/>
      <c r="AT96" s="25"/>
      <c r="AU96" s="25"/>
      <c r="AV96" s="25"/>
      <c r="AW96" s="25"/>
      <c r="AX96" s="25"/>
      <c r="AY96" s="25"/>
      <c r="AZ96" s="25"/>
      <c r="BA96" s="25"/>
    </row>
    <row r="97" spans="1:53" ht="12.75">
      <c r="A97" s="25"/>
      <c r="B97" s="25"/>
      <c r="C97" s="25"/>
      <c r="D97" s="25"/>
      <c r="E97" s="25"/>
      <c r="F97" s="25"/>
      <c r="G97" s="25"/>
      <c r="H97" s="25"/>
      <c r="I97" s="25"/>
      <c r="J97" s="25"/>
      <c r="K97" s="25"/>
      <c r="L97" s="25"/>
      <c r="M97" s="25"/>
      <c r="N97" s="25"/>
      <c r="O97" s="25"/>
      <c r="P97" s="25"/>
      <c r="Q97" s="25"/>
      <c r="R97" s="25"/>
      <c r="S97" s="25"/>
      <c r="T97" s="25"/>
      <c r="U97" s="25"/>
      <c r="V97" s="25"/>
      <c r="W97" s="25"/>
      <c r="X97" s="25"/>
      <c r="Y97" s="25"/>
      <c r="Z97" s="25"/>
      <c r="AA97" s="25"/>
      <c r="AB97" s="25"/>
      <c r="AC97" s="25"/>
      <c r="AD97" s="25"/>
      <c r="AE97" s="25"/>
      <c r="AF97" s="25"/>
      <c r="AG97" s="25"/>
      <c r="AH97" s="25"/>
      <c r="AI97" s="25"/>
      <c r="AJ97" s="25"/>
      <c r="AK97" s="25"/>
      <c r="AL97" s="25"/>
      <c r="AM97" s="25"/>
      <c r="AN97" s="25"/>
      <c r="AO97" s="25"/>
      <c r="AP97" s="25"/>
      <c r="AQ97" s="25"/>
      <c r="AR97" s="25"/>
      <c r="AS97" s="25"/>
      <c r="AT97" s="25"/>
      <c r="AU97" s="25"/>
      <c r="AV97" s="25"/>
      <c r="AW97" s="25"/>
      <c r="AX97" s="25"/>
      <c r="AY97" s="25"/>
      <c r="AZ97" s="25"/>
      <c r="BA97" s="25"/>
    </row>
    <row r="98" spans="1:53" ht="12.75">
      <c r="A98" s="25"/>
      <c r="B98" s="25"/>
      <c r="C98" s="25"/>
      <c r="D98" s="25"/>
      <c r="E98" s="25"/>
      <c r="F98" s="25"/>
      <c r="G98" s="25"/>
      <c r="H98" s="25"/>
      <c r="I98" s="25"/>
      <c r="J98" s="25"/>
      <c r="K98" s="25"/>
      <c r="L98" s="25"/>
      <c r="M98" s="25"/>
      <c r="N98" s="25"/>
      <c r="O98" s="25"/>
      <c r="P98" s="25"/>
      <c r="Q98" s="25"/>
      <c r="R98" s="25"/>
      <c r="S98" s="25"/>
      <c r="T98" s="25"/>
      <c r="U98" s="25"/>
      <c r="V98" s="25"/>
      <c r="W98" s="25"/>
      <c r="X98" s="25"/>
      <c r="Y98" s="25"/>
      <c r="Z98" s="25"/>
      <c r="AA98" s="25"/>
      <c r="AB98" s="25"/>
      <c r="AC98" s="25"/>
      <c r="AD98" s="25"/>
      <c r="AE98" s="25"/>
      <c r="AF98" s="25"/>
      <c r="AG98" s="25"/>
      <c r="AH98" s="25"/>
      <c r="AI98" s="25"/>
      <c r="AJ98" s="25"/>
      <c r="AK98" s="25"/>
      <c r="AL98" s="25"/>
      <c r="AM98" s="25"/>
      <c r="AN98" s="25"/>
      <c r="AO98" s="25"/>
      <c r="AP98" s="25"/>
      <c r="AQ98" s="25"/>
      <c r="AR98" s="25"/>
      <c r="AS98" s="25"/>
      <c r="AT98" s="25"/>
      <c r="AU98" s="25"/>
      <c r="AV98" s="25"/>
      <c r="AW98" s="25"/>
      <c r="AX98" s="25"/>
      <c r="AY98" s="25"/>
      <c r="AZ98" s="25"/>
      <c r="BA98" s="25"/>
    </row>
    <row r="99" spans="1:53" ht="12.75">
      <c r="A99" s="25"/>
      <c r="B99" s="25"/>
      <c r="C99" s="25"/>
      <c r="D99" s="25"/>
      <c r="E99" s="25"/>
      <c r="F99" s="25"/>
      <c r="G99" s="25"/>
      <c r="H99" s="25"/>
      <c r="I99" s="25"/>
      <c r="J99" s="25"/>
      <c r="K99" s="25"/>
      <c r="L99" s="25"/>
      <c r="M99" s="25"/>
      <c r="N99" s="25"/>
      <c r="O99" s="25"/>
      <c r="P99" s="25"/>
      <c r="Q99" s="25"/>
      <c r="R99" s="25"/>
      <c r="S99" s="25"/>
      <c r="T99" s="25"/>
      <c r="U99" s="25"/>
      <c r="V99" s="25"/>
      <c r="W99" s="25"/>
      <c r="X99" s="25"/>
      <c r="Y99" s="25"/>
      <c r="Z99" s="25"/>
      <c r="AA99" s="25"/>
      <c r="AB99" s="25"/>
      <c r="AC99" s="25"/>
      <c r="AD99" s="25"/>
      <c r="AE99" s="25"/>
      <c r="AF99" s="25"/>
      <c r="AG99" s="25"/>
      <c r="AH99" s="25"/>
      <c r="AI99" s="25"/>
      <c r="AJ99" s="25"/>
      <c r="AK99" s="25"/>
      <c r="AL99" s="25"/>
      <c r="AM99" s="25"/>
      <c r="AN99" s="25"/>
      <c r="AO99" s="25"/>
      <c r="AP99" s="25"/>
      <c r="AQ99" s="25"/>
      <c r="AR99" s="25"/>
      <c r="AS99" s="25"/>
      <c r="AT99" s="25"/>
      <c r="AU99" s="25"/>
      <c r="AV99" s="25"/>
      <c r="AW99" s="25"/>
      <c r="AX99" s="25"/>
      <c r="AY99" s="25"/>
      <c r="AZ99" s="25"/>
      <c r="BA99" s="25"/>
    </row>
    <row r="100" spans="1:53" ht="12.75">
      <c r="A100" s="25"/>
      <c r="B100" s="25"/>
      <c r="C100" s="25"/>
      <c r="D100" s="25"/>
      <c r="E100" s="25"/>
      <c r="F100" s="25"/>
      <c r="G100" s="25"/>
      <c r="H100" s="25"/>
      <c r="I100" s="25"/>
      <c r="J100" s="25"/>
      <c r="K100" s="25"/>
      <c r="L100" s="25"/>
      <c r="M100" s="25"/>
      <c r="N100" s="25"/>
      <c r="O100" s="25"/>
      <c r="P100" s="25"/>
      <c r="Q100" s="25"/>
      <c r="R100" s="25"/>
      <c r="S100" s="25"/>
      <c r="T100" s="25"/>
      <c r="U100" s="25"/>
      <c r="V100" s="25"/>
      <c r="W100" s="25"/>
      <c r="X100" s="25"/>
      <c r="Y100" s="25"/>
      <c r="Z100" s="25"/>
      <c r="AA100" s="25"/>
      <c r="AB100" s="25"/>
      <c r="AC100" s="25"/>
      <c r="AD100" s="25"/>
      <c r="AE100" s="25"/>
      <c r="AF100" s="25"/>
      <c r="AG100" s="25"/>
      <c r="AH100" s="25"/>
      <c r="AI100" s="25"/>
      <c r="AJ100" s="25"/>
      <c r="AK100" s="25"/>
      <c r="AL100" s="25"/>
      <c r="AM100" s="25"/>
      <c r="AN100" s="25"/>
      <c r="AO100" s="25"/>
      <c r="AP100" s="25"/>
      <c r="AQ100" s="25"/>
      <c r="AR100" s="25"/>
      <c r="AS100" s="25"/>
      <c r="AT100" s="25"/>
      <c r="AU100" s="25"/>
      <c r="AV100" s="25"/>
      <c r="AW100" s="25"/>
      <c r="AX100" s="25"/>
      <c r="AY100" s="25"/>
      <c r="AZ100" s="25"/>
      <c r="BA100" s="25"/>
    </row>
    <row r="101" spans="1:53" ht="12.75">
      <c r="A101" s="25"/>
      <c r="B101" s="25"/>
      <c r="C101" s="25"/>
      <c r="D101" s="25"/>
      <c r="E101" s="25"/>
      <c r="F101" s="25"/>
      <c r="G101" s="25"/>
      <c r="H101" s="25"/>
      <c r="I101" s="25"/>
      <c r="J101" s="25"/>
      <c r="K101" s="25"/>
      <c r="L101" s="25"/>
      <c r="M101" s="25"/>
      <c r="N101" s="25"/>
      <c r="O101" s="25"/>
      <c r="P101" s="25"/>
      <c r="Q101" s="25"/>
      <c r="R101" s="25"/>
      <c r="S101" s="25"/>
      <c r="T101" s="25"/>
      <c r="U101" s="25"/>
      <c r="V101" s="25"/>
      <c r="W101" s="25"/>
      <c r="X101" s="25"/>
      <c r="Y101" s="25"/>
      <c r="Z101" s="25"/>
      <c r="AA101" s="25"/>
      <c r="AB101" s="25"/>
      <c r="AC101" s="25"/>
      <c r="AD101" s="25"/>
      <c r="AE101" s="25"/>
      <c r="AF101" s="25"/>
      <c r="AG101" s="25"/>
      <c r="AH101" s="25"/>
      <c r="AI101" s="25"/>
      <c r="AJ101" s="25"/>
      <c r="AK101" s="25"/>
      <c r="AL101" s="25"/>
      <c r="AM101" s="25"/>
      <c r="AN101" s="25"/>
      <c r="AO101" s="25"/>
      <c r="AP101" s="25"/>
      <c r="AQ101" s="25"/>
      <c r="AR101" s="25"/>
      <c r="AS101" s="25"/>
      <c r="AT101" s="25"/>
      <c r="AU101" s="25"/>
      <c r="AV101" s="25"/>
      <c r="AW101" s="25"/>
      <c r="AX101" s="25"/>
      <c r="AY101" s="25"/>
      <c r="AZ101" s="25"/>
      <c r="BA101" s="25"/>
    </row>
    <row r="102" spans="1:53" ht="12.75">
      <c r="A102" s="25"/>
      <c r="B102" s="25"/>
      <c r="C102" s="25"/>
      <c r="D102" s="25"/>
      <c r="E102" s="25"/>
      <c r="F102" s="25"/>
      <c r="G102" s="25"/>
      <c r="H102" s="25"/>
      <c r="I102" s="25"/>
      <c r="J102" s="25"/>
      <c r="K102" s="25"/>
      <c r="L102" s="25"/>
      <c r="M102" s="25"/>
      <c r="N102" s="25"/>
      <c r="O102" s="25"/>
      <c r="P102" s="25"/>
      <c r="Q102" s="25"/>
      <c r="R102" s="25"/>
      <c r="S102" s="25"/>
      <c r="T102" s="25"/>
      <c r="U102" s="25"/>
      <c r="V102" s="25"/>
      <c r="W102" s="25"/>
      <c r="X102" s="25"/>
      <c r="Y102" s="25"/>
      <c r="Z102" s="25"/>
      <c r="AA102" s="25"/>
      <c r="AB102" s="25"/>
      <c r="AC102" s="25"/>
      <c r="AD102" s="25"/>
      <c r="AE102" s="25"/>
      <c r="AF102" s="25"/>
      <c r="AG102" s="25"/>
      <c r="AH102" s="25"/>
      <c r="AI102" s="25"/>
      <c r="AJ102" s="25"/>
      <c r="AK102" s="25"/>
      <c r="AL102" s="25"/>
      <c r="AM102" s="25"/>
      <c r="AN102" s="25"/>
      <c r="AO102" s="25"/>
      <c r="AP102" s="25"/>
      <c r="AQ102" s="25"/>
      <c r="AR102" s="25"/>
      <c r="AS102" s="25"/>
      <c r="AT102" s="25"/>
      <c r="AU102" s="25"/>
      <c r="AV102" s="25"/>
      <c r="AW102" s="25"/>
      <c r="AX102" s="25"/>
      <c r="AY102" s="25"/>
      <c r="AZ102" s="25"/>
      <c r="BA102" s="25"/>
    </row>
    <row r="103" spans="1:53" ht="12.75">
      <c r="A103" s="25"/>
      <c r="B103" s="25"/>
      <c r="C103" s="25"/>
      <c r="D103" s="25"/>
      <c r="E103" s="25"/>
      <c r="F103" s="25"/>
      <c r="G103" s="25"/>
      <c r="H103" s="25"/>
      <c r="I103" s="25"/>
      <c r="J103" s="25"/>
      <c r="K103" s="25"/>
      <c r="L103" s="25"/>
      <c r="M103" s="25"/>
      <c r="N103" s="25"/>
      <c r="O103" s="25"/>
      <c r="P103" s="25"/>
      <c r="Q103" s="25"/>
      <c r="R103" s="25"/>
      <c r="S103" s="25"/>
      <c r="T103" s="25"/>
      <c r="U103" s="25"/>
      <c r="V103" s="25"/>
      <c r="W103" s="25"/>
      <c r="X103" s="25"/>
      <c r="Y103" s="25"/>
      <c r="Z103" s="25"/>
      <c r="AA103" s="25"/>
      <c r="AB103" s="25"/>
      <c r="AC103" s="25"/>
      <c r="AD103" s="25"/>
      <c r="AE103" s="25"/>
      <c r="AF103" s="25"/>
      <c r="AG103" s="25"/>
      <c r="AH103" s="25"/>
      <c r="AI103" s="25"/>
      <c r="AJ103" s="25"/>
      <c r="AK103" s="25"/>
      <c r="AL103" s="25"/>
      <c r="AM103" s="25"/>
      <c r="AN103" s="25"/>
      <c r="AO103" s="25"/>
      <c r="AP103" s="25"/>
      <c r="AQ103" s="25"/>
      <c r="AR103" s="25"/>
      <c r="AS103" s="25"/>
      <c r="AT103" s="25"/>
      <c r="AU103" s="25"/>
      <c r="AV103" s="25"/>
      <c r="AW103" s="25"/>
      <c r="AX103" s="25"/>
      <c r="AY103" s="25"/>
      <c r="AZ103" s="25"/>
      <c r="BA103" s="25"/>
    </row>
    <row r="104" spans="1:53" ht="12.75">
      <c r="A104" s="25"/>
      <c r="B104" s="25"/>
      <c r="C104" s="25"/>
      <c r="D104" s="25"/>
      <c r="E104" s="25"/>
      <c r="F104" s="25"/>
      <c r="G104" s="25"/>
      <c r="H104" s="25"/>
      <c r="I104" s="25"/>
      <c r="J104" s="25"/>
      <c r="K104" s="25"/>
      <c r="L104" s="25"/>
      <c r="M104" s="25"/>
      <c r="N104" s="25"/>
      <c r="O104" s="25"/>
      <c r="P104" s="25"/>
      <c r="Q104" s="25"/>
      <c r="R104" s="25"/>
      <c r="S104" s="25"/>
      <c r="T104" s="25"/>
      <c r="U104" s="25"/>
      <c r="V104" s="25"/>
      <c r="W104" s="25"/>
      <c r="X104" s="25"/>
      <c r="Y104" s="25"/>
      <c r="Z104" s="25"/>
      <c r="AA104" s="25"/>
      <c r="AB104" s="25"/>
      <c r="AC104" s="25"/>
      <c r="AD104" s="25"/>
      <c r="AE104" s="25"/>
      <c r="AF104" s="25"/>
      <c r="AG104" s="25"/>
      <c r="AH104" s="25"/>
      <c r="AI104" s="25"/>
      <c r="AJ104" s="25"/>
      <c r="AK104" s="25"/>
      <c r="AL104" s="25"/>
      <c r="AM104" s="25"/>
      <c r="AN104" s="25"/>
      <c r="AO104" s="25"/>
      <c r="AP104" s="25"/>
      <c r="AQ104" s="25"/>
      <c r="AR104" s="25"/>
      <c r="AS104" s="25"/>
      <c r="AT104" s="25"/>
      <c r="AU104" s="25"/>
      <c r="AV104" s="25"/>
      <c r="AW104" s="25"/>
      <c r="AX104" s="25"/>
      <c r="AY104" s="25"/>
      <c r="AZ104" s="25"/>
      <c r="BA104" s="25"/>
    </row>
    <row r="105" spans="1:53" ht="12.75">
      <c r="A105" s="25"/>
      <c r="B105" s="25"/>
      <c r="C105" s="25"/>
      <c r="D105" s="25"/>
      <c r="E105" s="25"/>
      <c r="F105" s="25"/>
      <c r="G105" s="25"/>
      <c r="H105" s="25"/>
      <c r="I105" s="25"/>
      <c r="J105" s="25"/>
      <c r="K105" s="25"/>
      <c r="L105" s="25"/>
      <c r="M105" s="25"/>
      <c r="N105" s="25"/>
      <c r="O105" s="25"/>
      <c r="P105" s="25"/>
      <c r="Q105" s="25"/>
      <c r="R105" s="25"/>
      <c r="S105" s="25"/>
      <c r="T105" s="25"/>
      <c r="U105" s="25"/>
      <c r="V105" s="25"/>
      <c r="W105" s="25"/>
      <c r="X105" s="25"/>
      <c r="Y105" s="25"/>
      <c r="Z105" s="25"/>
      <c r="AA105" s="25"/>
      <c r="AB105" s="25"/>
      <c r="AC105" s="25"/>
      <c r="AD105" s="25"/>
      <c r="AE105" s="25"/>
      <c r="AF105" s="25"/>
      <c r="AG105" s="25"/>
      <c r="AH105" s="25"/>
      <c r="AI105" s="25"/>
      <c r="AJ105" s="25"/>
      <c r="AK105" s="25"/>
      <c r="AL105" s="25"/>
      <c r="AM105" s="25"/>
      <c r="AN105" s="25"/>
      <c r="AO105" s="25"/>
      <c r="AP105" s="25"/>
      <c r="AQ105" s="25"/>
      <c r="AR105" s="25"/>
      <c r="AS105" s="25"/>
      <c r="AT105" s="25"/>
      <c r="AU105" s="25"/>
      <c r="AV105" s="25"/>
      <c r="AW105" s="25"/>
      <c r="AX105" s="25"/>
      <c r="AY105" s="25"/>
      <c r="AZ105" s="25"/>
      <c r="BA105" s="25"/>
    </row>
    <row r="106" spans="1:53" ht="12.75">
      <c r="A106" s="25"/>
      <c r="B106" s="25"/>
      <c r="C106" s="25"/>
      <c r="D106" s="25"/>
      <c r="E106" s="25"/>
      <c r="F106" s="25"/>
      <c r="G106" s="25"/>
      <c r="H106" s="25"/>
      <c r="I106" s="25"/>
      <c r="J106" s="25"/>
      <c r="K106" s="25"/>
      <c r="L106" s="25"/>
      <c r="M106" s="25"/>
      <c r="N106" s="25"/>
      <c r="O106" s="25"/>
      <c r="P106" s="25"/>
      <c r="Q106" s="25"/>
      <c r="R106" s="25"/>
      <c r="S106" s="25"/>
      <c r="T106" s="25"/>
      <c r="U106" s="25"/>
      <c r="V106" s="25"/>
      <c r="W106" s="25"/>
      <c r="X106" s="25"/>
      <c r="Y106" s="25"/>
      <c r="Z106" s="25"/>
      <c r="AA106" s="25"/>
      <c r="AB106" s="25"/>
      <c r="AC106" s="25"/>
      <c r="AD106" s="25"/>
      <c r="AE106" s="25"/>
      <c r="AF106" s="25"/>
      <c r="AG106" s="25"/>
      <c r="AH106" s="25"/>
      <c r="AI106" s="25"/>
      <c r="AJ106" s="25"/>
      <c r="AK106" s="25"/>
      <c r="AL106" s="25"/>
      <c r="AM106" s="25"/>
      <c r="AN106" s="25"/>
      <c r="AO106" s="25"/>
      <c r="AP106" s="25"/>
      <c r="AQ106" s="25"/>
      <c r="AR106" s="25"/>
      <c r="AS106" s="25"/>
      <c r="AT106" s="25"/>
      <c r="AU106" s="25"/>
      <c r="AV106" s="25"/>
      <c r="AW106" s="25"/>
      <c r="AX106" s="25"/>
      <c r="AY106" s="25"/>
      <c r="AZ106" s="25"/>
      <c r="BA106" s="25"/>
    </row>
    <row r="107" spans="1:53" ht="12.75">
      <c r="A107" s="25"/>
      <c r="B107" s="25"/>
      <c r="C107" s="25"/>
      <c r="D107" s="25"/>
      <c r="E107" s="25"/>
      <c r="F107" s="25"/>
      <c r="G107" s="25"/>
      <c r="H107" s="25"/>
      <c r="I107" s="25"/>
      <c r="J107" s="25"/>
      <c r="K107" s="25"/>
      <c r="L107" s="25"/>
      <c r="M107" s="25"/>
      <c r="N107" s="25"/>
      <c r="O107" s="25"/>
      <c r="P107" s="25"/>
      <c r="Q107" s="25"/>
      <c r="R107" s="25"/>
      <c r="S107" s="25"/>
      <c r="T107" s="25"/>
      <c r="U107" s="25"/>
      <c r="V107" s="25"/>
      <c r="W107" s="25"/>
      <c r="X107" s="25"/>
      <c r="Y107" s="25"/>
      <c r="Z107" s="25"/>
      <c r="AA107" s="25"/>
      <c r="AB107" s="25"/>
      <c r="AC107" s="25"/>
      <c r="AD107" s="25"/>
      <c r="AE107" s="25"/>
      <c r="AF107" s="25"/>
      <c r="AG107" s="25"/>
      <c r="AH107" s="25"/>
      <c r="AI107" s="25"/>
      <c r="AJ107" s="25"/>
      <c r="AK107" s="25"/>
      <c r="AL107" s="25"/>
      <c r="AM107" s="25"/>
      <c r="AN107" s="25"/>
      <c r="AO107" s="25"/>
      <c r="AP107" s="25"/>
      <c r="AQ107" s="25"/>
      <c r="AR107" s="25"/>
      <c r="AS107" s="25"/>
      <c r="AT107" s="25"/>
      <c r="AU107" s="25"/>
      <c r="AV107" s="25"/>
      <c r="AW107" s="25"/>
      <c r="AX107" s="25"/>
      <c r="AY107" s="25"/>
      <c r="AZ107" s="25"/>
      <c r="BA107" s="25"/>
    </row>
    <row r="108" spans="1:53" ht="12.75">
      <c r="A108" s="25"/>
      <c r="B108" s="25"/>
      <c r="C108" s="25"/>
      <c r="D108" s="25"/>
      <c r="E108" s="25"/>
      <c r="F108" s="25"/>
      <c r="G108" s="25"/>
      <c r="H108" s="25"/>
      <c r="I108" s="25"/>
      <c r="J108" s="25"/>
      <c r="K108" s="25"/>
      <c r="L108" s="25"/>
      <c r="M108" s="25"/>
      <c r="N108" s="25"/>
      <c r="O108" s="25"/>
      <c r="P108" s="25"/>
      <c r="Q108" s="25"/>
      <c r="R108" s="25"/>
      <c r="S108" s="25"/>
      <c r="T108" s="25"/>
      <c r="U108" s="25"/>
      <c r="V108" s="25"/>
      <c r="W108" s="25"/>
      <c r="X108" s="25"/>
      <c r="Y108" s="25"/>
      <c r="Z108" s="25"/>
      <c r="AA108" s="25"/>
      <c r="AB108" s="25"/>
      <c r="AC108" s="25"/>
      <c r="AD108" s="25"/>
      <c r="AE108" s="25"/>
      <c r="AF108" s="25"/>
      <c r="AG108" s="25"/>
      <c r="AH108" s="25"/>
      <c r="AI108" s="25"/>
      <c r="AJ108" s="25"/>
      <c r="AK108" s="25"/>
      <c r="AL108" s="25"/>
      <c r="AM108" s="25"/>
      <c r="AN108" s="25"/>
      <c r="AO108" s="25"/>
      <c r="AP108" s="25"/>
      <c r="AQ108" s="25"/>
      <c r="AR108" s="25"/>
      <c r="AS108" s="25"/>
      <c r="AT108" s="25"/>
      <c r="AU108" s="25"/>
      <c r="AV108" s="25"/>
      <c r="AW108" s="25"/>
      <c r="AX108" s="25"/>
      <c r="AY108" s="25"/>
      <c r="AZ108" s="25"/>
      <c r="BA108" s="25"/>
    </row>
    <row r="109" spans="1:53" ht="12.75">
      <c r="A109" s="25"/>
      <c r="B109" s="25"/>
      <c r="C109" s="25"/>
      <c r="D109" s="25"/>
      <c r="E109" s="25"/>
      <c r="F109" s="25"/>
      <c r="G109" s="25"/>
      <c r="H109" s="25"/>
      <c r="I109" s="25"/>
      <c r="J109" s="25"/>
      <c r="K109" s="25"/>
      <c r="L109" s="25"/>
      <c r="M109" s="25"/>
      <c r="N109" s="25"/>
      <c r="O109" s="25"/>
      <c r="P109" s="25"/>
      <c r="Q109" s="25"/>
      <c r="R109" s="25"/>
      <c r="S109" s="25"/>
      <c r="T109" s="25"/>
      <c r="U109" s="25"/>
      <c r="V109" s="25"/>
      <c r="W109" s="25"/>
      <c r="X109" s="25"/>
      <c r="Y109" s="25"/>
      <c r="Z109" s="25"/>
      <c r="AA109" s="25"/>
      <c r="AB109" s="25"/>
      <c r="AC109" s="25"/>
      <c r="AD109" s="25"/>
      <c r="AE109" s="25"/>
      <c r="AF109" s="25"/>
      <c r="AG109" s="25"/>
      <c r="AH109" s="25"/>
      <c r="AI109" s="25"/>
      <c r="AJ109" s="25"/>
      <c r="AK109" s="25"/>
      <c r="AL109" s="25"/>
      <c r="AM109" s="25"/>
      <c r="AN109" s="25"/>
      <c r="AO109" s="25"/>
      <c r="AP109" s="25"/>
      <c r="AQ109" s="25"/>
      <c r="AR109" s="25"/>
      <c r="AS109" s="25"/>
      <c r="AT109" s="25"/>
      <c r="AU109" s="25"/>
      <c r="AV109" s="25"/>
      <c r="AW109" s="25"/>
      <c r="AX109" s="25"/>
      <c r="AY109" s="25"/>
      <c r="AZ109" s="25"/>
      <c r="BA109" s="25"/>
    </row>
    <row r="110" spans="1:53" ht="12.75">
      <c r="A110" s="25"/>
      <c r="B110" s="25"/>
      <c r="C110" s="25"/>
      <c r="D110" s="25"/>
      <c r="E110" s="25"/>
      <c r="F110" s="25"/>
      <c r="G110" s="25"/>
      <c r="H110" s="25"/>
      <c r="I110" s="25"/>
      <c r="J110" s="25"/>
      <c r="K110" s="25"/>
      <c r="L110" s="25"/>
      <c r="M110" s="25"/>
      <c r="N110" s="25"/>
      <c r="O110" s="25"/>
      <c r="P110" s="25"/>
      <c r="Q110" s="25"/>
      <c r="R110" s="25"/>
      <c r="S110" s="25"/>
      <c r="T110" s="25"/>
      <c r="U110" s="25"/>
      <c r="V110" s="25"/>
      <c r="W110" s="25"/>
      <c r="X110" s="25"/>
      <c r="Y110" s="25"/>
      <c r="Z110" s="25"/>
      <c r="AA110" s="25"/>
      <c r="AB110" s="25"/>
      <c r="AC110" s="25"/>
      <c r="AD110" s="25"/>
      <c r="AE110" s="25"/>
      <c r="AF110" s="25"/>
      <c r="AG110" s="25"/>
      <c r="AH110" s="25"/>
      <c r="AI110" s="25"/>
      <c r="AJ110" s="25"/>
      <c r="AK110" s="25"/>
      <c r="AL110" s="25"/>
      <c r="AM110" s="25"/>
      <c r="AN110" s="25"/>
      <c r="AO110" s="25"/>
      <c r="AP110" s="25"/>
      <c r="AQ110" s="25"/>
      <c r="AR110" s="25"/>
      <c r="AS110" s="25"/>
      <c r="AT110" s="25"/>
      <c r="AU110" s="25"/>
      <c r="AV110" s="25"/>
      <c r="AW110" s="25"/>
      <c r="AX110" s="25"/>
      <c r="AY110" s="25"/>
      <c r="AZ110" s="25"/>
      <c r="BA110" s="25"/>
    </row>
    <row r="111" spans="1:53" ht="12.75">
      <c r="A111" s="25"/>
      <c r="B111" s="25"/>
      <c r="C111" s="25"/>
      <c r="D111" s="25"/>
      <c r="E111" s="25"/>
      <c r="F111" s="25"/>
      <c r="G111" s="25"/>
      <c r="H111" s="25"/>
      <c r="I111" s="25"/>
      <c r="J111" s="25"/>
      <c r="K111" s="25"/>
      <c r="L111" s="25"/>
      <c r="M111" s="25"/>
      <c r="N111" s="25"/>
      <c r="O111" s="25"/>
      <c r="P111" s="25"/>
      <c r="Q111" s="25"/>
      <c r="R111" s="25"/>
      <c r="S111" s="25"/>
      <c r="T111" s="25"/>
      <c r="U111" s="25"/>
      <c r="V111" s="25"/>
      <c r="W111" s="25"/>
      <c r="X111" s="25"/>
      <c r="Y111" s="25"/>
      <c r="Z111" s="25"/>
      <c r="AA111" s="25"/>
      <c r="AB111" s="25"/>
      <c r="AC111" s="25"/>
      <c r="AD111" s="25"/>
      <c r="AE111" s="25"/>
      <c r="AF111" s="25"/>
      <c r="AG111" s="25"/>
      <c r="AH111" s="25"/>
      <c r="AI111" s="25"/>
      <c r="AJ111" s="25"/>
      <c r="AK111" s="25"/>
      <c r="AL111" s="25"/>
      <c r="AM111" s="25"/>
      <c r="AN111" s="25"/>
      <c r="AO111" s="25"/>
      <c r="AP111" s="25"/>
      <c r="AQ111" s="25"/>
      <c r="AR111" s="25"/>
      <c r="AS111" s="25"/>
      <c r="AT111" s="25"/>
      <c r="AU111" s="25"/>
      <c r="AV111" s="25"/>
      <c r="AW111" s="25"/>
      <c r="AX111" s="25"/>
      <c r="AY111" s="25"/>
      <c r="AZ111" s="25"/>
      <c r="BA111" s="25"/>
    </row>
    <row r="112" spans="1:53" ht="12.75">
      <c r="A112" s="25"/>
      <c r="B112" s="25"/>
      <c r="C112" s="25"/>
      <c r="D112" s="25"/>
      <c r="E112" s="25"/>
      <c r="F112" s="25"/>
      <c r="G112" s="25"/>
      <c r="H112" s="25"/>
      <c r="I112" s="25"/>
      <c r="J112" s="25"/>
      <c r="K112" s="25"/>
      <c r="L112" s="25"/>
      <c r="M112" s="25"/>
      <c r="N112" s="25"/>
      <c r="O112" s="25"/>
      <c r="P112" s="25"/>
      <c r="Q112" s="25"/>
      <c r="R112" s="25"/>
      <c r="S112" s="25"/>
      <c r="T112" s="25"/>
      <c r="U112" s="25"/>
      <c r="V112" s="25"/>
      <c r="W112" s="25"/>
      <c r="X112" s="25"/>
      <c r="Y112" s="25"/>
      <c r="Z112" s="25"/>
      <c r="AA112" s="25"/>
      <c r="AB112" s="25"/>
      <c r="AC112" s="25"/>
      <c r="AD112" s="25"/>
      <c r="AE112" s="25"/>
      <c r="AF112" s="25"/>
      <c r="AG112" s="25"/>
      <c r="AH112" s="25"/>
      <c r="AI112" s="25"/>
      <c r="AJ112" s="25"/>
      <c r="AK112" s="25"/>
      <c r="AL112" s="25"/>
      <c r="AM112" s="25"/>
      <c r="AN112" s="25"/>
      <c r="AO112" s="25"/>
      <c r="AP112" s="25"/>
      <c r="AQ112" s="25"/>
      <c r="AR112" s="25"/>
      <c r="AS112" s="25"/>
      <c r="AT112" s="25"/>
      <c r="AU112" s="25"/>
      <c r="AV112" s="25"/>
      <c r="AW112" s="25"/>
      <c r="AX112" s="25"/>
      <c r="AY112" s="25"/>
      <c r="AZ112" s="25"/>
      <c r="BA112" s="25"/>
    </row>
    <row r="113" spans="1:53" ht="12.75">
      <c r="A113" s="25"/>
      <c r="B113" s="25"/>
      <c r="C113" s="25"/>
      <c r="D113" s="25"/>
      <c r="E113" s="25"/>
      <c r="F113" s="25"/>
      <c r="G113" s="25"/>
      <c r="H113" s="25"/>
      <c r="I113" s="25"/>
      <c r="J113" s="25"/>
      <c r="K113" s="25"/>
      <c r="L113" s="25"/>
      <c r="M113" s="25"/>
      <c r="N113" s="25"/>
      <c r="O113" s="25"/>
      <c r="P113" s="25"/>
      <c r="Q113" s="25"/>
      <c r="R113" s="25"/>
      <c r="S113" s="25"/>
      <c r="T113" s="25"/>
      <c r="U113" s="25"/>
      <c r="V113" s="25"/>
      <c r="W113" s="25"/>
      <c r="X113" s="25"/>
      <c r="Y113" s="25"/>
      <c r="Z113" s="25"/>
      <c r="AA113" s="25"/>
      <c r="AB113" s="25"/>
      <c r="AC113" s="25"/>
      <c r="AD113" s="25"/>
      <c r="AE113" s="25"/>
      <c r="AF113" s="25"/>
      <c r="AG113" s="25"/>
      <c r="AH113" s="25"/>
      <c r="AI113" s="25"/>
      <c r="AJ113" s="25"/>
      <c r="AK113" s="25"/>
      <c r="AL113" s="25"/>
      <c r="AM113" s="25"/>
      <c r="AN113" s="25"/>
      <c r="AO113" s="25"/>
      <c r="AP113" s="25"/>
      <c r="AQ113" s="25"/>
      <c r="AR113" s="25"/>
      <c r="AS113" s="25"/>
      <c r="AT113" s="25"/>
      <c r="AU113" s="25"/>
      <c r="AV113" s="25"/>
      <c r="AW113" s="25"/>
      <c r="AX113" s="25"/>
      <c r="AY113" s="25"/>
      <c r="AZ113" s="25"/>
      <c r="BA113" s="25"/>
    </row>
    <row r="114" spans="1:53" ht="12.75">
      <c r="A114" s="25"/>
      <c r="B114" s="25"/>
      <c r="C114" s="25"/>
      <c r="D114" s="25"/>
      <c r="E114" s="25"/>
      <c r="F114" s="25"/>
      <c r="G114" s="25"/>
      <c r="H114" s="25"/>
      <c r="I114" s="25"/>
      <c r="J114" s="25"/>
      <c r="K114" s="25"/>
      <c r="L114" s="25"/>
      <c r="M114" s="25"/>
      <c r="N114" s="25"/>
      <c r="O114" s="25"/>
      <c r="P114" s="25"/>
      <c r="Q114" s="25"/>
      <c r="R114" s="25"/>
      <c r="S114" s="25"/>
      <c r="T114" s="25"/>
      <c r="U114" s="25"/>
      <c r="V114" s="25"/>
      <c r="W114" s="25"/>
      <c r="X114" s="25"/>
      <c r="Y114" s="25"/>
      <c r="Z114" s="25"/>
      <c r="AA114" s="25"/>
      <c r="AB114" s="25"/>
      <c r="AC114" s="25"/>
      <c r="AD114" s="25"/>
      <c r="AE114" s="25"/>
      <c r="AF114" s="25"/>
      <c r="AG114" s="25"/>
      <c r="AH114" s="25"/>
      <c r="AI114" s="25"/>
      <c r="AJ114" s="25"/>
      <c r="AK114" s="25"/>
      <c r="AL114" s="25"/>
      <c r="AM114" s="25"/>
      <c r="AN114" s="25"/>
      <c r="AO114" s="25"/>
      <c r="AP114" s="25"/>
      <c r="AQ114" s="25"/>
      <c r="AR114" s="25"/>
      <c r="AS114" s="25"/>
      <c r="AT114" s="25"/>
      <c r="AU114" s="25"/>
      <c r="AV114" s="25"/>
      <c r="AW114" s="25"/>
      <c r="AX114" s="25"/>
      <c r="AY114" s="25"/>
      <c r="AZ114" s="25"/>
      <c r="BA114" s="25"/>
    </row>
    <row r="115" spans="1:53" ht="12.75">
      <c r="A115" s="25"/>
      <c r="B115" s="25"/>
      <c r="C115" s="25"/>
      <c r="D115" s="25"/>
      <c r="E115" s="25"/>
      <c r="F115" s="25"/>
      <c r="G115" s="25"/>
      <c r="H115" s="25"/>
      <c r="I115" s="25"/>
      <c r="J115" s="25"/>
      <c r="K115" s="25"/>
      <c r="L115" s="25"/>
      <c r="M115" s="25"/>
      <c r="N115" s="25"/>
      <c r="O115" s="25"/>
      <c r="P115" s="25"/>
      <c r="Q115" s="25"/>
      <c r="R115" s="25"/>
      <c r="S115" s="25"/>
      <c r="T115" s="25"/>
      <c r="U115" s="25"/>
      <c r="V115" s="25"/>
      <c r="W115" s="25"/>
      <c r="X115" s="25"/>
      <c r="Y115" s="25"/>
      <c r="Z115" s="25"/>
      <c r="AA115" s="25"/>
      <c r="AB115" s="25"/>
      <c r="AC115" s="25"/>
      <c r="AD115" s="25"/>
      <c r="AE115" s="25"/>
      <c r="AF115" s="25"/>
      <c r="AG115" s="25"/>
      <c r="AH115" s="25"/>
      <c r="AI115" s="25"/>
      <c r="AJ115" s="25"/>
      <c r="AK115" s="25"/>
      <c r="AL115" s="25"/>
      <c r="AM115" s="25"/>
      <c r="AN115" s="25"/>
      <c r="AO115" s="25"/>
      <c r="AP115" s="25"/>
      <c r="AQ115" s="25"/>
      <c r="AR115" s="25"/>
      <c r="AS115" s="25"/>
      <c r="AT115" s="25"/>
      <c r="AU115" s="25"/>
      <c r="AV115" s="25"/>
      <c r="AW115" s="25"/>
      <c r="AX115" s="25"/>
      <c r="AY115" s="25"/>
      <c r="AZ115" s="25"/>
      <c r="BA115" s="25"/>
    </row>
    <row r="116" spans="1:53" ht="12.75">
      <c r="A116" s="25"/>
      <c r="B116" s="25"/>
      <c r="C116" s="25"/>
      <c r="D116" s="25"/>
      <c r="E116" s="25"/>
      <c r="F116" s="25"/>
      <c r="G116" s="25"/>
      <c r="H116" s="25"/>
      <c r="I116" s="25"/>
      <c r="J116" s="25"/>
      <c r="K116" s="25"/>
      <c r="L116" s="25"/>
      <c r="M116" s="25"/>
      <c r="N116" s="25"/>
      <c r="O116" s="25"/>
      <c r="P116" s="25"/>
      <c r="Q116" s="25"/>
      <c r="R116" s="25"/>
      <c r="S116" s="25"/>
      <c r="T116" s="25"/>
      <c r="U116" s="25"/>
      <c r="V116" s="25"/>
      <c r="W116" s="25"/>
      <c r="X116" s="25"/>
      <c r="Y116" s="25"/>
      <c r="Z116" s="25"/>
      <c r="AA116" s="25"/>
      <c r="AB116" s="25"/>
      <c r="AC116" s="25"/>
      <c r="AD116" s="25"/>
      <c r="AE116" s="25"/>
      <c r="AF116" s="25"/>
      <c r="AG116" s="25"/>
      <c r="AH116" s="25"/>
      <c r="AI116" s="25"/>
      <c r="AJ116" s="25"/>
      <c r="AK116" s="25"/>
      <c r="AL116" s="25"/>
      <c r="AM116" s="25"/>
      <c r="AN116" s="25"/>
      <c r="AO116" s="25"/>
      <c r="AP116" s="25"/>
      <c r="AQ116" s="25"/>
      <c r="AR116" s="25"/>
      <c r="AS116" s="25"/>
      <c r="AT116" s="25"/>
      <c r="AU116" s="25"/>
      <c r="AV116" s="25"/>
      <c r="AW116" s="25"/>
      <c r="AX116" s="25"/>
      <c r="AY116" s="25"/>
      <c r="AZ116" s="25"/>
      <c r="BA116" s="25"/>
    </row>
    <row r="117" spans="1:53" ht="12.75">
      <c r="A117" s="25"/>
      <c r="B117" s="25"/>
      <c r="C117" s="25"/>
      <c r="D117" s="25"/>
      <c r="E117" s="25"/>
      <c r="F117" s="25"/>
      <c r="G117" s="25"/>
      <c r="H117" s="25"/>
      <c r="I117" s="25"/>
      <c r="J117" s="25"/>
      <c r="K117" s="25"/>
      <c r="L117" s="25"/>
      <c r="M117" s="25"/>
      <c r="N117" s="25"/>
      <c r="O117" s="25"/>
      <c r="P117" s="25"/>
      <c r="Q117" s="25"/>
      <c r="R117" s="25"/>
      <c r="S117" s="25"/>
      <c r="T117" s="25"/>
      <c r="U117" s="25"/>
      <c r="V117" s="25"/>
      <c r="W117" s="25"/>
      <c r="X117" s="25"/>
      <c r="Y117" s="25"/>
      <c r="Z117" s="25"/>
      <c r="AA117" s="25"/>
      <c r="AB117" s="25"/>
      <c r="AC117" s="25"/>
      <c r="AD117" s="25"/>
      <c r="AE117" s="25"/>
      <c r="AF117" s="25"/>
      <c r="AG117" s="25"/>
      <c r="AH117" s="25"/>
      <c r="AI117" s="25"/>
      <c r="AJ117" s="25"/>
      <c r="AK117" s="25"/>
      <c r="AL117" s="25"/>
      <c r="AM117" s="25"/>
      <c r="AN117" s="25"/>
      <c r="AO117" s="25"/>
      <c r="AP117" s="25"/>
      <c r="AQ117" s="25"/>
      <c r="AR117" s="25"/>
      <c r="AS117" s="25"/>
      <c r="AT117" s="25"/>
      <c r="AU117" s="25"/>
      <c r="AV117" s="25"/>
      <c r="AW117" s="25"/>
      <c r="AX117" s="25"/>
      <c r="AY117" s="25"/>
      <c r="AZ117" s="25"/>
      <c r="BA117" s="25"/>
    </row>
    <row r="118" spans="1:53" ht="12.75">
      <c r="A118" s="35"/>
      <c r="B118" s="35"/>
      <c r="C118" s="35"/>
      <c r="D118" s="35"/>
      <c r="E118" s="35"/>
      <c r="F118" s="35"/>
      <c r="G118" s="35"/>
      <c r="H118" s="35"/>
      <c r="I118" s="35"/>
      <c r="J118" s="35"/>
      <c r="K118" s="35"/>
      <c r="L118" s="35"/>
      <c r="M118" s="35"/>
      <c r="N118" s="35"/>
      <c r="O118" s="35"/>
      <c r="P118" s="35"/>
      <c r="Q118" s="35"/>
      <c r="R118" s="35"/>
      <c r="S118" s="35"/>
      <c r="T118" s="35"/>
      <c r="U118" s="35"/>
      <c r="V118" s="35"/>
      <c r="W118" s="35"/>
      <c r="X118" s="35"/>
      <c r="Y118" s="35"/>
      <c r="Z118" s="35"/>
      <c r="AA118" s="35"/>
      <c r="AB118" s="35"/>
      <c r="AC118" s="35"/>
      <c r="AD118" s="35"/>
      <c r="AE118" s="35"/>
      <c r="AF118" s="35"/>
      <c r="AG118" s="25"/>
      <c r="AH118" s="25"/>
      <c r="AI118" s="25"/>
      <c r="AJ118" s="25"/>
      <c r="AK118" s="25"/>
      <c r="AL118" s="25"/>
      <c r="AM118" s="25"/>
      <c r="AN118" s="25"/>
      <c r="AO118" s="25"/>
      <c r="AP118" s="25"/>
      <c r="AQ118" s="25"/>
      <c r="AR118" s="25"/>
      <c r="AS118" s="25"/>
      <c r="AT118" s="25"/>
      <c r="AU118" s="25"/>
      <c r="AV118" s="25"/>
      <c r="AW118" s="25"/>
      <c r="AX118" s="25"/>
      <c r="AY118" s="25"/>
      <c r="AZ118" s="25"/>
      <c r="BA118" s="25"/>
    </row>
    <row r="119" spans="1:53" ht="12.75">
      <c r="A119" s="35"/>
      <c r="B119" s="35"/>
      <c r="C119" s="35"/>
      <c r="D119" s="35"/>
      <c r="E119" s="35"/>
      <c r="F119" s="35"/>
      <c r="G119" s="35"/>
      <c r="H119" s="35"/>
      <c r="I119" s="35"/>
      <c r="J119" s="35"/>
      <c r="K119" s="35"/>
      <c r="L119" s="35"/>
      <c r="M119" s="35"/>
      <c r="N119" s="35"/>
      <c r="O119" s="35"/>
      <c r="P119" s="35"/>
      <c r="Q119" s="35"/>
      <c r="R119" s="35"/>
      <c r="S119" s="35"/>
      <c r="T119" s="35"/>
      <c r="U119" s="35"/>
      <c r="V119" s="35"/>
      <c r="W119" s="35"/>
      <c r="X119" s="35"/>
      <c r="Y119" s="35"/>
      <c r="Z119" s="35"/>
      <c r="AA119" s="35"/>
      <c r="AB119" s="35"/>
      <c r="AC119" s="35"/>
      <c r="AD119" s="35"/>
      <c r="AE119" s="35"/>
      <c r="AF119" s="35"/>
      <c r="AG119" s="25"/>
      <c r="AH119" s="25"/>
      <c r="AI119" s="25"/>
      <c r="AJ119" s="25"/>
      <c r="AK119" s="25"/>
      <c r="AL119" s="25"/>
      <c r="AM119" s="25"/>
      <c r="AN119" s="25"/>
      <c r="AO119" s="25"/>
      <c r="AP119" s="25"/>
      <c r="AQ119" s="25"/>
      <c r="AR119" s="25"/>
      <c r="AS119" s="25"/>
      <c r="AT119" s="25"/>
      <c r="AU119" s="25"/>
      <c r="AV119" s="25"/>
      <c r="AW119" s="25"/>
      <c r="AX119" s="25"/>
      <c r="AY119" s="25"/>
      <c r="AZ119" s="25"/>
      <c r="BA119" s="25"/>
    </row>
    <row r="120" spans="1:53" ht="12.75">
      <c r="A120" s="35"/>
      <c r="B120" s="35"/>
      <c r="C120" s="35"/>
      <c r="D120" s="40" t="s">
        <v>793</v>
      </c>
      <c r="E120" s="35"/>
      <c r="F120" s="35"/>
      <c r="G120" s="35"/>
      <c r="H120" s="35"/>
      <c r="I120" s="35"/>
      <c r="J120" s="35"/>
      <c r="K120" s="35"/>
      <c r="L120" s="35"/>
      <c r="M120" s="35"/>
      <c r="N120" s="35"/>
      <c r="O120" s="35"/>
      <c r="P120" s="35"/>
      <c r="Q120" s="35"/>
      <c r="R120" s="35"/>
      <c r="S120" s="35"/>
      <c r="T120" s="35"/>
      <c r="U120" s="35"/>
      <c r="V120" s="35"/>
      <c r="W120" s="35"/>
      <c r="X120" s="35"/>
      <c r="Y120" s="35"/>
      <c r="Z120" s="35"/>
      <c r="AA120" s="35"/>
      <c r="AB120" s="35"/>
      <c r="AC120" s="35"/>
      <c r="AD120" s="35"/>
      <c r="AE120" s="35"/>
      <c r="AF120" s="35"/>
      <c r="AG120" s="25" t="s">
        <v>900</v>
      </c>
      <c r="AH120" s="25"/>
      <c r="AI120" s="25"/>
      <c r="AJ120" s="25"/>
      <c r="AK120" s="25"/>
      <c r="AL120" s="25"/>
      <c r="AM120" s="25"/>
      <c r="AN120" s="25"/>
      <c r="AO120" s="25"/>
      <c r="AP120" s="25"/>
      <c r="AQ120" s="25"/>
      <c r="AR120" s="25"/>
      <c r="AS120" s="25"/>
      <c r="AT120" s="25"/>
      <c r="AU120" s="25"/>
      <c r="AV120" s="25"/>
      <c r="AW120" s="25"/>
      <c r="AX120" s="25"/>
      <c r="AY120" s="25"/>
      <c r="AZ120" s="25"/>
      <c r="BA120" s="25"/>
    </row>
    <row r="121" spans="1:53" ht="12.75">
      <c r="A121" s="35"/>
      <c r="B121" s="35"/>
      <c r="C121" s="35"/>
      <c r="D121" s="35"/>
      <c r="E121" s="41" t="s">
        <v>794</v>
      </c>
      <c r="F121" s="41" t="s">
        <v>881</v>
      </c>
      <c r="G121" s="35"/>
      <c r="H121" s="35"/>
      <c r="I121" s="35"/>
      <c r="J121" s="35"/>
      <c r="K121" s="35"/>
      <c r="L121" s="35"/>
      <c r="M121" s="35"/>
      <c r="N121" s="35"/>
      <c r="O121" s="35"/>
      <c r="P121" s="35"/>
      <c r="Q121" s="35"/>
      <c r="R121" s="35"/>
      <c r="S121" s="35"/>
      <c r="T121" s="35"/>
      <c r="U121" s="35"/>
      <c r="V121" s="35"/>
      <c r="W121" s="35"/>
      <c r="X121" s="35"/>
      <c r="Y121" s="35"/>
      <c r="Z121" s="35"/>
      <c r="AA121" s="35"/>
      <c r="AB121" s="35"/>
      <c r="AC121" s="35"/>
      <c r="AD121" s="35"/>
      <c r="AE121" s="35"/>
      <c r="AF121" s="35"/>
      <c r="AG121" s="25"/>
      <c r="AH121" s="25"/>
      <c r="AI121" s="25"/>
      <c r="AJ121" s="25"/>
      <c r="AK121" s="25"/>
      <c r="AL121" s="25"/>
      <c r="AM121" s="25"/>
      <c r="AN121" s="25"/>
      <c r="AO121" s="25"/>
      <c r="AP121" s="25"/>
      <c r="AQ121" s="25"/>
      <c r="AR121" s="25"/>
      <c r="AS121" s="25"/>
      <c r="AT121" s="25"/>
      <c r="AU121" s="25"/>
      <c r="AV121" s="25"/>
      <c r="AW121" s="25"/>
      <c r="AX121" s="25"/>
      <c r="AY121" s="25"/>
      <c r="AZ121" s="25"/>
      <c r="BA121" s="25"/>
    </row>
    <row r="122" spans="1:53" ht="12.75">
      <c r="A122" s="35"/>
      <c r="B122" s="35"/>
      <c r="C122" s="35"/>
      <c r="D122" s="35"/>
      <c r="E122" s="41"/>
      <c r="F122" s="41" t="s">
        <v>873</v>
      </c>
      <c r="G122" s="35"/>
      <c r="H122" s="35"/>
      <c r="I122" s="35"/>
      <c r="J122" s="35"/>
      <c r="K122" s="35"/>
      <c r="L122" s="35"/>
      <c r="M122" s="35"/>
      <c r="N122" s="35"/>
      <c r="O122" s="35"/>
      <c r="P122" s="35"/>
      <c r="Q122" s="35"/>
      <c r="R122" s="35"/>
      <c r="S122" s="35"/>
      <c r="T122" s="35"/>
      <c r="U122" s="35"/>
      <c r="V122" s="35"/>
      <c r="W122" s="35"/>
      <c r="X122" s="35"/>
      <c r="Y122" s="35"/>
      <c r="Z122" s="35"/>
      <c r="AA122" s="35"/>
      <c r="AB122" s="35"/>
      <c r="AC122" s="35"/>
      <c r="AD122" s="35"/>
      <c r="AE122" s="35"/>
      <c r="AF122" s="35"/>
      <c r="AG122" s="25"/>
      <c r="AH122" s="25"/>
      <c r="AI122" s="25"/>
      <c r="AJ122" s="25"/>
      <c r="AK122" s="25"/>
      <c r="AL122" s="25"/>
      <c r="AM122" s="25"/>
      <c r="AN122" s="25"/>
      <c r="AO122" s="25"/>
      <c r="AP122" s="25"/>
      <c r="AQ122" s="25"/>
      <c r="AR122" s="25" t="b">
        <v>0</v>
      </c>
      <c r="AS122" s="25"/>
      <c r="AT122" s="25"/>
      <c r="AU122" s="25"/>
      <c r="AV122" s="25"/>
      <c r="AW122" s="25"/>
      <c r="AX122" s="25"/>
      <c r="AY122" s="25"/>
      <c r="AZ122" s="25"/>
      <c r="BA122" s="25"/>
    </row>
    <row r="123" spans="1:53" ht="12.75">
      <c r="A123" s="35"/>
      <c r="B123" s="35"/>
      <c r="C123" s="35"/>
      <c r="D123" s="35"/>
      <c r="E123" s="41" t="s">
        <v>795</v>
      </c>
      <c r="F123" s="41" t="s">
        <v>874</v>
      </c>
      <c r="G123" s="35"/>
      <c r="H123" s="35"/>
      <c r="I123" s="35"/>
      <c r="J123" s="35"/>
      <c r="K123" s="35"/>
      <c r="L123" s="35"/>
      <c r="M123" s="35"/>
      <c r="N123" s="35"/>
      <c r="O123" s="35"/>
      <c r="P123" s="35"/>
      <c r="Q123" s="35"/>
      <c r="R123" s="35"/>
      <c r="S123" s="35"/>
      <c r="T123" s="35"/>
      <c r="U123" s="35"/>
      <c r="V123" s="35"/>
      <c r="W123" s="35"/>
      <c r="X123" s="35"/>
      <c r="Y123" s="35"/>
      <c r="Z123" s="35"/>
      <c r="AA123" s="35"/>
      <c r="AB123" s="35"/>
      <c r="AC123" s="35"/>
      <c r="AD123" s="35"/>
      <c r="AE123" s="35"/>
      <c r="AF123" s="35"/>
      <c r="AG123" s="25"/>
      <c r="AH123" s="25"/>
      <c r="AI123" s="25"/>
      <c r="AJ123" s="25"/>
      <c r="AK123" s="25"/>
      <c r="AL123" s="25"/>
      <c r="AM123" s="25"/>
      <c r="AN123" s="25"/>
      <c r="AO123" s="25"/>
      <c r="AP123" s="25"/>
      <c r="AQ123" s="25"/>
      <c r="AR123" s="25"/>
      <c r="AS123" s="25"/>
      <c r="AT123" s="25"/>
      <c r="AU123" s="25"/>
      <c r="AV123" s="25"/>
      <c r="AW123" s="25"/>
      <c r="AX123" s="25"/>
      <c r="AY123" s="25"/>
      <c r="AZ123" s="25"/>
      <c r="BA123" s="25"/>
    </row>
    <row r="124" spans="1:53" ht="12.75">
      <c r="A124" s="35"/>
      <c r="B124" s="35"/>
      <c r="C124" s="35"/>
      <c r="D124" s="35"/>
      <c r="E124" s="41"/>
      <c r="F124" s="41" t="s">
        <v>797</v>
      </c>
      <c r="G124" s="35"/>
      <c r="H124" s="35"/>
      <c r="I124" s="35"/>
      <c r="J124" s="35"/>
      <c r="K124" s="35"/>
      <c r="L124" s="35"/>
      <c r="M124" s="35"/>
      <c r="N124" s="35"/>
      <c r="O124" s="35"/>
      <c r="P124" s="35"/>
      <c r="Q124" s="35"/>
      <c r="R124" s="35"/>
      <c r="S124" s="35"/>
      <c r="T124" s="35"/>
      <c r="U124" s="35"/>
      <c r="V124" s="35"/>
      <c r="W124" s="35"/>
      <c r="X124" s="35"/>
      <c r="Y124" s="35"/>
      <c r="Z124" s="35"/>
      <c r="AA124" s="35"/>
      <c r="AB124" s="35"/>
      <c r="AC124" s="35"/>
      <c r="AD124" s="35"/>
      <c r="AE124" s="35"/>
      <c r="AF124" s="35"/>
      <c r="AG124" s="25"/>
      <c r="AH124" s="25"/>
      <c r="AI124" s="25"/>
      <c r="AJ124" s="25"/>
      <c r="AK124" s="25"/>
      <c r="AL124" s="25"/>
      <c r="AM124" s="25"/>
      <c r="AN124" s="25"/>
      <c r="AO124" s="25"/>
      <c r="AP124" s="25"/>
      <c r="AQ124" s="25"/>
      <c r="AR124" s="25"/>
      <c r="AS124" s="25"/>
      <c r="AT124" s="25"/>
      <c r="AU124" s="25"/>
      <c r="AV124" s="25"/>
      <c r="AW124" s="25"/>
      <c r="AX124" s="25"/>
      <c r="AY124" s="25"/>
      <c r="AZ124" s="25"/>
      <c r="BA124" s="25"/>
    </row>
    <row r="125" spans="1:53" ht="12.75">
      <c r="A125" s="35"/>
      <c r="B125" s="35"/>
      <c r="C125" s="35"/>
      <c r="D125" s="35"/>
      <c r="E125" s="41" t="s">
        <v>796</v>
      </c>
      <c r="F125" s="41" t="s">
        <v>870</v>
      </c>
      <c r="G125" s="35"/>
      <c r="H125" s="35"/>
      <c r="I125" s="35"/>
      <c r="J125" s="35"/>
      <c r="K125" s="35"/>
      <c r="L125" s="35"/>
      <c r="M125" s="35"/>
      <c r="N125" s="35"/>
      <c r="O125" s="35"/>
      <c r="P125" s="35"/>
      <c r="Q125" s="35"/>
      <c r="R125" s="35"/>
      <c r="S125" s="35"/>
      <c r="T125" s="35"/>
      <c r="U125" s="35"/>
      <c r="V125" s="35"/>
      <c r="W125" s="35"/>
      <c r="X125" s="35"/>
      <c r="Y125" s="35"/>
      <c r="Z125" s="35"/>
      <c r="AA125" s="35"/>
      <c r="AB125" s="35"/>
      <c r="AC125" s="35"/>
      <c r="AD125" s="35"/>
      <c r="AE125" s="35"/>
      <c r="AF125" s="35"/>
      <c r="AG125" s="25"/>
      <c r="AH125" s="25"/>
      <c r="AI125" s="25"/>
      <c r="AJ125" s="25"/>
      <c r="AK125" s="25"/>
      <c r="AL125" s="25"/>
      <c r="AM125" s="25"/>
      <c r="AN125" s="25"/>
      <c r="AO125" s="25"/>
      <c r="AP125" s="25"/>
      <c r="AQ125" s="25"/>
      <c r="AR125" s="25"/>
      <c r="AS125" s="25"/>
      <c r="AT125" s="25"/>
      <c r="AU125" s="25"/>
      <c r="AV125" s="25"/>
      <c r="AW125" s="25"/>
      <c r="AX125" s="25"/>
      <c r="AY125" s="25"/>
      <c r="AZ125" s="25"/>
      <c r="BA125" s="25"/>
    </row>
    <row r="126" spans="1:53" ht="12.75">
      <c r="A126" s="35"/>
      <c r="B126" s="35"/>
      <c r="C126" s="35"/>
      <c r="D126" s="35"/>
      <c r="E126" s="41"/>
      <c r="F126" s="41" t="s">
        <v>877</v>
      </c>
      <c r="G126" s="35"/>
      <c r="H126" s="35"/>
      <c r="I126" s="35"/>
      <c r="J126" s="35"/>
      <c r="K126" s="35"/>
      <c r="L126" s="35"/>
      <c r="M126" s="35"/>
      <c r="N126" s="35"/>
      <c r="O126" s="35"/>
      <c r="P126" s="35"/>
      <c r="Q126" s="35"/>
      <c r="R126" s="35"/>
      <c r="S126" s="35"/>
      <c r="T126" s="35"/>
      <c r="U126" s="35"/>
      <c r="V126" s="35"/>
      <c r="W126" s="35"/>
      <c r="X126" s="35"/>
      <c r="Y126" s="35"/>
      <c r="Z126" s="35"/>
      <c r="AA126" s="35"/>
      <c r="AB126" s="35"/>
      <c r="AC126" s="35"/>
      <c r="AD126" s="35"/>
      <c r="AE126" s="35"/>
      <c r="AF126" s="35"/>
      <c r="AG126" s="25"/>
      <c r="AH126" s="25"/>
      <c r="AI126" s="25"/>
      <c r="AJ126" s="25"/>
      <c r="AK126" s="25"/>
      <c r="AL126" s="25"/>
      <c r="AM126" s="25"/>
      <c r="AN126" s="25"/>
      <c r="AO126" s="25"/>
      <c r="AP126" s="25"/>
      <c r="AQ126" s="25"/>
      <c r="AR126" s="25"/>
      <c r="AS126" s="25"/>
      <c r="AT126" s="25"/>
      <c r="AU126" s="25"/>
      <c r="AV126" s="25"/>
      <c r="AW126" s="25"/>
      <c r="AX126" s="25"/>
      <c r="AY126" s="25"/>
      <c r="AZ126" s="25"/>
      <c r="BA126" s="25"/>
    </row>
    <row r="127" spans="1:53" ht="12.75">
      <c r="A127" s="35"/>
      <c r="B127" s="35"/>
      <c r="C127" s="35"/>
      <c r="D127" s="35"/>
      <c r="E127" s="41"/>
      <c r="F127" s="41" t="s">
        <v>867</v>
      </c>
      <c r="G127" s="35"/>
      <c r="H127" s="35"/>
      <c r="I127" s="35"/>
      <c r="J127" s="35"/>
      <c r="K127" s="35"/>
      <c r="L127" s="35"/>
      <c r="M127" s="35"/>
      <c r="N127" s="35"/>
      <c r="O127" s="35"/>
      <c r="P127" s="35"/>
      <c r="Q127" s="35"/>
      <c r="R127" s="35"/>
      <c r="S127" s="35"/>
      <c r="T127" s="35"/>
      <c r="U127" s="35"/>
      <c r="V127" s="35"/>
      <c r="W127" s="35"/>
      <c r="X127" s="35"/>
      <c r="Y127" s="35"/>
      <c r="Z127" s="35"/>
      <c r="AA127" s="35"/>
      <c r="AB127" s="35"/>
      <c r="AC127" s="35"/>
      <c r="AD127" s="35"/>
      <c r="AE127" s="35"/>
      <c r="AF127" s="35"/>
      <c r="AG127" s="25"/>
      <c r="AH127" s="25"/>
      <c r="AI127" s="25"/>
      <c r="AJ127" s="25"/>
      <c r="AK127" s="25"/>
      <c r="AL127" s="25"/>
      <c r="AM127" s="25"/>
      <c r="AN127" s="25"/>
      <c r="AO127" s="25"/>
      <c r="AP127" s="25"/>
      <c r="AQ127" s="25"/>
      <c r="AR127" s="25"/>
      <c r="AS127" s="25"/>
      <c r="AT127" s="25"/>
      <c r="AU127" s="25"/>
      <c r="AV127" s="25"/>
      <c r="AW127" s="25"/>
      <c r="AX127" s="25"/>
      <c r="AY127" s="25"/>
      <c r="AZ127" s="25"/>
      <c r="BA127" s="25"/>
    </row>
    <row r="128" spans="1:53" ht="12.75">
      <c r="A128" s="35"/>
      <c r="B128" s="35"/>
      <c r="C128" s="35"/>
      <c r="D128" s="35"/>
      <c r="E128" s="41" t="s">
        <v>798</v>
      </c>
      <c r="F128" s="41" t="s">
        <v>868</v>
      </c>
      <c r="G128" s="35"/>
      <c r="H128" s="35"/>
      <c r="I128" s="35"/>
      <c r="J128" s="35"/>
      <c r="K128" s="35"/>
      <c r="L128" s="35"/>
      <c r="M128" s="35"/>
      <c r="N128" s="35"/>
      <c r="O128" s="35"/>
      <c r="P128" s="35"/>
      <c r="Q128" s="35"/>
      <c r="R128" s="35"/>
      <c r="S128" s="35"/>
      <c r="T128" s="35"/>
      <c r="U128" s="35"/>
      <c r="V128" s="35"/>
      <c r="W128" s="35"/>
      <c r="X128" s="35"/>
      <c r="Y128" s="35"/>
      <c r="Z128" s="35"/>
      <c r="AA128" s="35"/>
      <c r="AB128" s="35"/>
      <c r="AC128" s="35"/>
      <c r="AD128" s="35"/>
      <c r="AE128" s="35"/>
      <c r="AF128" s="35"/>
      <c r="AG128" s="25"/>
      <c r="AH128" s="25"/>
      <c r="AI128" s="25"/>
      <c r="AJ128" s="25"/>
      <c r="AK128" s="25"/>
      <c r="AL128" s="25"/>
      <c r="AM128" s="25"/>
      <c r="AN128" s="25"/>
      <c r="AO128" s="25"/>
      <c r="AP128" s="25"/>
      <c r="AQ128" s="25"/>
      <c r="AR128" s="25"/>
      <c r="AS128" s="25"/>
      <c r="AT128" s="25"/>
      <c r="AU128" s="25"/>
      <c r="AV128" s="25"/>
      <c r="AW128" s="25"/>
      <c r="AX128" s="25"/>
      <c r="AY128" s="25"/>
      <c r="AZ128" s="25"/>
      <c r="BA128" s="25"/>
    </row>
    <row r="129" spans="1:61" ht="12.75">
      <c r="A129" s="35"/>
      <c r="B129" s="35"/>
      <c r="C129" s="35"/>
      <c r="D129" s="35"/>
      <c r="E129" s="41"/>
      <c r="F129" s="41" t="s">
        <v>869</v>
      </c>
      <c r="G129" s="35"/>
      <c r="H129" s="35"/>
      <c r="I129" s="35"/>
      <c r="J129" s="35"/>
      <c r="K129" s="35"/>
      <c r="L129" s="35"/>
      <c r="M129" s="35"/>
      <c r="N129" s="35"/>
      <c r="O129" s="35"/>
      <c r="P129" s="35"/>
      <c r="Q129" s="35"/>
      <c r="R129" s="35"/>
      <c r="S129" s="35"/>
      <c r="T129" s="35"/>
      <c r="U129" s="35"/>
      <c r="V129" s="35"/>
      <c r="W129" s="35"/>
      <c r="X129" s="35"/>
      <c r="Y129" s="35"/>
      <c r="Z129" s="35"/>
      <c r="AA129" s="35"/>
      <c r="AB129" s="35"/>
      <c r="AC129" s="35"/>
      <c r="AD129" s="35"/>
      <c r="AE129" s="35"/>
      <c r="AF129" s="35"/>
      <c r="AG129" s="25"/>
      <c r="AH129" s="25"/>
      <c r="AI129" s="25"/>
      <c r="AJ129" s="25"/>
      <c r="AK129" s="25"/>
      <c r="AL129" s="25"/>
      <c r="AM129" s="25"/>
      <c r="AN129" s="25"/>
      <c r="AO129" s="25"/>
      <c r="AP129" s="25"/>
      <c r="AQ129" s="25"/>
      <c r="AR129" s="25"/>
      <c r="AS129" s="25"/>
      <c r="AT129" s="25"/>
      <c r="AU129" s="25"/>
      <c r="AV129" s="25"/>
      <c r="AW129" s="25"/>
      <c r="AX129" s="25"/>
      <c r="AY129" s="25"/>
      <c r="AZ129" s="25"/>
      <c r="BA129" s="25"/>
      <c r="BG129" s="1"/>
      <c r="BH129" s="1"/>
      <c r="BI129" s="1"/>
    </row>
    <row r="130" spans="1:61" ht="12.75">
      <c r="A130" s="35"/>
      <c r="B130" s="35"/>
      <c r="C130" s="35"/>
      <c r="D130" s="35"/>
      <c r="E130" s="41"/>
      <c r="F130" s="41" t="s">
        <v>799</v>
      </c>
      <c r="G130" s="35"/>
      <c r="H130" s="35"/>
      <c r="I130" s="35"/>
      <c r="J130" s="35"/>
      <c r="K130" s="35"/>
      <c r="L130" s="35"/>
      <c r="M130" s="35"/>
      <c r="N130" s="35"/>
      <c r="O130" s="35"/>
      <c r="P130" s="35"/>
      <c r="Q130" s="35"/>
      <c r="R130" s="35"/>
      <c r="S130" s="35"/>
      <c r="T130" s="35"/>
      <c r="U130" s="35"/>
      <c r="V130" s="35"/>
      <c r="W130" s="35"/>
      <c r="X130" s="35"/>
      <c r="Y130" s="35"/>
      <c r="Z130" s="35"/>
      <c r="AA130" s="35"/>
      <c r="AB130" s="35"/>
      <c r="AC130" s="35"/>
      <c r="AD130" s="35"/>
      <c r="AE130" s="35"/>
      <c r="AF130" s="35"/>
      <c r="AG130" s="25"/>
      <c r="AH130" s="25"/>
      <c r="AI130" s="25"/>
      <c r="AJ130" s="25"/>
      <c r="AK130" s="25"/>
      <c r="AL130" s="25"/>
      <c r="AM130" s="25"/>
      <c r="AN130" s="25"/>
      <c r="AO130" s="25"/>
      <c r="AP130" s="25"/>
      <c r="AQ130" s="25"/>
      <c r="AR130" s="25"/>
      <c r="AS130" s="25"/>
      <c r="AT130" s="25"/>
      <c r="AU130" s="25"/>
      <c r="AV130" s="25"/>
      <c r="AW130" s="25"/>
      <c r="AX130" s="25"/>
      <c r="AY130" s="25"/>
      <c r="AZ130" s="25"/>
      <c r="BA130" s="25"/>
      <c r="BG130" s="1"/>
      <c r="BH130" s="1"/>
      <c r="BI130" s="1"/>
    </row>
    <row r="131" spans="1:61" ht="12.75">
      <c r="A131" s="35"/>
      <c r="B131" s="35"/>
      <c r="C131" s="35"/>
      <c r="D131" s="35"/>
      <c r="E131" s="41" t="s">
        <v>800</v>
      </c>
      <c r="F131" s="41" t="s">
        <v>872</v>
      </c>
      <c r="G131" s="35"/>
      <c r="H131" s="35"/>
      <c r="I131" s="35"/>
      <c r="J131" s="35"/>
      <c r="K131" s="35"/>
      <c r="L131" s="35"/>
      <c r="M131" s="35"/>
      <c r="N131" s="35"/>
      <c r="O131" s="35"/>
      <c r="P131" s="35"/>
      <c r="Q131" s="35"/>
      <c r="R131" s="35"/>
      <c r="S131" s="35"/>
      <c r="T131" s="35"/>
      <c r="U131" s="35"/>
      <c r="V131" s="35"/>
      <c r="W131" s="35"/>
      <c r="X131" s="35"/>
      <c r="Y131" s="35"/>
      <c r="Z131" s="35"/>
      <c r="AA131" s="35"/>
      <c r="AB131" s="35"/>
      <c r="AC131" s="35"/>
      <c r="AD131" s="35"/>
      <c r="AE131" s="35"/>
      <c r="AF131" s="35"/>
      <c r="AG131" s="25"/>
      <c r="AH131" s="25"/>
      <c r="AI131" s="25"/>
      <c r="AJ131" s="25"/>
      <c r="AK131" s="25"/>
      <c r="AL131" s="25"/>
      <c r="AM131" s="25"/>
      <c r="AN131" s="25"/>
      <c r="AO131" s="25"/>
      <c r="AP131" s="25"/>
      <c r="AQ131" s="25"/>
      <c r="AR131" s="25"/>
      <c r="AS131" s="25"/>
      <c r="AT131" s="25"/>
      <c r="AU131" s="25"/>
      <c r="AV131" s="25"/>
      <c r="AW131" s="25"/>
      <c r="AX131" s="25"/>
      <c r="AY131" s="25"/>
      <c r="AZ131" s="25"/>
      <c r="BA131" s="25"/>
      <c r="BG131" s="1"/>
      <c r="BH131" s="1"/>
      <c r="BI131" s="1"/>
    </row>
    <row r="132" spans="1:53" ht="12.75">
      <c r="A132" s="35"/>
      <c r="B132" s="35"/>
      <c r="C132" s="35"/>
      <c r="D132" s="35"/>
      <c r="E132" s="41"/>
      <c r="F132" s="41" t="s">
        <v>871</v>
      </c>
      <c r="G132" s="35"/>
      <c r="H132" s="35"/>
      <c r="I132" s="35"/>
      <c r="J132" s="35"/>
      <c r="K132" s="35"/>
      <c r="L132" s="35"/>
      <c r="M132" s="35"/>
      <c r="N132" s="35"/>
      <c r="O132" s="35"/>
      <c r="P132" s="35"/>
      <c r="Q132" s="35"/>
      <c r="R132" s="35"/>
      <c r="S132" s="35"/>
      <c r="T132" s="35"/>
      <c r="U132" s="35"/>
      <c r="V132" s="35"/>
      <c r="W132" s="35"/>
      <c r="X132" s="35"/>
      <c r="Y132" s="35"/>
      <c r="Z132" s="35"/>
      <c r="AA132" s="35"/>
      <c r="AB132" s="35"/>
      <c r="AC132" s="35"/>
      <c r="AD132" s="35"/>
      <c r="AE132" s="35"/>
      <c r="AF132" s="35"/>
      <c r="AG132" s="25"/>
      <c r="AH132" s="25"/>
      <c r="AI132" s="25"/>
      <c r="AJ132" s="25"/>
      <c r="AK132" s="25"/>
      <c r="AL132" s="25"/>
      <c r="AM132" s="25"/>
      <c r="AN132" s="25"/>
      <c r="AO132" s="25"/>
      <c r="AP132" s="25"/>
      <c r="AQ132" s="25"/>
      <c r="AR132" s="25"/>
      <c r="AS132" s="25"/>
      <c r="AT132" s="25"/>
      <c r="AU132" s="25"/>
      <c r="AV132" s="25"/>
      <c r="AW132" s="25"/>
      <c r="AX132" s="25"/>
      <c r="AY132" s="25"/>
      <c r="AZ132" s="25"/>
      <c r="BA132" s="25"/>
    </row>
    <row r="133" spans="1:53" ht="12.75">
      <c r="A133" s="35"/>
      <c r="B133" s="35"/>
      <c r="C133" s="35"/>
      <c r="D133" s="35"/>
      <c r="E133" s="35"/>
      <c r="F133" s="35"/>
      <c r="G133" s="35"/>
      <c r="H133" s="35"/>
      <c r="I133" s="35"/>
      <c r="J133" s="35"/>
      <c r="K133" s="35"/>
      <c r="L133" s="35"/>
      <c r="M133" s="35"/>
      <c r="N133" s="35"/>
      <c r="O133" s="35"/>
      <c r="P133" s="35"/>
      <c r="Q133" s="35"/>
      <c r="R133" s="35"/>
      <c r="S133" s="35"/>
      <c r="T133" s="35"/>
      <c r="U133" s="35"/>
      <c r="V133" s="35"/>
      <c r="W133" s="35"/>
      <c r="X133" s="35"/>
      <c r="Y133" s="35"/>
      <c r="Z133" s="35"/>
      <c r="AA133" s="35"/>
      <c r="AB133" s="35"/>
      <c r="AC133" s="35"/>
      <c r="AD133" s="35"/>
      <c r="AE133" s="35"/>
      <c r="AF133" s="35"/>
      <c r="AG133" s="25"/>
      <c r="AH133" s="25"/>
      <c r="AI133" s="25"/>
      <c r="AJ133" s="25"/>
      <c r="AK133" s="25"/>
      <c r="AL133" s="25"/>
      <c r="AM133" s="25"/>
      <c r="AN133" s="25"/>
      <c r="AO133" s="25"/>
      <c r="AP133" s="25"/>
      <c r="AQ133" s="25"/>
      <c r="AR133" s="25"/>
      <c r="AS133" s="25"/>
      <c r="AT133" s="25"/>
      <c r="AU133" s="25"/>
      <c r="AV133" s="25"/>
      <c r="AW133" s="25"/>
      <c r="AX133" s="25"/>
      <c r="AY133" s="25"/>
      <c r="AZ133" s="25"/>
      <c r="BA133" s="25"/>
    </row>
    <row r="134" spans="1:53" ht="12.75">
      <c r="A134" s="35"/>
      <c r="B134" s="35"/>
      <c r="C134" s="35"/>
      <c r="D134" s="35"/>
      <c r="E134" s="35"/>
      <c r="F134" s="35"/>
      <c r="G134" s="35"/>
      <c r="H134" s="35"/>
      <c r="I134" s="35"/>
      <c r="J134" s="35"/>
      <c r="K134" s="35"/>
      <c r="L134" s="35"/>
      <c r="M134" s="35"/>
      <c r="N134" s="35"/>
      <c r="O134" s="35"/>
      <c r="P134" s="35"/>
      <c r="Q134" s="35"/>
      <c r="R134" s="35"/>
      <c r="S134" s="35"/>
      <c r="T134" s="35"/>
      <c r="U134" s="35"/>
      <c r="V134" s="35"/>
      <c r="W134" s="35"/>
      <c r="X134" s="35"/>
      <c r="Y134" s="35"/>
      <c r="Z134" s="35"/>
      <c r="AA134" s="35"/>
      <c r="AB134" s="35"/>
      <c r="AC134" s="35"/>
      <c r="AD134" s="35"/>
      <c r="AE134" s="35"/>
      <c r="AF134" s="35"/>
      <c r="AG134" s="25"/>
      <c r="AH134" s="25"/>
      <c r="AI134" s="25"/>
      <c r="AJ134" s="25"/>
      <c r="AK134" s="25"/>
      <c r="AL134" s="25"/>
      <c r="AM134" s="25"/>
      <c r="AN134" s="25"/>
      <c r="AO134" s="25"/>
      <c r="AP134" s="25"/>
      <c r="AQ134" s="25"/>
      <c r="AR134" s="25"/>
      <c r="AS134" s="25"/>
      <c r="AT134" s="25"/>
      <c r="AU134" s="25"/>
      <c r="AV134" s="25"/>
      <c r="AW134" s="25"/>
      <c r="AX134" s="25"/>
      <c r="AY134" s="25"/>
      <c r="AZ134" s="25"/>
      <c r="BA134" s="25"/>
    </row>
    <row r="135" spans="1:53" ht="12.75">
      <c r="A135" s="35"/>
      <c r="B135" s="35"/>
      <c r="C135" s="35"/>
      <c r="D135" s="35"/>
      <c r="E135" s="35"/>
      <c r="F135" s="35"/>
      <c r="G135" s="35"/>
      <c r="H135" s="35"/>
      <c r="I135" s="35"/>
      <c r="J135" s="35"/>
      <c r="K135" s="35"/>
      <c r="L135" s="35"/>
      <c r="M135" s="35"/>
      <c r="N135" s="35"/>
      <c r="O135" s="35"/>
      <c r="P135" s="35"/>
      <c r="Q135" s="35"/>
      <c r="R135" s="35"/>
      <c r="S135" s="35"/>
      <c r="T135" s="35"/>
      <c r="U135" s="35"/>
      <c r="V135" s="35"/>
      <c r="W135" s="35"/>
      <c r="X135" s="35"/>
      <c r="Y135" s="35"/>
      <c r="Z135" s="35"/>
      <c r="AA135" s="35"/>
      <c r="AB135" s="35"/>
      <c r="AC135" s="35"/>
      <c r="AD135" s="35"/>
      <c r="AE135" s="35"/>
      <c r="AF135" s="35"/>
      <c r="AG135" s="25"/>
      <c r="AH135" s="25"/>
      <c r="AI135" s="25"/>
      <c r="AJ135" s="25"/>
      <c r="AK135" s="25"/>
      <c r="AL135" s="25"/>
      <c r="AM135" s="25"/>
      <c r="AN135" s="25"/>
      <c r="AO135" s="25"/>
      <c r="AP135" s="25"/>
      <c r="AQ135" s="25"/>
      <c r="AR135" s="25"/>
      <c r="AS135" s="25"/>
      <c r="AT135" s="25"/>
      <c r="AU135" s="25"/>
      <c r="AV135" s="25"/>
      <c r="AW135" s="25"/>
      <c r="AX135" s="25"/>
      <c r="AY135" s="25"/>
      <c r="AZ135" s="25"/>
      <c r="BA135" s="25"/>
    </row>
    <row r="136" spans="1:53" ht="12.75">
      <c r="A136" s="35"/>
      <c r="B136" s="35"/>
      <c r="C136" s="35"/>
      <c r="D136" s="35"/>
      <c r="E136" s="35"/>
      <c r="F136" s="35"/>
      <c r="G136" s="35"/>
      <c r="H136" s="35"/>
      <c r="I136" s="35"/>
      <c r="J136" s="35"/>
      <c r="K136" s="35"/>
      <c r="L136" s="35"/>
      <c r="M136" s="35"/>
      <c r="N136" s="35"/>
      <c r="O136" s="35"/>
      <c r="P136" s="35"/>
      <c r="Q136" s="35"/>
      <c r="R136" s="35"/>
      <c r="S136" s="35"/>
      <c r="T136" s="35"/>
      <c r="U136" s="35"/>
      <c r="V136" s="35"/>
      <c r="W136" s="35"/>
      <c r="X136" s="35"/>
      <c r="Y136" s="35"/>
      <c r="Z136" s="35"/>
      <c r="AA136" s="35"/>
      <c r="AB136" s="35"/>
      <c r="AC136" s="35"/>
      <c r="AD136" s="35"/>
      <c r="AE136" s="35"/>
      <c r="AF136" s="35"/>
      <c r="AG136" s="25"/>
      <c r="AH136" s="25"/>
      <c r="AI136" s="25"/>
      <c r="AJ136" s="25"/>
      <c r="AK136" s="25"/>
      <c r="AL136" s="25"/>
      <c r="AM136" s="25"/>
      <c r="AN136" s="25"/>
      <c r="AO136" s="25"/>
      <c r="AP136" s="25"/>
      <c r="AQ136" s="25"/>
      <c r="AR136" s="25"/>
      <c r="AS136" s="25"/>
      <c r="AT136" s="25"/>
      <c r="AU136" s="25"/>
      <c r="AV136" s="25"/>
      <c r="AW136" s="25"/>
      <c r="AX136" s="25"/>
      <c r="AY136" s="25"/>
      <c r="AZ136" s="25"/>
      <c r="BA136" s="25"/>
    </row>
    <row r="137" spans="1:53" ht="12.75">
      <c r="A137" s="35"/>
      <c r="B137" s="35"/>
      <c r="C137" s="35"/>
      <c r="D137" s="35"/>
      <c r="E137" s="35"/>
      <c r="F137" s="35"/>
      <c r="G137" s="35"/>
      <c r="H137" s="35"/>
      <c r="I137" s="35"/>
      <c r="J137" s="35"/>
      <c r="K137" s="35"/>
      <c r="L137" s="35"/>
      <c r="M137" s="35"/>
      <c r="N137" s="35"/>
      <c r="O137" s="35"/>
      <c r="P137" s="35"/>
      <c r="Q137" s="35"/>
      <c r="R137" s="35"/>
      <c r="S137" s="35"/>
      <c r="T137" s="35"/>
      <c r="U137" s="35"/>
      <c r="V137" s="35"/>
      <c r="W137" s="35"/>
      <c r="X137" s="35"/>
      <c r="Y137" s="35"/>
      <c r="Z137" s="35"/>
      <c r="AA137" s="35"/>
      <c r="AB137" s="35"/>
      <c r="AC137" s="35"/>
      <c r="AD137" s="35"/>
      <c r="AE137" s="35"/>
      <c r="AF137" s="35"/>
      <c r="AG137" s="25"/>
      <c r="AH137" s="25"/>
      <c r="AI137" s="25"/>
      <c r="AJ137" s="25"/>
      <c r="AK137" s="25"/>
      <c r="AL137" s="25"/>
      <c r="AM137" s="25"/>
      <c r="AN137" s="25"/>
      <c r="AO137" s="25"/>
      <c r="AP137" s="25"/>
      <c r="AQ137" s="25"/>
      <c r="AR137" s="25"/>
      <c r="AS137" s="25"/>
      <c r="AT137" s="25"/>
      <c r="AU137" s="25"/>
      <c r="AV137" s="25"/>
      <c r="AW137" s="25"/>
      <c r="AX137" s="25"/>
      <c r="AY137" s="25"/>
      <c r="AZ137" s="25"/>
      <c r="BA137" s="25"/>
    </row>
    <row r="138" spans="1:53" ht="12.75">
      <c r="A138" s="35"/>
      <c r="B138" s="35"/>
      <c r="C138" s="35"/>
      <c r="D138" s="35"/>
      <c r="E138" s="35"/>
      <c r="F138" s="35"/>
      <c r="G138" s="35"/>
      <c r="H138" s="35"/>
      <c r="I138" s="35"/>
      <c r="J138" s="35"/>
      <c r="K138" s="35"/>
      <c r="L138" s="35"/>
      <c r="M138" s="35"/>
      <c r="N138" s="35"/>
      <c r="O138" s="35"/>
      <c r="P138" s="35"/>
      <c r="Q138" s="35"/>
      <c r="R138" s="35"/>
      <c r="S138" s="35"/>
      <c r="T138" s="35"/>
      <c r="U138" s="35"/>
      <c r="V138" s="35"/>
      <c r="W138" s="35"/>
      <c r="X138" s="35"/>
      <c r="Y138" s="35"/>
      <c r="Z138" s="35"/>
      <c r="AA138" s="35"/>
      <c r="AB138" s="35"/>
      <c r="AC138" s="35"/>
      <c r="AD138" s="35"/>
      <c r="AE138" s="35"/>
      <c r="AF138" s="35"/>
      <c r="AG138" s="25"/>
      <c r="AH138" s="25"/>
      <c r="AI138" s="25"/>
      <c r="AJ138" s="25"/>
      <c r="AK138" s="25"/>
      <c r="AL138" s="25"/>
      <c r="AM138" s="25"/>
      <c r="AN138" s="25"/>
      <c r="AO138" s="25"/>
      <c r="AP138" s="25"/>
      <c r="AQ138" s="25"/>
      <c r="AR138" s="25"/>
      <c r="AS138" s="25"/>
      <c r="AT138" s="25"/>
      <c r="AU138" s="25"/>
      <c r="AV138" s="25"/>
      <c r="AW138" s="25"/>
      <c r="AX138" s="25"/>
      <c r="AY138" s="25"/>
      <c r="AZ138" s="25"/>
      <c r="BA138" s="25"/>
    </row>
    <row r="139" spans="1:53" ht="12.75">
      <c r="A139" s="35"/>
      <c r="B139" s="35"/>
      <c r="C139" s="35"/>
      <c r="D139" s="35"/>
      <c r="E139" s="35"/>
      <c r="F139" s="35"/>
      <c r="G139" s="35"/>
      <c r="H139" s="35"/>
      <c r="I139" s="35"/>
      <c r="J139" s="35"/>
      <c r="K139" s="35"/>
      <c r="L139" s="35"/>
      <c r="M139" s="35"/>
      <c r="N139" s="35"/>
      <c r="O139" s="35"/>
      <c r="P139" s="35"/>
      <c r="Q139" s="35"/>
      <c r="R139" s="35"/>
      <c r="S139" s="35"/>
      <c r="T139" s="35"/>
      <c r="U139" s="35"/>
      <c r="V139" s="35"/>
      <c r="W139" s="35"/>
      <c r="X139" s="35"/>
      <c r="Y139" s="35"/>
      <c r="Z139" s="35"/>
      <c r="AA139" s="35"/>
      <c r="AB139" s="35"/>
      <c r="AC139" s="35"/>
      <c r="AD139" s="35"/>
      <c r="AE139" s="35"/>
      <c r="AF139" s="35"/>
      <c r="AG139" s="25"/>
      <c r="AH139" s="25"/>
      <c r="AI139" s="25"/>
      <c r="AJ139" s="25"/>
      <c r="AK139" s="25"/>
      <c r="AL139" s="25"/>
      <c r="AM139" s="25"/>
      <c r="AN139" s="25"/>
      <c r="AO139" s="25"/>
      <c r="AP139" s="25"/>
      <c r="AQ139" s="25"/>
      <c r="AR139" s="25"/>
      <c r="AS139" s="25"/>
      <c r="AT139" s="25"/>
      <c r="AU139" s="25"/>
      <c r="AV139" s="25"/>
      <c r="AW139" s="25"/>
      <c r="AX139" s="25"/>
      <c r="AY139" s="25"/>
      <c r="AZ139" s="25"/>
      <c r="BA139" s="25"/>
    </row>
    <row r="140" spans="1:53" ht="12.75">
      <c r="A140" s="35"/>
      <c r="B140" s="35"/>
      <c r="C140" s="35"/>
      <c r="D140" s="40" t="s">
        <v>876</v>
      </c>
      <c r="E140" s="35"/>
      <c r="F140" s="35"/>
      <c r="G140" s="35"/>
      <c r="H140" s="35"/>
      <c r="I140" s="35"/>
      <c r="J140" s="35"/>
      <c r="K140" s="35"/>
      <c r="L140" s="35"/>
      <c r="M140" s="35"/>
      <c r="N140" s="35"/>
      <c r="O140" s="35"/>
      <c r="P140" s="35"/>
      <c r="Q140" s="35"/>
      <c r="R140" s="35"/>
      <c r="S140" s="35"/>
      <c r="T140" s="35"/>
      <c r="U140" s="35"/>
      <c r="V140" s="35"/>
      <c r="W140" s="35"/>
      <c r="X140" s="35"/>
      <c r="Y140" s="35"/>
      <c r="Z140" s="35"/>
      <c r="AA140" s="35"/>
      <c r="AB140" s="35"/>
      <c r="AC140" s="35"/>
      <c r="AD140" s="35"/>
      <c r="AE140" s="35"/>
      <c r="AF140" s="35"/>
      <c r="AG140" s="25" t="s">
        <v>902</v>
      </c>
      <c r="AH140" s="25"/>
      <c r="AI140" s="25"/>
      <c r="AJ140" s="25"/>
      <c r="AK140" s="25"/>
      <c r="AL140" s="25"/>
      <c r="AM140" s="25"/>
      <c r="AN140" s="25"/>
      <c r="AO140" s="25"/>
      <c r="AP140" s="25"/>
      <c r="AQ140" s="25"/>
      <c r="AR140" s="25"/>
      <c r="AS140" s="25"/>
      <c r="AT140" s="25"/>
      <c r="AU140" s="25"/>
      <c r="AV140" s="25"/>
      <c r="AW140" s="25"/>
      <c r="AX140" s="25"/>
      <c r="AY140" s="25"/>
      <c r="AZ140" s="25"/>
      <c r="BA140" s="25"/>
    </row>
    <row r="141" spans="1:53" ht="12.75">
      <c r="A141" s="35"/>
      <c r="B141" s="35"/>
      <c r="C141" s="35"/>
      <c r="D141" s="35"/>
      <c r="E141" s="41" t="s">
        <v>794</v>
      </c>
      <c r="F141" s="41" t="s">
        <v>892</v>
      </c>
      <c r="G141" s="35"/>
      <c r="H141" s="35"/>
      <c r="I141" s="35"/>
      <c r="J141" s="35"/>
      <c r="K141" s="35"/>
      <c r="L141" s="35"/>
      <c r="M141" s="35"/>
      <c r="N141" s="35"/>
      <c r="O141" s="35"/>
      <c r="P141" s="35"/>
      <c r="Q141" s="35"/>
      <c r="R141" s="35"/>
      <c r="S141" s="35"/>
      <c r="T141" s="35"/>
      <c r="U141" s="35"/>
      <c r="V141" s="35"/>
      <c r="W141" s="35"/>
      <c r="X141" s="35"/>
      <c r="Y141" s="35"/>
      <c r="Z141" s="35"/>
      <c r="AA141" s="35"/>
      <c r="AB141" s="35"/>
      <c r="AC141" s="35"/>
      <c r="AD141" s="35"/>
      <c r="AE141" s="35"/>
      <c r="AF141" s="35"/>
      <c r="AG141" s="25"/>
      <c r="AH141" s="25"/>
      <c r="AI141" s="25"/>
      <c r="AJ141" s="25"/>
      <c r="AK141" s="25"/>
      <c r="AL141" s="25"/>
      <c r="AM141" s="25"/>
      <c r="AN141" s="25"/>
      <c r="AO141" s="25"/>
      <c r="AP141" s="25"/>
      <c r="AQ141" s="25"/>
      <c r="AR141" s="25"/>
      <c r="AS141" s="25"/>
      <c r="AT141" s="25"/>
      <c r="AU141" s="25"/>
      <c r="AV141" s="25"/>
      <c r="AW141" s="25"/>
      <c r="AX141" s="25"/>
      <c r="AY141" s="25"/>
      <c r="AZ141" s="25"/>
      <c r="BA141" s="25"/>
    </row>
    <row r="142" spans="1:53" ht="12.75">
      <c r="A142" s="35"/>
      <c r="B142" s="35"/>
      <c r="C142" s="35"/>
      <c r="D142" s="35"/>
      <c r="E142" s="41"/>
      <c r="F142" s="41" t="s">
        <v>893</v>
      </c>
      <c r="G142" s="35"/>
      <c r="H142" s="35"/>
      <c r="I142" s="35"/>
      <c r="J142" s="35"/>
      <c r="K142" s="35"/>
      <c r="L142" s="35"/>
      <c r="M142" s="35"/>
      <c r="N142" s="35"/>
      <c r="O142" s="35"/>
      <c r="P142" s="35"/>
      <c r="Q142" s="35"/>
      <c r="R142" s="35"/>
      <c r="S142" s="35"/>
      <c r="T142" s="35"/>
      <c r="U142" s="35"/>
      <c r="V142" s="35"/>
      <c r="W142" s="35"/>
      <c r="X142" s="35"/>
      <c r="Y142" s="35"/>
      <c r="Z142" s="35"/>
      <c r="AA142" s="35"/>
      <c r="AB142" s="35"/>
      <c r="AC142" s="35"/>
      <c r="AD142" s="35"/>
      <c r="AE142" s="35"/>
      <c r="AF142" s="35"/>
      <c r="AG142" s="25"/>
      <c r="AH142" s="25"/>
      <c r="AI142" s="25"/>
      <c r="AJ142" s="25"/>
      <c r="AK142" s="25"/>
      <c r="AL142" s="25"/>
      <c r="AM142" s="25"/>
      <c r="AN142" s="25"/>
      <c r="AO142" s="25"/>
      <c r="AP142" s="25"/>
      <c r="AQ142" s="25"/>
      <c r="AR142" s="25"/>
      <c r="AS142" s="25"/>
      <c r="AT142" s="25"/>
      <c r="AU142" s="25"/>
      <c r="AV142" s="25"/>
      <c r="AW142" s="25"/>
      <c r="AX142" s="25"/>
      <c r="AY142" s="25"/>
      <c r="AZ142" s="25"/>
      <c r="BA142" s="25"/>
    </row>
    <row r="143" spans="1:53" ht="12.75">
      <c r="A143" s="35"/>
      <c r="B143" s="35"/>
      <c r="C143" s="35"/>
      <c r="D143" s="35"/>
      <c r="E143" s="41"/>
      <c r="F143" s="35" t="s">
        <v>894</v>
      </c>
      <c r="G143" s="35"/>
      <c r="H143" s="35"/>
      <c r="I143" s="35"/>
      <c r="J143" s="35"/>
      <c r="K143" s="35"/>
      <c r="L143" s="35"/>
      <c r="M143" s="35"/>
      <c r="N143" s="35"/>
      <c r="O143" s="35"/>
      <c r="P143" s="35"/>
      <c r="Q143" s="35"/>
      <c r="R143" s="35"/>
      <c r="S143" s="35"/>
      <c r="T143" s="35"/>
      <c r="U143" s="35"/>
      <c r="V143" s="35"/>
      <c r="W143" s="35"/>
      <c r="X143" s="35"/>
      <c r="Y143" s="35"/>
      <c r="Z143" s="35"/>
      <c r="AA143" s="35"/>
      <c r="AB143" s="35"/>
      <c r="AC143" s="35"/>
      <c r="AD143" s="35"/>
      <c r="AE143" s="35"/>
      <c r="AF143" s="35"/>
      <c r="AG143" s="25"/>
      <c r="AH143" s="25"/>
      <c r="AI143" s="25"/>
      <c r="AJ143" s="25"/>
      <c r="AK143" s="25"/>
      <c r="AL143" s="25"/>
      <c r="AM143" s="25"/>
      <c r="AN143" s="25"/>
      <c r="AO143" s="25"/>
      <c r="AP143" s="25"/>
      <c r="AQ143" s="25"/>
      <c r="AR143" s="25"/>
      <c r="AS143" s="25"/>
      <c r="AT143" s="25"/>
      <c r="AU143" s="25"/>
      <c r="AV143" s="25"/>
      <c r="AW143" s="25"/>
      <c r="AX143" s="25"/>
      <c r="AY143" s="25"/>
      <c r="AZ143" s="25"/>
      <c r="BA143" s="25"/>
    </row>
    <row r="144" spans="1:53" ht="12.75">
      <c r="A144" s="35"/>
      <c r="B144" s="35"/>
      <c r="C144" s="35"/>
      <c r="D144" s="35"/>
      <c r="E144" s="41" t="s">
        <v>795</v>
      </c>
      <c r="F144" s="41" t="s">
        <v>880</v>
      </c>
      <c r="G144" s="35"/>
      <c r="H144" s="35"/>
      <c r="I144" s="35"/>
      <c r="J144" s="35"/>
      <c r="K144" s="35"/>
      <c r="L144" s="35"/>
      <c r="M144" s="35"/>
      <c r="N144" s="35"/>
      <c r="O144" s="35"/>
      <c r="P144" s="35"/>
      <c r="Q144" s="35"/>
      <c r="R144" s="35"/>
      <c r="S144" s="35"/>
      <c r="T144" s="35"/>
      <c r="U144" s="35"/>
      <c r="V144" s="35"/>
      <c r="W144" s="35"/>
      <c r="X144" s="35"/>
      <c r="Y144" s="35"/>
      <c r="Z144" s="35"/>
      <c r="AA144" s="35"/>
      <c r="AB144" s="35"/>
      <c r="AC144" s="35"/>
      <c r="AD144" s="35"/>
      <c r="AE144" s="35"/>
      <c r="AF144" s="35"/>
      <c r="AG144" s="25"/>
      <c r="AH144" s="25"/>
      <c r="AI144" s="25"/>
      <c r="AJ144" s="25"/>
      <c r="AK144" s="25"/>
      <c r="AL144" s="25"/>
      <c r="AM144" s="25"/>
      <c r="AN144" s="25"/>
      <c r="AO144" s="25"/>
      <c r="AP144" s="25"/>
      <c r="AQ144" s="25"/>
      <c r="AR144" s="25"/>
      <c r="AS144" s="25"/>
      <c r="AT144" s="25"/>
      <c r="AU144" s="25"/>
      <c r="AV144" s="25"/>
      <c r="AW144" s="25"/>
      <c r="AX144" s="25"/>
      <c r="AY144" s="25"/>
      <c r="AZ144" s="25"/>
      <c r="BA144" s="25"/>
    </row>
    <row r="145" spans="1:53" ht="12.75">
      <c r="A145" s="35"/>
      <c r="B145" s="35"/>
      <c r="C145" s="35"/>
      <c r="D145" s="35"/>
      <c r="E145" s="41"/>
      <c r="F145" s="41" t="s">
        <v>873</v>
      </c>
      <c r="G145" s="35"/>
      <c r="H145" s="35"/>
      <c r="I145" s="35"/>
      <c r="J145" s="35"/>
      <c r="K145" s="35"/>
      <c r="L145" s="35"/>
      <c r="M145" s="35"/>
      <c r="N145" s="35"/>
      <c r="O145" s="35"/>
      <c r="P145" s="35"/>
      <c r="Q145" s="35"/>
      <c r="R145" s="35"/>
      <c r="S145" s="35"/>
      <c r="T145" s="35"/>
      <c r="U145" s="35"/>
      <c r="V145" s="35"/>
      <c r="W145" s="35"/>
      <c r="X145" s="35"/>
      <c r="Y145" s="35"/>
      <c r="Z145" s="35"/>
      <c r="AA145" s="35"/>
      <c r="AB145" s="35"/>
      <c r="AC145" s="35"/>
      <c r="AD145" s="35"/>
      <c r="AE145" s="35"/>
      <c r="AF145" s="35"/>
      <c r="AG145" s="25"/>
      <c r="AH145" s="25"/>
      <c r="AI145" s="25"/>
      <c r="AJ145" s="25"/>
      <c r="AK145" s="25"/>
      <c r="AL145" s="25"/>
      <c r="AM145" s="25"/>
      <c r="AN145" s="25"/>
      <c r="AO145" s="25"/>
      <c r="AP145" s="25"/>
      <c r="AQ145" s="25"/>
      <c r="AR145" s="25"/>
      <c r="AS145" s="25"/>
      <c r="AT145" s="25"/>
      <c r="AU145" s="25"/>
      <c r="AV145" s="25"/>
      <c r="AW145" s="25"/>
      <c r="AX145" s="25"/>
      <c r="AY145" s="25"/>
      <c r="AZ145" s="25"/>
      <c r="BA145" s="25"/>
    </row>
    <row r="146" spans="1:53" ht="12.75">
      <c r="A146" s="35"/>
      <c r="B146" s="35"/>
      <c r="C146" s="35"/>
      <c r="D146" s="35"/>
      <c r="E146" s="41" t="s">
        <v>796</v>
      </c>
      <c r="F146" s="41" t="s">
        <v>878</v>
      </c>
      <c r="G146" s="35"/>
      <c r="H146" s="35"/>
      <c r="I146" s="35"/>
      <c r="J146" s="35"/>
      <c r="K146" s="35"/>
      <c r="L146" s="35"/>
      <c r="M146" s="35"/>
      <c r="N146" s="35"/>
      <c r="O146" s="35"/>
      <c r="P146" s="35"/>
      <c r="Q146" s="35"/>
      <c r="R146" s="35"/>
      <c r="S146" s="35"/>
      <c r="T146" s="35"/>
      <c r="U146" s="35"/>
      <c r="V146" s="35"/>
      <c r="W146" s="35"/>
      <c r="X146" s="35"/>
      <c r="Y146" s="35"/>
      <c r="Z146" s="35"/>
      <c r="AA146" s="35"/>
      <c r="AB146" s="35"/>
      <c r="AC146" s="35"/>
      <c r="AD146" s="35"/>
      <c r="AE146" s="35"/>
      <c r="AF146" s="35"/>
      <c r="AG146" s="25"/>
      <c r="AH146" s="25"/>
      <c r="AI146" s="25"/>
      <c r="AJ146" s="25"/>
      <c r="AK146" s="25"/>
      <c r="AL146" s="25"/>
      <c r="AM146" s="25"/>
      <c r="AN146" s="25"/>
      <c r="AO146" s="25"/>
      <c r="AP146" s="25"/>
      <c r="AQ146" s="25"/>
      <c r="AR146" s="25"/>
      <c r="AS146" s="25"/>
      <c r="AT146" s="25"/>
      <c r="AU146" s="25"/>
      <c r="AV146" s="25"/>
      <c r="AW146" s="25"/>
      <c r="AX146" s="25"/>
      <c r="AY146" s="25"/>
      <c r="AZ146" s="25"/>
      <c r="BA146" s="25"/>
    </row>
    <row r="147" spans="1:53" ht="12.75">
      <c r="A147" s="35"/>
      <c r="B147" s="35"/>
      <c r="C147" s="35"/>
      <c r="D147" s="35"/>
      <c r="E147" s="41"/>
      <c r="F147" s="41" t="s">
        <v>897</v>
      </c>
      <c r="G147" s="35"/>
      <c r="H147" s="35"/>
      <c r="I147" s="35"/>
      <c r="J147" s="35"/>
      <c r="K147" s="35"/>
      <c r="L147" s="35"/>
      <c r="M147" s="35"/>
      <c r="N147" s="35"/>
      <c r="O147" s="35"/>
      <c r="P147" s="35"/>
      <c r="Q147" s="35"/>
      <c r="R147" s="35"/>
      <c r="S147" s="35"/>
      <c r="T147" s="35"/>
      <c r="U147" s="35"/>
      <c r="V147" s="35"/>
      <c r="W147" s="35"/>
      <c r="X147" s="35"/>
      <c r="Y147" s="35"/>
      <c r="Z147" s="35"/>
      <c r="AA147" s="35"/>
      <c r="AB147" s="35"/>
      <c r="AC147" s="35"/>
      <c r="AD147" s="35"/>
      <c r="AE147" s="35"/>
      <c r="AF147" s="35"/>
      <c r="AG147" s="25"/>
      <c r="AH147" s="25"/>
      <c r="AI147" s="25"/>
      <c r="AJ147" s="25"/>
      <c r="AK147" s="25"/>
      <c r="AL147" s="25"/>
      <c r="AM147" s="25"/>
      <c r="AN147" s="25"/>
      <c r="AO147" s="25"/>
      <c r="AP147" s="25"/>
      <c r="AQ147" s="25"/>
      <c r="AR147" s="25"/>
      <c r="AS147" s="25"/>
      <c r="AT147" s="25"/>
      <c r="AU147" s="25"/>
      <c r="AV147" s="25"/>
      <c r="AW147" s="25"/>
      <c r="AX147" s="25"/>
      <c r="AY147" s="25"/>
      <c r="AZ147" s="25"/>
      <c r="BA147" s="25"/>
    </row>
    <row r="148" spans="1:53" ht="12.75">
      <c r="A148" s="35"/>
      <c r="B148" s="35"/>
      <c r="C148" s="35"/>
      <c r="D148" s="35"/>
      <c r="E148" s="41"/>
      <c r="F148" s="41" t="s">
        <v>898</v>
      </c>
      <c r="G148" s="35"/>
      <c r="H148" s="35"/>
      <c r="I148" s="35"/>
      <c r="J148" s="35"/>
      <c r="K148" s="35"/>
      <c r="L148" s="35"/>
      <c r="M148" s="35"/>
      <c r="N148" s="35"/>
      <c r="O148" s="35"/>
      <c r="P148" s="35"/>
      <c r="Q148" s="35"/>
      <c r="R148" s="35"/>
      <c r="S148" s="35"/>
      <c r="T148" s="35"/>
      <c r="U148" s="35"/>
      <c r="V148" s="35"/>
      <c r="W148" s="35"/>
      <c r="X148" s="35"/>
      <c r="Y148" s="35"/>
      <c r="Z148" s="35"/>
      <c r="AA148" s="35"/>
      <c r="AB148" s="35"/>
      <c r="AC148" s="35"/>
      <c r="AD148" s="35"/>
      <c r="AE148" s="35"/>
      <c r="AF148" s="35"/>
      <c r="AG148" s="25"/>
      <c r="AH148" s="25"/>
      <c r="AI148" s="25"/>
      <c r="AJ148" s="25"/>
      <c r="AK148" s="25"/>
      <c r="AL148" s="25"/>
      <c r="AM148" s="25"/>
      <c r="AN148" s="25"/>
      <c r="AO148" s="25"/>
      <c r="AP148" s="25"/>
      <c r="AQ148" s="25"/>
      <c r="AR148" s="25"/>
      <c r="AS148" s="25"/>
      <c r="AT148" s="25"/>
      <c r="AU148" s="25"/>
      <c r="AV148" s="25"/>
      <c r="AW148" s="25"/>
      <c r="AX148" s="25"/>
      <c r="AY148" s="25"/>
      <c r="AZ148" s="25"/>
      <c r="BA148" s="25"/>
    </row>
    <row r="149" spans="1:53" ht="12.75">
      <c r="A149" s="35"/>
      <c r="B149" s="35"/>
      <c r="C149" s="35"/>
      <c r="D149" s="35"/>
      <c r="E149" s="41" t="s">
        <v>798</v>
      </c>
      <c r="F149" s="41" t="s">
        <v>882</v>
      </c>
      <c r="G149" s="35"/>
      <c r="H149" s="35"/>
      <c r="I149" s="35"/>
      <c r="J149" s="35"/>
      <c r="K149" s="35"/>
      <c r="L149" s="35"/>
      <c r="M149" s="35"/>
      <c r="N149" s="35"/>
      <c r="O149" s="35"/>
      <c r="P149" s="35"/>
      <c r="Q149" s="35"/>
      <c r="R149" s="35"/>
      <c r="S149" s="35"/>
      <c r="T149" s="35"/>
      <c r="U149" s="35"/>
      <c r="V149" s="35"/>
      <c r="W149" s="35"/>
      <c r="X149" s="35"/>
      <c r="Y149" s="35"/>
      <c r="Z149" s="35"/>
      <c r="AA149" s="35"/>
      <c r="AB149" s="35"/>
      <c r="AC149" s="35"/>
      <c r="AD149" s="35"/>
      <c r="AE149" s="35"/>
      <c r="AF149" s="35"/>
      <c r="AG149" s="25"/>
      <c r="AH149" s="25"/>
      <c r="AI149" s="25"/>
      <c r="AJ149" s="25"/>
      <c r="AK149" s="25"/>
      <c r="AL149" s="25"/>
      <c r="AM149" s="25"/>
      <c r="AN149" s="25"/>
      <c r="AO149" s="25"/>
      <c r="AP149" s="25"/>
      <c r="AQ149" s="25"/>
      <c r="AR149" s="25"/>
      <c r="AS149" s="25"/>
      <c r="AT149" s="25"/>
      <c r="AU149" s="25"/>
      <c r="AV149" s="25"/>
      <c r="AW149" s="25"/>
      <c r="AX149" s="25"/>
      <c r="AY149" s="25"/>
      <c r="AZ149" s="25"/>
      <c r="BA149" s="25"/>
    </row>
    <row r="150" spans="1:53" ht="12.75">
      <c r="A150" s="35"/>
      <c r="B150" s="35"/>
      <c r="C150" s="35"/>
      <c r="D150" s="35"/>
      <c r="E150" s="41"/>
      <c r="F150" s="41" t="s">
        <v>883</v>
      </c>
      <c r="G150" s="35"/>
      <c r="H150" s="35"/>
      <c r="I150" s="35"/>
      <c r="J150" s="35"/>
      <c r="K150" s="35"/>
      <c r="L150" s="35"/>
      <c r="M150" s="35"/>
      <c r="N150" s="35"/>
      <c r="O150" s="35"/>
      <c r="P150" s="35"/>
      <c r="Q150" s="35"/>
      <c r="R150" s="35"/>
      <c r="S150" s="35"/>
      <c r="T150" s="35"/>
      <c r="U150" s="35"/>
      <c r="V150" s="35"/>
      <c r="W150" s="35"/>
      <c r="X150" s="35"/>
      <c r="Y150" s="35"/>
      <c r="Z150" s="35"/>
      <c r="AA150" s="35"/>
      <c r="AB150" s="35"/>
      <c r="AC150" s="35"/>
      <c r="AD150" s="35"/>
      <c r="AE150" s="35"/>
      <c r="AF150" s="35"/>
      <c r="AG150" s="25"/>
      <c r="AH150" s="25"/>
      <c r="AI150" s="25"/>
      <c r="AJ150" s="25"/>
      <c r="AK150" s="25"/>
      <c r="AL150" s="25"/>
      <c r="AM150" s="25"/>
      <c r="AN150" s="25"/>
      <c r="AO150" s="25"/>
      <c r="AP150" s="25"/>
      <c r="AQ150" s="25"/>
      <c r="AR150" s="25"/>
      <c r="AS150" s="25"/>
      <c r="AT150" s="25"/>
      <c r="AU150" s="25"/>
      <c r="AV150" s="25"/>
      <c r="AW150" s="25"/>
      <c r="AX150" s="25"/>
      <c r="AY150" s="25"/>
      <c r="AZ150" s="25"/>
      <c r="BA150" s="25"/>
    </row>
    <row r="151" spans="1:53" ht="12.75">
      <c r="A151" s="35"/>
      <c r="B151" s="35"/>
      <c r="C151" s="35"/>
      <c r="D151" s="35"/>
      <c r="E151" s="41"/>
      <c r="F151" s="41" t="s">
        <v>884</v>
      </c>
      <c r="G151" s="35"/>
      <c r="H151" s="35"/>
      <c r="I151" s="35"/>
      <c r="J151" s="35"/>
      <c r="K151" s="35"/>
      <c r="L151" s="35"/>
      <c r="M151" s="35"/>
      <c r="N151" s="35"/>
      <c r="O151" s="35"/>
      <c r="P151" s="35"/>
      <c r="Q151" s="35"/>
      <c r="R151" s="35"/>
      <c r="S151" s="35"/>
      <c r="T151" s="35"/>
      <c r="U151" s="35"/>
      <c r="V151" s="35"/>
      <c r="W151" s="35"/>
      <c r="X151" s="35"/>
      <c r="Y151" s="35"/>
      <c r="Z151" s="35"/>
      <c r="AA151" s="35"/>
      <c r="AB151" s="35"/>
      <c r="AC151" s="35"/>
      <c r="AD151" s="35"/>
      <c r="AE151" s="35"/>
      <c r="AF151" s="35"/>
      <c r="AG151" s="25"/>
      <c r="AH151" s="25"/>
      <c r="AI151" s="25"/>
      <c r="AJ151" s="25"/>
      <c r="AK151" s="25"/>
      <c r="AL151" s="25"/>
      <c r="AM151" s="25"/>
      <c r="AN151" s="25"/>
      <c r="AO151" s="25"/>
      <c r="AP151" s="25"/>
      <c r="AQ151" s="25"/>
      <c r="AR151" s="25"/>
      <c r="AS151" s="25"/>
      <c r="AT151" s="25"/>
      <c r="AU151" s="25"/>
      <c r="AV151" s="25"/>
      <c r="AW151" s="25"/>
      <c r="AX151" s="25"/>
      <c r="AY151" s="25"/>
      <c r="AZ151" s="25"/>
      <c r="BA151" s="25"/>
    </row>
    <row r="152" spans="1:53" ht="12.75">
      <c r="A152" s="35"/>
      <c r="B152" s="35"/>
      <c r="C152" s="35"/>
      <c r="D152" s="35"/>
      <c r="E152" s="41" t="s">
        <v>800</v>
      </c>
      <c r="F152" s="41" t="s">
        <v>887</v>
      </c>
      <c r="G152" s="35"/>
      <c r="H152" s="35"/>
      <c r="I152" s="35"/>
      <c r="J152" s="35"/>
      <c r="K152" s="35"/>
      <c r="L152" s="35"/>
      <c r="M152" s="35"/>
      <c r="N152" s="35"/>
      <c r="O152" s="35"/>
      <c r="P152" s="35"/>
      <c r="Q152" s="35"/>
      <c r="R152" s="35"/>
      <c r="S152" s="35"/>
      <c r="T152" s="35"/>
      <c r="U152" s="35"/>
      <c r="V152" s="35"/>
      <c r="W152" s="35"/>
      <c r="X152" s="35"/>
      <c r="Y152" s="35"/>
      <c r="Z152" s="35"/>
      <c r="AA152" s="35"/>
      <c r="AB152" s="35"/>
      <c r="AC152" s="35"/>
      <c r="AD152" s="35"/>
      <c r="AE152" s="35"/>
      <c r="AF152" s="35"/>
      <c r="AG152" s="25"/>
      <c r="AH152" s="25"/>
      <c r="AI152" s="25"/>
      <c r="AJ152" s="25"/>
      <c r="AK152" s="25"/>
      <c r="AL152" s="25"/>
      <c r="AM152" s="25"/>
      <c r="AN152" s="25"/>
      <c r="AO152" s="25"/>
      <c r="AP152" s="25"/>
      <c r="AQ152" s="25"/>
      <c r="AR152" s="25"/>
      <c r="AS152" s="25"/>
      <c r="AT152" s="25"/>
      <c r="AU152" s="25"/>
      <c r="AV152" s="25"/>
      <c r="AW152" s="25"/>
      <c r="AX152" s="25"/>
      <c r="AY152" s="25"/>
      <c r="AZ152" s="25"/>
      <c r="BA152" s="25"/>
    </row>
    <row r="153" spans="1:53" ht="12.75">
      <c r="A153" s="35"/>
      <c r="B153" s="35"/>
      <c r="C153" s="35"/>
      <c r="D153" s="35"/>
      <c r="E153" s="41"/>
      <c r="F153" s="41" t="s">
        <v>889</v>
      </c>
      <c r="G153" s="35"/>
      <c r="H153" s="35"/>
      <c r="I153" s="35"/>
      <c r="J153" s="35"/>
      <c r="K153" s="35"/>
      <c r="L153" s="35"/>
      <c r="M153" s="35"/>
      <c r="N153" s="35"/>
      <c r="O153" s="35"/>
      <c r="P153" s="35"/>
      <c r="Q153" s="35"/>
      <c r="R153" s="35"/>
      <c r="S153" s="35"/>
      <c r="T153" s="35"/>
      <c r="U153" s="35"/>
      <c r="V153" s="35"/>
      <c r="W153" s="35"/>
      <c r="X153" s="35"/>
      <c r="Y153" s="35"/>
      <c r="Z153" s="35"/>
      <c r="AA153" s="35"/>
      <c r="AB153" s="35"/>
      <c r="AC153" s="35"/>
      <c r="AD153" s="35"/>
      <c r="AE153" s="35"/>
      <c r="AF153" s="35"/>
      <c r="AG153" s="25"/>
      <c r="AH153" s="25"/>
      <c r="AI153" s="25"/>
      <c r="AJ153" s="25"/>
      <c r="AK153" s="25"/>
      <c r="AL153" s="25"/>
      <c r="AM153" s="25"/>
      <c r="AN153" s="25"/>
      <c r="AO153" s="25"/>
      <c r="AP153" s="25"/>
      <c r="AQ153" s="25"/>
      <c r="AR153" s="25"/>
      <c r="AS153" s="25"/>
      <c r="AT153" s="25"/>
      <c r="AU153" s="25"/>
      <c r="AV153" s="25"/>
      <c r="AW153" s="25"/>
      <c r="AX153" s="25"/>
      <c r="AY153" s="25"/>
      <c r="AZ153" s="25"/>
      <c r="BA153" s="25"/>
    </row>
    <row r="154" spans="1:53" ht="12.75">
      <c r="A154" s="35"/>
      <c r="B154" s="35"/>
      <c r="C154" s="35"/>
      <c r="D154" s="35"/>
      <c r="E154" s="41"/>
      <c r="F154" s="35" t="s">
        <v>885</v>
      </c>
      <c r="G154" s="35"/>
      <c r="H154" s="35"/>
      <c r="I154" s="35"/>
      <c r="J154" s="35"/>
      <c r="K154" s="35"/>
      <c r="L154" s="35"/>
      <c r="M154" s="35"/>
      <c r="N154" s="35"/>
      <c r="O154" s="35"/>
      <c r="P154" s="35"/>
      <c r="Q154" s="35"/>
      <c r="R154" s="35"/>
      <c r="S154" s="35"/>
      <c r="T154" s="35"/>
      <c r="U154" s="35"/>
      <c r="V154" s="35"/>
      <c r="W154" s="35"/>
      <c r="X154" s="35"/>
      <c r="Y154" s="35"/>
      <c r="Z154" s="35"/>
      <c r="AA154" s="35"/>
      <c r="AB154" s="35"/>
      <c r="AC154" s="35"/>
      <c r="AD154" s="35"/>
      <c r="AE154" s="35"/>
      <c r="AF154" s="35"/>
      <c r="AG154" s="25"/>
      <c r="AH154" s="25"/>
      <c r="AI154" s="25"/>
      <c r="AJ154" s="25"/>
      <c r="AK154" s="25"/>
      <c r="AL154" s="25"/>
      <c r="AM154" s="25"/>
      <c r="AN154" s="25"/>
      <c r="AO154" s="25"/>
      <c r="AP154" s="25"/>
      <c r="AQ154" s="25"/>
      <c r="AR154" s="25"/>
      <c r="AS154" s="25"/>
      <c r="AT154" s="25"/>
      <c r="AU154" s="25"/>
      <c r="AV154" s="25"/>
      <c r="AW154" s="25"/>
      <c r="AX154" s="25"/>
      <c r="AY154" s="25"/>
      <c r="AZ154" s="25"/>
      <c r="BA154" s="25"/>
    </row>
    <row r="155" spans="1:53" ht="12.75">
      <c r="A155" s="35"/>
      <c r="B155" s="35"/>
      <c r="C155" s="35"/>
      <c r="D155" s="35"/>
      <c r="E155" s="41" t="s">
        <v>886</v>
      </c>
      <c r="F155" s="35" t="s">
        <v>890</v>
      </c>
      <c r="G155" s="35"/>
      <c r="H155" s="35"/>
      <c r="I155" s="35"/>
      <c r="J155" s="35"/>
      <c r="K155" s="35"/>
      <c r="L155" s="35"/>
      <c r="M155" s="35"/>
      <c r="N155" s="35"/>
      <c r="O155" s="35"/>
      <c r="P155" s="35"/>
      <c r="Q155" s="35"/>
      <c r="R155" s="35"/>
      <c r="S155" s="35"/>
      <c r="T155" s="35"/>
      <c r="U155" s="35"/>
      <c r="V155" s="35"/>
      <c r="W155" s="35"/>
      <c r="X155" s="35"/>
      <c r="Y155" s="35"/>
      <c r="Z155" s="35"/>
      <c r="AA155" s="35"/>
      <c r="AB155" s="35"/>
      <c r="AC155" s="35"/>
      <c r="AD155" s="35"/>
      <c r="AE155" s="35"/>
      <c r="AF155" s="35"/>
      <c r="AG155" s="25"/>
      <c r="AH155" s="25"/>
      <c r="AI155" s="25"/>
      <c r="AJ155" s="25"/>
      <c r="AK155" s="25"/>
      <c r="AL155" s="25"/>
      <c r="AM155" s="25"/>
      <c r="AN155" s="25"/>
      <c r="AO155" s="25"/>
      <c r="AP155" s="25"/>
      <c r="AQ155" s="25"/>
      <c r="AR155" s="25"/>
      <c r="AS155" s="25"/>
      <c r="AT155" s="25"/>
      <c r="AU155" s="25"/>
      <c r="AV155" s="25"/>
      <c r="AW155" s="25"/>
      <c r="AX155" s="25"/>
      <c r="AY155" s="25"/>
      <c r="AZ155" s="25"/>
      <c r="BA155" s="25"/>
    </row>
    <row r="156" spans="1:53" ht="12.75">
      <c r="A156" s="35"/>
      <c r="B156" s="35"/>
      <c r="C156" s="35"/>
      <c r="D156" s="35"/>
      <c r="E156" s="41"/>
      <c r="F156" s="35" t="s">
        <v>891</v>
      </c>
      <c r="G156" s="35"/>
      <c r="H156" s="35"/>
      <c r="I156" s="35"/>
      <c r="J156" s="35"/>
      <c r="K156" s="35"/>
      <c r="L156" s="35"/>
      <c r="M156" s="35"/>
      <c r="N156" s="35"/>
      <c r="O156" s="35"/>
      <c r="P156" s="35"/>
      <c r="Q156" s="35"/>
      <c r="R156" s="35"/>
      <c r="S156" s="35"/>
      <c r="T156" s="35"/>
      <c r="U156" s="35"/>
      <c r="V156" s="35"/>
      <c r="W156" s="35"/>
      <c r="X156" s="35"/>
      <c r="Y156" s="35"/>
      <c r="Z156" s="35"/>
      <c r="AA156" s="35"/>
      <c r="AB156" s="35"/>
      <c r="AC156" s="35"/>
      <c r="AD156" s="35"/>
      <c r="AE156" s="35"/>
      <c r="AF156" s="35"/>
      <c r="AG156" s="25"/>
      <c r="AH156" s="25"/>
      <c r="AI156" s="25"/>
      <c r="AJ156" s="25"/>
      <c r="AK156" s="25"/>
      <c r="AL156" s="25"/>
      <c r="AM156" s="25"/>
      <c r="AN156" s="25" t="s">
        <v>712</v>
      </c>
      <c r="AO156" s="25"/>
      <c r="AP156" s="25"/>
      <c r="AQ156" s="25"/>
      <c r="AR156" s="25"/>
      <c r="AS156" s="25"/>
      <c r="AT156" s="25"/>
      <c r="AU156" s="25"/>
      <c r="AV156" s="25"/>
      <c r="AW156" s="25"/>
      <c r="AX156" s="25"/>
      <c r="AY156" s="25"/>
      <c r="AZ156" s="25"/>
      <c r="BA156" s="25"/>
    </row>
    <row r="157" spans="1:53" ht="12.75">
      <c r="A157" s="35"/>
      <c r="B157" s="35"/>
      <c r="C157" s="35"/>
      <c r="D157" s="35"/>
      <c r="E157" s="35"/>
      <c r="F157" s="35"/>
      <c r="G157" s="35"/>
      <c r="H157" s="35"/>
      <c r="I157" s="35"/>
      <c r="J157" s="35"/>
      <c r="K157" s="35"/>
      <c r="L157" s="35"/>
      <c r="M157" s="35"/>
      <c r="N157" s="35"/>
      <c r="O157" s="35"/>
      <c r="P157" s="35"/>
      <c r="Q157" s="35"/>
      <c r="R157" s="35"/>
      <c r="S157" s="35"/>
      <c r="T157" s="35"/>
      <c r="U157" s="35"/>
      <c r="V157" s="35"/>
      <c r="W157" s="35"/>
      <c r="X157" s="35"/>
      <c r="Y157" s="35"/>
      <c r="Z157" s="35"/>
      <c r="AA157" s="35"/>
      <c r="AB157" s="35"/>
      <c r="AC157" s="35"/>
      <c r="AD157" s="35"/>
      <c r="AE157" s="35"/>
      <c r="AF157" s="35"/>
      <c r="AG157" s="25"/>
      <c r="AH157" s="25"/>
      <c r="AI157" s="25"/>
      <c r="AJ157" s="25"/>
      <c r="AK157" s="25"/>
      <c r="AL157" s="25"/>
      <c r="AM157" s="25"/>
      <c r="AN157" s="25"/>
      <c r="AO157" s="25"/>
      <c r="AP157" s="25"/>
      <c r="AQ157" s="25"/>
      <c r="AR157" s="25" t="b">
        <v>1</v>
      </c>
      <c r="AS157" s="27">
        <f>IF(AR157,10,1)</f>
        <v>10</v>
      </c>
      <c r="AT157" s="25" t="s">
        <v>737</v>
      </c>
      <c r="AU157" s="25"/>
      <c r="AV157" s="25"/>
      <c r="AW157" s="25"/>
      <c r="AX157" s="25"/>
      <c r="AY157" s="25"/>
      <c r="AZ157" s="25"/>
      <c r="BA157" s="25"/>
    </row>
    <row r="158" spans="1:53" ht="12.75">
      <c r="A158" s="35"/>
      <c r="B158" s="35"/>
      <c r="C158" s="35"/>
      <c r="D158" s="35"/>
      <c r="E158" s="35"/>
      <c r="F158" s="35"/>
      <c r="G158" s="35"/>
      <c r="H158" s="35"/>
      <c r="I158" s="35"/>
      <c r="J158" s="35"/>
      <c r="K158" s="35"/>
      <c r="L158" s="35"/>
      <c r="M158" s="35"/>
      <c r="N158" s="35"/>
      <c r="O158" s="35"/>
      <c r="P158" s="35"/>
      <c r="Q158" s="35"/>
      <c r="R158" s="35"/>
      <c r="S158" s="35"/>
      <c r="T158" s="35"/>
      <c r="U158" s="35"/>
      <c r="V158" s="35"/>
      <c r="W158" s="35"/>
      <c r="X158" s="35"/>
      <c r="Y158" s="35"/>
      <c r="Z158" s="35"/>
      <c r="AA158" s="35"/>
      <c r="AB158" s="35"/>
      <c r="AC158" s="35"/>
      <c r="AD158" s="35"/>
      <c r="AE158" s="35"/>
      <c r="AF158" s="35"/>
      <c r="AG158" s="25"/>
      <c r="AH158" s="25"/>
      <c r="AI158" s="25"/>
      <c r="AJ158" s="25"/>
      <c r="AK158" s="25"/>
      <c r="AL158" s="25"/>
      <c r="AM158" s="25"/>
      <c r="AN158" s="25"/>
      <c r="AO158" s="25"/>
      <c r="AP158" s="25"/>
      <c r="AQ158" s="25"/>
      <c r="AR158" s="25" t="b">
        <v>0</v>
      </c>
      <c r="AS158" s="27">
        <f>IF(AR158,10,2)</f>
        <v>2</v>
      </c>
      <c r="AT158" s="25" t="s">
        <v>738</v>
      </c>
      <c r="AU158" s="25"/>
      <c r="AV158" s="25"/>
      <c r="AW158" s="25"/>
      <c r="AX158" s="25"/>
      <c r="AY158" s="25"/>
      <c r="AZ158" s="25"/>
      <c r="BA158" s="25"/>
    </row>
    <row r="159" spans="1:53" ht="12.75">
      <c r="A159" s="35"/>
      <c r="B159" s="35"/>
      <c r="C159" s="35"/>
      <c r="D159" s="35"/>
      <c r="E159" s="35"/>
      <c r="F159" s="35"/>
      <c r="G159" s="35"/>
      <c r="H159" s="35"/>
      <c r="I159" s="35"/>
      <c r="J159" s="35"/>
      <c r="K159" s="35"/>
      <c r="L159" s="35"/>
      <c r="M159" s="35"/>
      <c r="N159" s="35"/>
      <c r="O159" s="35"/>
      <c r="P159" s="35"/>
      <c r="Q159" s="35"/>
      <c r="R159" s="35"/>
      <c r="S159" s="35"/>
      <c r="T159" s="35"/>
      <c r="U159" s="35"/>
      <c r="V159" s="35"/>
      <c r="W159" s="35"/>
      <c r="X159" s="35"/>
      <c r="Y159" s="35"/>
      <c r="Z159" s="35"/>
      <c r="AA159" s="35"/>
      <c r="AB159" s="35"/>
      <c r="AC159" s="35"/>
      <c r="AD159" s="35"/>
      <c r="AE159" s="35"/>
      <c r="AF159" s="35"/>
      <c r="AG159" s="25"/>
      <c r="AH159" s="25"/>
      <c r="AI159" s="25"/>
      <c r="AJ159" s="25"/>
      <c r="AK159" s="25"/>
      <c r="AL159" s="25"/>
      <c r="AM159" s="25"/>
      <c r="AN159" s="25"/>
      <c r="AO159" s="25"/>
      <c r="AP159" s="25"/>
      <c r="AQ159" s="25"/>
      <c r="AR159" s="25" t="b">
        <v>0</v>
      </c>
      <c r="AS159" s="27">
        <f>IF(AR159,10,3)</f>
        <v>3</v>
      </c>
      <c r="AT159" s="25" t="s">
        <v>739</v>
      </c>
      <c r="AU159" s="25"/>
      <c r="AV159" s="25"/>
      <c r="AW159" s="25"/>
      <c r="AX159" s="25"/>
      <c r="AY159" s="25"/>
      <c r="AZ159" s="25"/>
      <c r="BA159" s="25"/>
    </row>
    <row r="160" spans="1:53" ht="12.75">
      <c r="A160" s="35"/>
      <c r="B160" s="35"/>
      <c r="C160" s="35"/>
      <c r="D160" s="40" t="s">
        <v>876</v>
      </c>
      <c r="E160" s="35"/>
      <c r="F160" s="35"/>
      <c r="G160" s="35"/>
      <c r="H160" s="35"/>
      <c r="I160" s="35"/>
      <c r="J160" s="35"/>
      <c r="K160" s="35"/>
      <c r="L160" s="35"/>
      <c r="M160" s="35"/>
      <c r="N160" s="35"/>
      <c r="O160" s="35"/>
      <c r="P160" s="35"/>
      <c r="Q160" s="35"/>
      <c r="R160" s="35"/>
      <c r="S160" s="35"/>
      <c r="T160" s="35"/>
      <c r="U160" s="35"/>
      <c r="V160" s="35"/>
      <c r="W160" s="35"/>
      <c r="X160" s="35"/>
      <c r="Y160" s="35"/>
      <c r="Z160" s="35"/>
      <c r="AA160" s="35"/>
      <c r="AB160" s="35"/>
      <c r="AC160" s="35"/>
      <c r="AD160" s="35"/>
      <c r="AE160" s="35"/>
      <c r="AF160" s="35"/>
      <c r="AG160" s="25" t="s">
        <v>901</v>
      </c>
      <c r="AH160" s="25"/>
      <c r="AI160" s="25"/>
      <c r="AJ160" s="25"/>
      <c r="AK160" s="25"/>
      <c r="AL160" s="25"/>
      <c r="AM160" s="25"/>
      <c r="AN160" s="25"/>
      <c r="AO160" s="25"/>
      <c r="AP160" s="25"/>
      <c r="AQ160" s="25"/>
      <c r="AR160" s="25" t="b">
        <v>1</v>
      </c>
      <c r="AS160" s="27">
        <f>IF(AR160,10,4)</f>
        <v>10</v>
      </c>
      <c r="AT160" s="25" t="s">
        <v>740</v>
      </c>
      <c r="AU160" s="25"/>
      <c r="AV160" s="25"/>
      <c r="AW160" s="25"/>
      <c r="AX160" s="25"/>
      <c r="AY160" s="25"/>
      <c r="AZ160" s="25"/>
      <c r="BA160" s="25"/>
    </row>
    <row r="161" spans="1:53" ht="12.75">
      <c r="A161" s="35"/>
      <c r="B161" s="35"/>
      <c r="C161" s="35"/>
      <c r="D161" s="35"/>
      <c r="E161" s="41" t="s">
        <v>794</v>
      </c>
      <c r="F161" s="41" t="s">
        <v>892</v>
      </c>
      <c r="G161" s="35"/>
      <c r="H161" s="35"/>
      <c r="I161" s="35"/>
      <c r="J161" s="35"/>
      <c r="K161" s="35"/>
      <c r="L161" s="35"/>
      <c r="M161" s="35"/>
      <c r="N161" s="35"/>
      <c r="O161" s="35"/>
      <c r="P161" s="35"/>
      <c r="Q161" s="35"/>
      <c r="R161" s="35"/>
      <c r="S161" s="35"/>
      <c r="T161" s="35"/>
      <c r="U161" s="35"/>
      <c r="V161" s="35"/>
      <c r="W161" s="35"/>
      <c r="X161" s="35"/>
      <c r="Y161" s="35"/>
      <c r="Z161" s="35"/>
      <c r="AA161" s="35"/>
      <c r="AB161" s="35"/>
      <c r="AC161" s="35"/>
      <c r="AD161" s="35"/>
      <c r="AE161" s="35"/>
      <c r="AF161" s="35"/>
      <c r="AG161" s="25"/>
      <c r="AH161" s="25"/>
      <c r="AI161" s="25"/>
      <c r="AJ161" s="25"/>
      <c r="AK161" s="25"/>
      <c r="AL161" s="25"/>
      <c r="AM161" s="25"/>
      <c r="AN161" s="30"/>
      <c r="AO161" s="25"/>
      <c r="AP161" s="30"/>
      <c r="AQ161" s="25"/>
      <c r="AR161" s="25"/>
      <c r="AS161" s="27">
        <f>IF(AND(NOT(AR157),NOT(AR158),NOT(AR159),NOT(AR160)),10,5)</f>
        <v>5</v>
      </c>
      <c r="AT161" s="25" t="s">
        <v>654</v>
      </c>
      <c r="AU161" s="25"/>
      <c r="AV161" s="25"/>
      <c r="AW161" s="25"/>
      <c r="AX161" s="25"/>
      <c r="AY161" s="25"/>
      <c r="AZ161" s="25"/>
      <c r="BA161" s="25"/>
    </row>
    <row r="162" spans="1:53" ht="12.75">
      <c r="A162" s="35"/>
      <c r="B162" s="35"/>
      <c r="C162" s="35"/>
      <c r="D162" s="35"/>
      <c r="E162" s="41"/>
      <c r="F162" s="41" t="s">
        <v>893</v>
      </c>
      <c r="G162" s="35"/>
      <c r="H162" s="35"/>
      <c r="I162" s="35"/>
      <c r="J162" s="35"/>
      <c r="K162" s="35"/>
      <c r="L162" s="35"/>
      <c r="M162" s="35"/>
      <c r="N162" s="35"/>
      <c r="O162" s="35"/>
      <c r="P162" s="35"/>
      <c r="Q162" s="35"/>
      <c r="R162" s="35"/>
      <c r="S162" s="35"/>
      <c r="T162" s="35"/>
      <c r="U162" s="35"/>
      <c r="V162" s="35"/>
      <c r="W162" s="35"/>
      <c r="X162" s="35"/>
      <c r="Y162" s="35"/>
      <c r="Z162" s="35"/>
      <c r="AA162" s="35"/>
      <c r="AB162" s="35"/>
      <c r="AC162" s="35"/>
      <c r="AD162" s="35"/>
      <c r="AE162" s="35"/>
      <c r="AF162" s="35"/>
      <c r="AG162" s="25"/>
      <c r="AH162" s="25"/>
      <c r="AI162" s="25"/>
      <c r="AJ162" s="25"/>
      <c r="AK162" s="25"/>
      <c r="AL162" s="25"/>
      <c r="AM162" s="25"/>
      <c r="AN162" s="30"/>
      <c r="AO162" s="25"/>
      <c r="AP162" s="30"/>
      <c r="AQ162" s="25"/>
      <c r="AR162" s="25"/>
      <c r="AS162" s="25"/>
      <c r="AT162" s="28" t="str">
        <f>VLOOKUP(10,AS157:AT161,2,FALSE)</f>
        <v>Replace working compressor</v>
      </c>
      <c r="AU162" s="29"/>
      <c r="AV162" s="29"/>
      <c r="AW162" s="31"/>
      <c r="AX162" s="25"/>
      <c r="AY162" s="25"/>
      <c r="AZ162" s="25"/>
      <c r="BA162" s="25"/>
    </row>
    <row r="163" spans="1:53" ht="12.75">
      <c r="A163" s="35"/>
      <c r="B163" s="35"/>
      <c r="C163" s="35"/>
      <c r="D163" s="35"/>
      <c r="E163" s="41"/>
      <c r="F163" s="35" t="s">
        <v>894</v>
      </c>
      <c r="G163" s="35"/>
      <c r="H163" s="35"/>
      <c r="I163" s="35"/>
      <c r="J163" s="35"/>
      <c r="K163" s="35"/>
      <c r="L163" s="35"/>
      <c r="M163" s="35"/>
      <c r="N163" s="35"/>
      <c r="O163" s="35"/>
      <c r="P163" s="35"/>
      <c r="Q163" s="35"/>
      <c r="R163" s="35"/>
      <c r="S163" s="35"/>
      <c r="T163" s="35"/>
      <c r="U163" s="35"/>
      <c r="V163" s="35"/>
      <c r="W163" s="35"/>
      <c r="X163" s="35"/>
      <c r="Y163" s="35"/>
      <c r="Z163" s="35"/>
      <c r="AA163" s="35"/>
      <c r="AB163" s="35"/>
      <c r="AC163" s="35"/>
      <c r="AD163" s="35"/>
      <c r="AE163" s="35"/>
      <c r="AF163" s="35"/>
      <c r="AG163" s="25"/>
      <c r="AH163" s="25"/>
      <c r="AI163" s="25"/>
      <c r="AJ163" s="25"/>
      <c r="AK163" s="25"/>
      <c r="AL163" s="25"/>
      <c r="AM163" s="25"/>
      <c r="AN163" s="30"/>
      <c r="AO163" s="25"/>
      <c r="AP163" s="30"/>
      <c r="AQ163" s="25"/>
      <c r="AR163" s="25"/>
      <c r="AS163" s="25"/>
      <c r="AT163" s="25"/>
      <c r="AU163" s="25"/>
      <c r="AV163" s="25"/>
      <c r="AW163" s="25"/>
      <c r="AX163" s="25"/>
      <c r="AY163" s="25"/>
      <c r="AZ163" s="25"/>
      <c r="BA163" s="25"/>
    </row>
    <row r="164" spans="1:53" ht="12.75">
      <c r="A164" s="35"/>
      <c r="B164" s="35"/>
      <c r="C164" s="35"/>
      <c r="D164" s="35"/>
      <c r="E164" s="41" t="s">
        <v>795</v>
      </c>
      <c r="F164" s="41" t="s">
        <v>880</v>
      </c>
      <c r="G164" s="35"/>
      <c r="H164" s="35"/>
      <c r="I164" s="35"/>
      <c r="J164" s="35"/>
      <c r="K164" s="35"/>
      <c r="L164" s="35"/>
      <c r="M164" s="35"/>
      <c r="N164" s="35"/>
      <c r="O164" s="35"/>
      <c r="P164" s="35"/>
      <c r="Q164" s="35"/>
      <c r="R164" s="35"/>
      <c r="S164" s="35"/>
      <c r="T164" s="35"/>
      <c r="U164" s="35"/>
      <c r="V164" s="35"/>
      <c r="W164" s="35"/>
      <c r="X164" s="35"/>
      <c r="Y164" s="35"/>
      <c r="Z164" s="35"/>
      <c r="AA164" s="35"/>
      <c r="AB164" s="35"/>
      <c r="AC164" s="35"/>
      <c r="AD164" s="35"/>
      <c r="AE164" s="35"/>
      <c r="AF164" s="35"/>
      <c r="AG164" s="25"/>
      <c r="AH164" s="25"/>
      <c r="AI164" s="25"/>
      <c r="AJ164" s="25"/>
      <c r="AK164" s="25"/>
      <c r="AL164" s="25"/>
      <c r="AM164" s="25"/>
      <c r="AN164" s="30"/>
      <c r="AO164" s="25"/>
      <c r="AP164" s="30"/>
      <c r="AQ164" s="25"/>
      <c r="AR164" s="25"/>
      <c r="AS164" s="25"/>
      <c r="AT164" s="25"/>
      <c r="AU164" s="25"/>
      <c r="AV164" s="25"/>
      <c r="AW164" s="25"/>
      <c r="AX164" s="25"/>
      <c r="AY164" s="25"/>
      <c r="AZ164" s="25"/>
      <c r="BA164" s="25"/>
    </row>
    <row r="165" spans="1:53" ht="12.75">
      <c r="A165" s="35"/>
      <c r="B165" s="35"/>
      <c r="C165" s="35"/>
      <c r="D165" s="35"/>
      <c r="E165" s="41"/>
      <c r="F165" s="41" t="s">
        <v>873</v>
      </c>
      <c r="G165" s="35"/>
      <c r="H165" s="35"/>
      <c r="I165" s="35"/>
      <c r="J165" s="35"/>
      <c r="K165" s="35"/>
      <c r="L165" s="35"/>
      <c r="M165" s="35"/>
      <c r="N165" s="35"/>
      <c r="O165" s="35"/>
      <c r="P165" s="35"/>
      <c r="Q165" s="35"/>
      <c r="R165" s="35"/>
      <c r="S165" s="35"/>
      <c r="T165" s="35"/>
      <c r="U165" s="35"/>
      <c r="V165" s="35"/>
      <c r="W165" s="35"/>
      <c r="X165" s="35"/>
      <c r="Y165" s="35"/>
      <c r="Z165" s="35"/>
      <c r="AA165" s="35"/>
      <c r="AB165" s="35"/>
      <c r="AC165" s="35"/>
      <c r="AD165" s="35"/>
      <c r="AE165" s="35"/>
      <c r="AF165" s="35"/>
      <c r="AG165" s="25"/>
      <c r="AH165" s="25"/>
      <c r="AI165" s="25"/>
      <c r="AJ165" s="25"/>
      <c r="AK165" s="25"/>
      <c r="AL165" s="25"/>
      <c r="AM165" s="25"/>
      <c r="AN165" s="30"/>
      <c r="AO165" s="25"/>
      <c r="AP165" s="30"/>
      <c r="AQ165" s="25"/>
      <c r="AR165" s="25"/>
      <c r="AS165" s="25"/>
      <c r="AT165" s="25"/>
      <c r="AU165" s="25"/>
      <c r="AV165" s="25"/>
      <c r="AW165" s="25"/>
      <c r="AX165" s="25"/>
      <c r="AY165" s="25"/>
      <c r="AZ165" s="25"/>
      <c r="BA165" s="25"/>
    </row>
    <row r="166" spans="1:53" ht="12.75">
      <c r="A166" s="35"/>
      <c r="B166" s="35"/>
      <c r="C166" s="35"/>
      <c r="D166" s="35"/>
      <c r="E166" s="41" t="s">
        <v>796</v>
      </c>
      <c r="F166" s="41" t="s">
        <v>878</v>
      </c>
      <c r="G166" s="35"/>
      <c r="H166" s="35"/>
      <c r="I166" s="35"/>
      <c r="J166" s="35"/>
      <c r="K166" s="35"/>
      <c r="L166" s="35"/>
      <c r="M166" s="35"/>
      <c r="N166" s="35"/>
      <c r="O166" s="35"/>
      <c r="P166" s="35"/>
      <c r="Q166" s="35"/>
      <c r="R166" s="35"/>
      <c r="S166" s="35"/>
      <c r="T166" s="35"/>
      <c r="U166" s="35"/>
      <c r="V166" s="35"/>
      <c r="W166" s="35"/>
      <c r="X166" s="35"/>
      <c r="Y166" s="35"/>
      <c r="Z166" s="35"/>
      <c r="AA166" s="35"/>
      <c r="AB166" s="35"/>
      <c r="AC166" s="35"/>
      <c r="AD166" s="35"/>
      <c r="AE166" s="35"/>
      <c r="AF166" s="35"/>
      <c r="AG166" s="25"/>
      <c r="AH166" s="25"/>
      <c r="AI166" s="25"/>
      <c r="AJ166" s="25"/>
      <c r="AK166" s="25"/>
      <c r="AL166" s="25"/>
      <c r="AM166" s="25"/>
      <c r="AN166" s="30"/>
      <c r="AO166" s="25"/>
      <c r="AP166" s="30"/>
      <c r="AQ166" s="25"/>
      <c r="AR166" s="25"/>
      <c r="AS166" s="25"/>
      <c r="AT166" s="25"/>
      <c r="AU166" s="25"/>
      <c r="AV166" s="25"/>
      <c r="AW166" s="25"/>
      <c r="AX166" s="25"/>
      <c r="AY166" s="25"/>
      <c r="AZ166" s="25"/>
      <c r="BA166" s="25"/>
    </row>
    <row r="167" spans="1:53" ht="12.75">
      <c r="A167" s="35"/>
      <c r="B167" s="35"/>
      <c r="C167" s="35"/>
      <c r="D167" s="35"/>
      <c r="E167" s="41"/>
      <c r="F167" s="41" t="s">
        <v>879</v>
      </c>
      <c r="G167" s="35"/>
      <c r="H167" s="35"/>
      <c r="I167" s="35"/>
      <c r="J167" s="35"/>
      <c r="K167" s="35"/>
      <c r="L167" s="35"/>
      <c r="M167" s="35"/>
      <c r="N167" s="35"/>
      <c r="O167" s="35"/>
      <c r="P167" s="35"/>
      <c r="Q167" s="35"/>
      <c r="R167" s="35"/>
      <c r="S167" s="35"/>
      <c r="T167" s="35"/>
      <c r="U167" s="35"/>
      <c r="V167" s="35"/>
      <c r="W167" s="35"/>
      <c r="X167" s="35"/>
      <c r="Y167" s="35"/>
      <c r="Z167" s="35"/>
      <c r="AA167" s="35"/>
      <c r="AB167" s="35"/>
      <c r="AC167" s="35"/>
      <c r="AD167" s="35"/>
      <c r="AE167" s="35"/>
      <c r="AF167" s="35"/>
      <c r="AG167" s="25"/>
      <c r="AH167" s="25"/>
      <c r="AI167" s="25"/>
      <c r="AJ167" s="25"/>
      <c r="AK167" s="25"/>
      <c r="AL167" s="25"/>
      <c r="AM167" s="25"/>
      <c r="AN167" s="30"/>
      <c r="AO167" s="25"/>
      <c r="AP167" s="30"/>
      <c r="AQ167" s="25"/>
      <c r="AR167" s="25"/>
      <c r="AS167" s="25"/>
      <c r="AT167" s="25"/>
      <c r="AU167" s="25"/>
      <c r="AV167" s="25"/>
      <c r="AW167" s="25"/>
      <c r="AX167" s="25"/>
      <c r="AY167" s="25"/>
      <c r="AZ167" s="25"/>
      <c r="BA167" s="25"/>
    </row>
    <row r="168" spans="1:53" ht="12.75">
      <c r="A168" s="35"/>
      <c r="B168" s="35"/>
      <c r="C168" s="35"/>
      <c r="D168" s="35"/>
      <c r="E168" s="41" t="s">
        <v>798</v>
      </c>
      <c r="F168" s="41" t="s">
        <v>882</v>
      </c>
      <c r="G168" s="35"/>
      <c r="H168" s="35"/>
      <c r="I168" s="35"/>
      <c r="J168" s="35"/>
      <c r="K168" s="35"/>
      <c r="L168" s="35"/>
      <c r="M168" s="35"/>
      <c r="N168" s="35"/>
      <c r="O168" s="35"/>
      <c r="P168" s="35"/>
      <c r="Q168" s="35"/>
      <c r="R168" s="35"/>
      <c r="S168" s="35"/>
      <c r="T168" s="35"/>
      <c r="U168" s="35"/>
      <c r="V168" s="35"/>
      <c r="W168" s="35"/>
      <c r="X168" s="35"/>
      <c r="Y168" s="35"/>
      <c r="Z168" s="35"/>
      <c r="AA168" s="35"/>
      <c r="AB168" s="35"/>
      <c r="AC168" s="35"/>
      <c r="AD168" s="35"/>
      <c r="AE168" s="35"/>
      <c r="AF168" s="35"/>
      <c r="AG168" s="25"/>
      <c r="AH168" s="25"/>
      <c r="AI168" s="25"/>
      <c r="AJ168" s="25"/>
      <c r="AK168" s="25"/>
      <c r="AL168" s="25"/>
      <c r="AM168" s="25"/>
      <c r="AN168" s="25"/>
      <c r="AO168" s="25"/>
      <c r="AP168" s="25"/>
      <c r="AQ168" s="25"/>
      <c r="AR168" s="25"/>
      <c r="AS168" s="25"/>
      <c r="AT168" s="25"/>
      <c r="AU168" s="25"/>
      <c r="AV168" s="25"/>
      <c r="AW168" s="25"/>
      <c r="AX168" s="25"/>
      <c r="AY168" s="25"/>
      <c r="AZ168" s="25"/>
      <c r="BA168" s="25"/>
    </row>
    <row r="169" spans="1:53" ht="12.75">
      <c r="A169" s="35"/>
      <c r="B169" s="35"/>
      <c r="C169" s="35"/>
      <c r="D169" s="35"/>
      <c r="E169" s="41"/>
      <c r="F169" s="41" t="s">
        <v>883</v>
      </c>
      <c r="G169" s="35"/>
      <c r="H169" s="35"/>
      <c r="I169" s="35"/>
      <c r="J169" s="35"/>
      <c r="K169" s="35"/>
      <c r="L169" s="35"/>
      <c r="M169" s="35"/>
      <c r="N169" s="35"/>
      <c r="O169" s="35"/>
      <c r="P169" s="35"/>
      <c r="Q169" s="35"/>
      <c r="R169" s="35"/>
      <c r="S169" s="35"/>
      <c r="T169" s="35"/>
      <c r="U169" s="35"/>
      <c r="V169" s="35"/>
      <c r="W169" s="35"/>
      <c r="X169" s="35"/>
      <c r="Y169" s="35"/>
      <c r="Z169" s="35"/>
      <c r="AA169" s="35"/>
      <c r="AB169" s="35"/>
      <c r="AC169" s="35"/>
      <c r="AD169" s="35"/>
      <c r="AE169" s="35"/>
      <c r="AF169" s="35"/>
      <c r="AG169" s="25"/>
      <c r="AH169" s="25"/>
      <c r="AI169" s="25"/>
      <c r="AJ169" s="25"/>
      <c r="AK169" s="25"/>
      <c r="AL169" s="25"/>
      <c r="AM169" s="25"/>
      <c r="AN169" s="30"/>
      <c r="AO169" s="25"/>
      <c r="AP169" s="30"/>
      <c r="AQ169" s="25"/>
      <c r="AR169" s="25"/>
      <c r="AS169" s="25"/>
      <c r="AT169" s="25"/>
      <c r="AU169" s="25"/>
      <c r="AV169" s="25"/>
      <c r="AW169" s="25"/>
      <c r="AX169" s="25"/>
      <c r="AY169" s="25"/>
      <c r="AZ169" s="25"/>
      <c r="BA169" s="25"/>
    </row>
    <row r="170" spans="1:53" ht="12.75">
      <c r="A170" s="35"/>
      <c r="B170" s="35"/>
      <c r="C170" s="35"/>
      <c r="D170" s="35"/>
      <c r="E170" s="41"/>
      <c r="F170" s="41" t="s">
        <v>884</v>
      </c>
      <c r="G170" s="35"/>
      <c r="H170" s="35"/>
      <c r="I170" s="35"/>
      <c r="J170" s="35"/>
      <c r="K170" s="35"/>
      <c r="L170" s="35"/>
      <c r="M170" s="35"/>
      <c r="N170" s="35"/>
      <c r="O170" s="35"/>
      <c r="P170" s="35"/>
      <c r="Q170" s="35"/>
      <c r="R170" s="35"/>
      <c r="S170" s="35"/>
      <c r="T170" s="35"/>
      <c r="U170" s="35"/>
      <c r="V170" s="35"/>
      <c r="W170" s="35"/>
      <c r="X170" s="35"/>
      <c r="Y170" s="35"/>
      <c r="Z170" s="35"/>
      <c r="AA170" s="35"/>
      <c r="AB170" s="35"/>
      <c r="AC170" s="35"/>
      <c r="AD170" s="35"/>
      <c r="AE170" s="35"/>
      <c r="AF170" s="35"/>
      <c r="AG170" s="25"/>
      <c r="AH170" s="25"/>
      <c r="AI170" s="25"/>
      <c r="AJ170" s="25"/>
      <c r="AK170" s="25"/>
      <c r="AL170" s="25"/>
      <c r="AM170" s="25"/>
      <c r="AN170" s="30"/>
      <c r="AO170" s="25"/>
      <c r="AP170" s="30"/>
      <c r="AQ170" s="25"/>
      <c r="AR170" s="25"/>
      <c r="AS170" s="25"/>
      <c r="AT170" s="25"/>
      <c r="AU170" s="25"/>
      <c r="AV170" s="25"/>
      <c r="AW170" s="25"/>
      <c r="AX170" s="25"/>
      <c r="AY170" s="25"/>
      <c r="AZ170" s="25"/>
      <c r="BA170" s="25"/>
    </row>
    <row r="171" spans="1:53" ht="12.75">
      <c r="A171" s="35"/>
      <c r="B171" s="35"/>
      <c r="C171" s="35"/>
      <c r="D171" s="35"/>
      <c r="E171" s="41" t="s">
        <v>800</v>
      </c>
      <c r="F171" s="41" t="s">
        <v>895</v>
      </c>
      <c r="G171" s="35"/>
      <c r="H171" s="35"/>
      <c r="I171" s="35"/>
      <c r="J171" s="35"/>
      <c r="K171" s="35"/>
      <c r="L171" s="35"/>
      <c r="M171" s="35"/>
      <c r="N171" s="35"/>
      <c r="O171" s="35"/>
      <c r="P171" s="35"/>
      <c r="Q171" s="35"/>
      <c r="R171" s="35"/>
      <c r="S171" s="35"/>
      <c r="T171" s="35"/>
      <c r="U171" s="35"/>
      <c r="V171" s="35"/>
      <c r="W171" s="35"/>
      <c r="X171" s="35"/>
      <c r="Y171" s="35"/>
      <c r="Z171" s="35"/>
      <c r="AA171" s="35"/>
      <c r="AB171" s="35"/>
      <c r="AC171" s="35"/>
      <c r="AD171" s="35"/>
      <c r="AE171" s="35"/>
      <c r="AF171" s="35"/>
      <c r="AG171" s="25"/>
      <c r="AH171" s="25"/>
      <c r="AI171" s="25"/>
      <c r="AJ171" s="25"/>
      <c r="AK171" s="25"/>
      <c r="AL171" s="25"/>
      <c r="AM171" s="25"/>
      <c r="AN171" s="30"/>
      <c r="AO171" s="25"/>
      <c r="AP171" s="30"/>
      <c r="AQ171" s="25"/>
      <c r="AR171" s="25"/>
      <c r="AS171" s="25"/>
      <c r="AT171" s="25"/>
      <c r="AU171" s="25"/>
      <c r="AV171" s="25"/>
      <c r="AW171" s="25"/>
      <c r="AX171" s="25"/>
      <c r="AY171" s="25"/>
      <c r="AZ171" s="25"/>
      <c r="BA171" s="25"/>
    </row>
    <row r="172" spans="1:53" ht="12.75">
      <c r="A172" s="35"/>
      <c r="B172" s="35"/>
      <c r="C172" s="35"/>
      <c r="D172" s="35"/>
      <c r="E172" s="41"/>
      <c r="F172" s="41" t="s">
        <v>896</v>
      </c>
      <c r="G172" s="35"/>
      <c r="H172" s="35"/>
      <c r="I172" s="35"/>
      <c r="J172" s="35"/>
      <c r="K172" s="35"/>
      <c r="L172" s="35"/>
      <c r="M172" s="35"/>
      <c r="N172" s="35"/>
      <c r="O172" s="35"/>
      <c r="P172" s="35"/>
      <c r="Q172" s="35"/>
      <c r="R172" s="35"/>
      <c r="S172" s="35"/>
      <c r="T172" s="35"/>
      <c r="U172" s="35"/>
      <c r="V172" s="35"/>
      <c r="W172" s="35"/>
      <c r="X172" s="35"/>
      <c r="Y172" s="35"/>
      <c r="Z172" s="35"/>
      <c r="AA172" s="35"/>
      <c r="AB172" s="35"/>
      <c r="AC172" s="35"/>
      <c r="AD172" s="35"/>
      <c r="AE172" s="35"/>
      <c r="AF172" s="35"/>
      <c r="AG172" s="25"/>
      <c r="AH172" s="25"/>
      <c r="AI172" s="25"/>
      <c r="AJ172" s="25"/>
      <c r="AK172" s="25"/>
      <c r="AL172" s="25"/>
      <c r="AM172" s="25"/>
      <c r="AN172" s="30"/>
      <c r="AO172" s="25"/>
      <c r="AP172" s="30"/>
      <c r="AQ172" s="25"/>
      <c r="AR172" s="25"/>
      <c r="AS172" s="25"/>
      <c r="AT172" s="25"/>
      <c r="AU172" s="25"/>
      <c r="AV172" s="25"/>
      <c r="AW172" s="25"/>
      <c r="AX172" s="25"/>
      <c r="AY172" s="25"/>
      <c r="AZ172" s="25"/>
      <c r="BA172" s="25"/>
    </row>
    <row r="173" spans="1:53" ht="12.75">
      <c r="A173" s="35"/>
      <c r="B173" s="35"/>
      <c r="C173" s="35"/>
      <c r="D173" s="35"/>
      <c r="E173" s="41" t="s">
        <v>886</v>
      </c>
      <c r="F173" s="35" t="s">
        <v>890</v>
      </c>
      <c r="G173" s="35"/>
      <c r="H173" s="35"/>
      <c r="I173" s="35"/>
      <c r="J173" s="35"/>
      <c r="K173" s="35"/>
      <c r="L173" s="35"/>
      <c r="M173" s="35"/>
      <c r="N173" s="35"/>
      <c r="O173" s="35"/>
      <c r="P173" s="35"/>
      <c r="Q173" s="35"/>
      <c r="R173" s="35"/>
      <c r="S173" s="35"/>
      <c r="T173" s="35"/>
      <c r="U173" s="35"/>
      <c r="V173" s="35"/>
      <c r="W173" s="35"/>
      <c r="X173" s="35"/>
      <c r="Y173" s="35"/>
      <c r="Z173" s="35"/>
      <c r="AA173" s="35"/>
      <c r="AB173" s="35"/>
      <c r="AC173" s="35"/>
      <c r="AD173" s="35"/>
      <c r="AE173" s="35"/>
      <c r="AF173" s="35"/>
      <c r="AG173" s="25"/>
      <c r="AH173" s="25"/>
      <c r="AI173" s="25"/>
      <c r="AJ173" s="25"/>
      <c r="AK173" s="25"/>
      <c r="AL173" s="25"/>
      <c r="AM173" s="25"/>
      <c r="AN173" s="30"/>
      <c r="AO173" s="25"/>
      <c r="AP173" s="30"/>
      <c r="AQ173" s="25"/>
      <c r="AR173" s="25"/>
      <c r="AS173" s="25"/>
      <c r="AT173" s="25"/>
      <c r="AU173" s="25"/>
      <c r="AV173" s="25"/>
      <c r="AW173" s="25"/>
      <c r="AX173" s="25"/>
      <c r="AY173" s="25"/>
      <c r="AZ173" s="25"/>
      <c r="BA173" s="25"/>
    </row>
    <row r="174" spans="1:53" ht="12.75">
      <c r="A174" s="35"/>
      <c r="B174" s="35"/>
      <c r="C174" s="35"/>
      <c r="D174" s="35"/>
      <c r="E174" s="41"/>
      <c r="F174" s="35" t="s">
        <v>891</v>
      </c>
      <c r="G174" s="35"/>
      <c r="H174" s="35"/>
      <c r="I174" s="35"/>
      <c r="J174" s="35"/>
      <c r="K174" s="35"/>
      <c r="L174" s="35"/>
      <c r="M174" s="35"/>
      <c r="N174" s="35"/>
      <c r="O174" s="35"/>
      <c r="P174" s="35"/>
      <c r="Q174" s="35"/>
      <c r="R174" s="35"/>
      <c r="S174" s="35"/>
      <c r="T174" s="35"/>
      <c r="U174" s="35"/>
      <c r="V174" s="35"/>
      <c r="W174" s="35"/>
      <c r="X174" s="35"/>
      <c r="Y174" s="35"/>
      <c r="Z174" s="35"/>
      <c r="AA174" s="35"/>
      <c r="AB174" s="35"/>
      <c r="AC174" s="35"/>
      <c r="AD174" s="35"/>
      <c r="AE174" s="35"/>
      <c r="AF174" s="35"/>
      <c r="AG174" s="25"/>
      <c r="AH174" s="25"/>
      <c r="AI174" s="25"/>
      <c r="AJ174" s="25"/>
      <c r="AK174" s="25"/>
      <c r="AL174" s="25"/>
      <c r="AM174" s="25"/>
      <c r="AN174" s="30"/>
      <c r="AO174" s="25"/>
      <c r="AP174" s="30"/>
      <c r="AQ174" s="25"/>
      <c r="AR174" s="25"/>
      <c r="AS174" s="25"/>
      <c r="AT174" s="25"/>
      <c r="AU174" s="25"/>
      <c r="AV174" s="25"/>
      <c r="AW174" s="25"/>
      <c r="AX174" s="25"/>
      <c r="AY174" s="25"/>
      <c r="AZ174" s="25"/>
      <c r="BA174" s="25"/>
    </row>
    <row r="175" spans="1:53" ht="12.75">
      <c r="A175" s="35"/>
      <c r="B175" s="35"/>
      <c r="C175" s="35"/>
      <c r="D175" s="35"/>
      <c r="E175" s="41"/>
      <c r="F175" s="35"/>
      <c r="G175" s="35"/>
      <c r="H175" s="35"/>
      <c r="I175" s="35"/>
      <c r="J175" s="35"/>
      <c r="K175" s="35"/>
      <c r="L175" s="35"/>
      <c r="M175" s="35"/>
      <c r="N175" s="35"/>
      <c r="O175" s="35"/>
      <c r="P175" s="35"/>
      <c r="Q175" s="35"/>
      <c r="R175" s="35"/>
      <c r="S175" s="35"/>
      <c r="T175" s="35"/>
      <c r="U175" s="35"/>
      <c r="V175" s="35"/>
      <c r="W175" s="35"/>
      <c r="X175" s="35"/>
      <c r="Y175" s="35"/>
      <c r="Z175" s="35"/>
      <c r="AA175" s="35"/>
      <c r="AB175" s="35"/>
      <c r="AC175" s="35"/>
      <c r="AD175" s="35"/>
      <c r="AE175" s="35"/>
      <c r="AF175" s="35"/>
      <c r="AG175" s="25"/>
      <c r="AH175" s="25"/>
      <c r="AI175" s="25"/>
      <c r="AJ175" s="25"/>
      <c r="AK175" s="25"/>
      <c r="AL175" s="25"/>
      <c r="AM175" s="25"/>
      <c r="AN175" s="30"/>
      <c r="AO175" s="25"/>
      <c r="AP175" s="30"/>
      <c r="AQ175" s="25"/>
      <c r="AR175" s="25"/>
      <c r="AS175" s="25"/>
      <c r="AT175" s="25"/>
      <c r="AU175" s="25"/>
      <c r="AV175" s="25"/>
      <c r="AW175" s="25"/>
      <c r="AX175" s="25"/>
      <c r="AY175" s="25"/>
      <c r="AZ175" s="25"/>
      <c r="BA175" s="25"/>
    </row>
    <row r="176" spans="1:53" ht="12.75">
      <c r="A176" s="35"/>
      <c r="B176" s="35"/>
      <c r="C176" s="35"/>
      <c r="D176" s="35"/>
      <c r="E176" s="35"/>
      <c r="F176" s="35"/>
      <c r="G176" s="35"/>
      <c r="H176" s="35"/>
      <c r="I176" s="35"/>
      <c r="J176" s="35"/>
      <c r="K176" s="35"/>
      <c r="L176" s="35"/>
      <c r="M176" s="35"/>
      <c r="N176" s="35"/>
      <c r="O176" s="35"/>
      <c r="P176" s="35"/>
      <c r="Q176" s="35"/>
      <c r="R176" s="35"/>
      <c r="S176" s="35"/>
      <c r="T176" s="35"/>
      <c r="U176" s="35"/>
      <c r="V176" s="35"/>
      <c r="W176" s="35"/>
      <c r="X176" s="35"/>
      <c r="Y176" s="35"/>
      <c r="Z176" s="35"/>
      <c r="AA176" s="35"/>
      <c r="AB176" s="35"/>
      <c r="AC176" s="35"/>
      <c r="AD176" s="35"/>
      <c r="AE176" s="35"/>
      <c r="AF176" s="35"/>
      <c r="AG176" s="25"/>
      <c r="AH176" s="25"/>
      <c r="AI176" s="25"/>
      <c r="AJ176" s="25"/>
      <c r="AK176" s="25"/>
      <c r="AL176" s="25"/>
      <c r="AM176" s="25"/>
      <c r="AN176" s="25"/>
      <c r="AO176" s="30"/>
      <c r="AP176" s="25"/>
      <c r="AQ176" s="25"/>
      <c r="AR176" s="25"/>
      <c r="AS176" s="25"/>
      <c r="AT176" s="25"/>
      <c r="AU176" s="25"/>
      <c r="AV176" s="25"/>
      <c r="AW176" s="25"/>
      <c r="AX176" s="25"/>
      <c r="AY176" s="25"/>
      <c r="AZ176" s="25"/>
      <c r="BA176" s="25"/>
    </row>
    <row r="177" spans="1:53" ht="12.75">
      <c r="A177" s="35"/>
      <c r="B177" s="35"/>
      <c r="C177" s="35"/>
      <c r="D177" s="35"/>
      <c r="E177" s="35"/>
      <c r="F177" s="35"/>
      <c r="G177" s="35"/>
      <c r="H177" s="35"/>
      <c r="I177" s="35"/>
      <c r="J177" s="35"/>
      <c r="K177" s="35"/>
      <c r="L177" s="35"/>
      <c r="M177" s="35"/>
      <c r="N177" s="35"/>
      <c r="O177" s="35"/>
      <c r="P177" s="35"/>
      <c r="Q177" s="35"/>
      <c r="R177" s="35"/>
      <c r="S177" s="35"/>
      <c r="T177" s="35"/>
      <c r="U177" s="35"/>
      <c r="V177" s="35"/>
      <c r="W177" s="35"/>
      <c r="X177" s="35"/>
      <c r="Y177" s="35"/>
      <c r="Z177" s="35"/>
      <c r="AA177" s="35"/>
      <c r="AB177" s="35"/>
      <c r="AC177" s="35"/>
      <c r="AD177" s="35"/>
      <c r="AE177" s="35"/>
      <c r="AF177" s="35"/>
      <c r="AG177" s="25"/>
      <c r="AH177" s="25"/>
      <c r="AI177" s="25"/>
      <c r="AJ177" s="25"/>
      <c r="AK177" s="25"/>
      <c r="AL177" s="25"/>
      <c r="AM177" s="25"/>
      <c r="AN177" s="25"/>
      <c r="AO177" s="30"/>
      <c r="AP177" s="25"/>
      <c r="AQ177" s="25"/>
      <c r="AR177" s="25"/>
      <c r="AS177" s="25"/>
      <c r="AT177" s="25"/>
      <c r="AU177" s="25"/>
      <c r="AV177" s="25"/>
      <c r="AW177" s="25"/>
      <c r="AX177" s="25"/>
      <c r="AY177" s="25"/>
      <c r="AZ177" s="25"/>
      <c r="BA177" s="25"/>
    </row>
    <row r="178" spans="1:53" ht="12.75">
      <c r="A178" s="35"/>
      <c r="B178" s="35"/>
      <c r="C178" s="35"/>
      <c r="D178" s="35"/>
      <c r="E178" s="35"/>
      <c r="F178" s="35"/>
      <c r="G178" s="35"/>
      <c r="H178" s="35"/>
      <c r="I178" s="35"/>
      <c r="J178" s="35"/>
      <c r="K178" s="35"/>
      <c r="L178" s="35"/>
      <c r="M178" s="35"/>
      <c r="N178" s="35"/>
      <c r="O178" s="35"/>
      <c r="P178" s="35"/>
      <c r="Q178" s="35"/>
      <c r="R178" s="35"/>
      <c r="S178" s="35"/>
      <c r="T178" s="35"/>
      <c r="U178" s="35"/>
      <c r="V178" s="35"/>
      <c r="W178" s="35"/>
      <c r="X178" s="35"/>
      <c r="Y178" s="35"/>
      <c r="Z178" s="35"/>
      <c r="AA178" s="35"/>
      <c r="AB178" s="35"/>
      <c r="AC178" s="35"/>
      <c r="AD178" s="35"/>
      <c r="AE178" s="35"/>
      <c r="AF178" s="35"/>
      <c r="AG178" s="25"/>
      <c r="AH178" s="25"/>
      <c r="AI178" s="25"/>
      <c r="AJ178" s="25"/>
      <c r="AK178" s="25"/>
      <c r="AL178" s="25"/>
      <c r="AM178" s="25"/>
      <c r="AN178" s="25"/>
      <c r="AO178" s="30"/>
      <c r="AP178" s="25"/>
      <c r="AQ178" s="25"/>
      <c r="AR178" s="25"/>
      <c r="AS178" s="25"/>
      <c r="AT178" s="25"/>
      <c r="AU178" s="25"/>
      <c r="AV178" s="25"/>
      <c r="AW178" s="25"/>
      <c r="AX178" s="25"/>
      <c r="AY178" s="25"/>
      <c r="AZ178" s="25"/>
      <c r="BA178" s="25"/>
    </row>
    <row r="179" spans="1:53" ht="12.75">
      <c r="A179" s="35"/>
      <c r="B179" s="35"/>
      <c r="C179" s="35"/>
      <c r="D179" s="35" t="s">
        <v>899</v>
      </c>
      <c r="E179" s="35"/>
      <c r="F179" s="35"/>
      <c r="G179" s="35"/>
      <c r="H179" s="35"/>
      <c r="I179" s="35"/>
      <c r="J179" s="35"/>
      <c r="K179" s="35"/>
      <c r="L179" s="35"/>
      <c r="M179" s="35"/>
      <c r="N179" s="35"/>
      <c r="O179" s="35"/>
      <c r="P179" s="35"/>
      <c r="Q179" s="35"/>
      <c r="R179" s="35"/>
      <c r="S179" s="35"/>
      <c r="T179" s="35"/>
      <c r="U179" s="35"/>
      <c r="V179" s="35"/>
      <c r="W179" s="35"/>
      <c r="X179" s="35"/>
      <c r="Y179" s="35"/>
      <c r="Z179" s="35"/>
      <c r="AA179" s="35"/>
      <c r="AB179" s="35"/>
      <c r="AC179" s="35"/>
      <c r="AD179" s="35"/>
      <c r="AE179" s="35"/>
      <c r="AF179" s="35"/>
      <c r="AG179" s="25"/>
      <c r="AH179" s="25"/>
      <c r="AI179" s="25"/>
      <c r="AJ179" s="25"/>
      <c r="AK179" s="25"/>
      <c r="AL179" s="25"/>
      <c r="AM179" s="25"/>
      <c r="AN179" s="25"/>
      <c r="AO179" s="25"/>
      <c r="AP179" s="25"/>
      <c r="AQ179" s="25"/>
      <c r="AR179" s="25"/>
      <c r="AS179" s="25"/>
      <c r="AT179" s="25"/>
      <c r="AU179" s="25"/>
      <c r="AV179" s="25"/>
      <c r="AW179" s="25"/>
      <c r="AX179" s="25"/>
      <c r="AY179" s="25"/>
      <c r="AZ179" s="25"/>
      <c r="BA179" s="25"/>
    </row>
    <row r="180" spans="1:53" ht="12.75">
      <c r="A180" s="35"/>
      <c r="B180" s="35"/>
      <c r="C180" s="35"/>
      <c r="D180" s="40"/>
      <c r="E180" s="35"/>
      <c r="F180" s="35"/>
      <c r="G180" s="35"/>
      <c r="H180" s="35"/>
      <c r="I180" s="35"/>
      <c r="J180" s="35"/>
      <c r="K180" s="35"/>
      <c r="L180" s="35"/>
      <c r="M180" s="35"/>
      <c r="N180" s="35"/>
      <c r="O180" s="35"/>
      <c r="P180" s="35"/>
      <c r="Q180" s="35"/>
      <c r="R180" s="35"/>
      <c r="S180" s="35"/>
      <c r="T180" s="35"/>
      <c r="U180" s="35"/>
      <c r="V180" s="35"/>
      <c r="W180" s="35"/>
      <c r="X180" s="35"/>
      <c r="Y180" s="35"/>
      <c r="Z180" s="35"/>
      <c r="AA180" s="35"/>
      <c r="AB180" s="35"/>
      <c r="AC180" s="35"/>
      <c r="AD180" s="35"/>
      <c r="AE180" s="35"/>
      <c r="AF180" s="35"/>
      <c r="AG180" s="25"/>
      <c r="AH180" s="25"/>
      <c r="AI180" s="25"/>
      <c r="AJ180" s="25"/>
      <c r="AK180" s="25"/>
      <c r="AL180" s="25"/>
      <c r="AM180" s="25"/>
      <c r="AN180" s="25"/>
      <c r="AO180" s="25"/>
      <c r="AP180" s="25"/>
      <c r="AQ180" s="25"/>
      <c r="AR180" s="25"/>
      <c r="AS180" s="25"/>
      <c r="AT180" s="25"/>
      <c r="AU180" s="25"/>
      <c r="AV180" s="25"/>
      <c r="AW180" s="25"/>
      <c r="AX180" s="25"/>
      <c r="AY180" s="25"/>
      <c r="AZ180" s="25"/>
      <c r="BA180" s="25"/>
    </row>
    <row r="181" spans="1:53" ht="12.75">
      <c r="A181" s="35"/>
      <c r="B181" s="35"/>
      <c r="C181" s="35"/>
      <c r="D181" s="41"/>
      <c r="E181" s="41"/>
      <c r="F181" s="41"/>
      <c r="G181" s="41"/>
      <c r="H181" s="41"/>
      <c r="I181" s="41"/>
      <c r="J181" s="41"/>
      <c r="K181" s="41"/>
      <c r="L181" s="35"/>
      <c r="M181" s="35"/>
      <c r="N181" s="35"/>
      <c r="O181" s="35"/>
      <c r="P181" s="35"/>
      <c r="Q181" s="35"/>
      <c r="R181" s="35"/>
      <c r="S181" s="35"/>
      <c r="T181" s="35"/>
      <c r="U181" s="35"/>
      <c r="V181" s="35"/>
      <c r="W181" s="35"/>
      <c r="X181" s="35"/>
      <c r="Y181" s="35"/>
      <c r="Z181" s="35"/>
      <c r="AA181" s="35"/>
      <c r="AB181" s="35"/>
      <c r="AC181" s="35"/>
      <c r="AD181" s="35"/>
      <c r="AE181" s="35"/>
      <c r="AF181" s="35"/>
      <c r="AG181" s="25"/>
      <c r="AH181" s="25"/>
      <c r="AI181" s="25"/>
      <c r="AJ181" s="25"/>
      <c r="AK181" s="25"/>
      <c r="AL181" s="25"/>
      <c r="AM181" s="25"/>
      <c r="AN181" s="25"/>
      <c r="AO181" s="25"/>
      <c r="AP181" s="25"/>
      <c r="AQ181" s="25"/>
      <c r="AR181" s="25"/>
      <c r="AS181" s="25"/>
      <c r="AT181" s="25"/>
      <c r="AU181" s="25"/>
      <c r="AV181" s="25"/>
      <c r="AW181" s="25"/>
      <c r="AX181" s="25"/>
      <c r="AY181" s="25"/>
      <c r="AZ181" s="25"/>
      <c r="BA181" s="25"/>
    </row>
    <row r="182" spans="1:53" ht="12.75">
      <c r="A182" s="35"/>
      <c r="B182" s="35"/>
      <c r="C182" s="35"/>
      <c r="D182" s="41"/>
      <c r="E182" s="41"/>
      <c r="F182" s="41"/>
      <c r="G182" s="41"/>
      <c r="H182" s="41"/>
      <c r="I182" s="41"/>
      <c r="J182" s="41"/>
      <c r="K182" s="41"/>
      <c r="L182" s="35"/>
      <c r="M182" s="35"/>
      <c r="N182" s="35"/>
      <c r="O182" s="35"/>
      <c r="P182" s="35"/>
      <c r="Q182" s="35"/>
      <c r="R182" s="35"/>
      <c r="S182" s="35"/>
      <c r="T182" s="35"/>
      <c r="U182" s="35"/>
      <c r="V182" s="35"/>
      <c r="W182" s="35"/>
      <c r="X182" s="35"/>
      <c r="Y182" s="35"/>
      <c r="Z182" s="35"/>
      <c r="AA182" s="35"/>
      <c r="AB182" s="35"/>
      <c r="AC182" s="35"/>
      <c r="AD182" s="35"/>
      <c r="AE182" s="35"/>
      <c r="AF182" s="35"/>
      <c r="AG182" s="25"/>
      <c r="AH182" s="25"/>
      <c r="AI182" s="25"/>
      <c r="AJ182" s="25"/>
      <c r="AK182" s="25"/>
      <c r="AL182" s="25"/>
      <c r="AM182" s="25"/>
      <c r="AN182" s="25"/>
      <c r="AO182" s="25"/>
      <c r="AP182" s="25"/>
      <c r="AQ182" s="25"/>
      <c r="AR182" s="25"/>
      <c r="AS182" s="25"/>
      <c r="AT182" s="25"/>
      <c r="AU182" s="25"/>
      <c r="AV182" s="25"/>
      <c r="AW182" s="25"/>
      <c r="AX182" s="25"/>
      <c r="AY182" s="25"/>
      <c r="AZ182" s="25"/>
      <c r="BA182" s="25"/>
    </row>
    <row r="183" spans="1:53" ht="12.75">
      <c r="A183" s="35"/>
      <c r="B183" s="35"/>
      <c r="C183" s="35"/>
      <c r="D183" s="35"/>
      <c r="E183" s="41"/>
      <c r="F183" s="41"/>
      <c r="G183" s="35"/>
      <c r="H183" s="35"/>
      <c r="I183" s="35"/>
      <c r="J183" s="35"/>
      <c r="K183" s="35"/>
      <c r="L183" s="35"/>
      <c r="M183" s="35"/>
      <c r="N183" s="35"/>
      <c r="O183" s="35"/>
      <c r="P183" s="35"/>
      <c r="Q183" s="35"/>
      <c r="R183" s="35"/>
      <c r="S183" s="35"/>
      <c r="T183" s="35"/>
      <c r="U183" s="35"/>
      <c r="V183" s="35"/>
      <c r="W183" s="35"/>
      <c r="X183" s="35"/>
      <c r="Y183" s="35"/>
      <c r="Z183" s="35"/>
      <c r="AA183" s="35"/>
      <c r="AB183" s="35"/>
      <c r="AC183" s="35"/>
      <c r="AD183" s="35"/>
      <c r="AE183" s="35"/>
      <c r="AF183" s="35"/>
      <c r="AG183" s="25"/>
      <c r="AH183" s="25"/>
      <c r="AI183" s="25"/>
      <c r="AJ183" s="25"/>
      <c r="AK183" s="25"/>
      <c r="AL183" s="25"/>
      <c r="AM183" s="25"/>
      <c r="AN183" s="25"/>
      <c r="AO183" s="25"/>
      <c r="AP183" s="25"/>
      <c r="AQ183" s="25"/>
      <c r="AR183" s="25"/>
      <c r="AS183" s="25"/>
      <c r="AT183" s="25"/>
      <c r="AU183" s="25"/>
      <c r="AV183" s="25"/>
      <c r="AW183" s="25"/>
      <c r="AX183" s="25"/>
      <c r="AY183" s="25"/>
      <c r="AZ183" s="25"/>
      <c r="BA183" s="25"/>
    </row>
    <row r="184" spans="1:53" ht="12.75">
      <c r="A184" s="35"/>
      <c r="B184" s="35"/>
      <c r="C184" s="35"/>
      <c r="D184" s="35"/>
      <c r="E184" s="35"/>
      <c r="F184" s="41"/>
      <c r="G184" s="35"/>
      <c r="H184" s="35"/>
      <c r="I184" s="35"/>
      <c r="J184" s="35"/>
      <c r="K184" s="35"/>
      <c r="L184" s="35"/>
      <c r="M184" s="35"/>
      <c r="N184" s="35"/>
      <c r="O184" s="35"/>
      <c r="P184" s="35"/>
      <c r="Q184" s="35"/>
      <c r="R184" s="35"/>
      <c r="S184" s="35"/>
      <c r="T184" s="35"/>
      <c r="U184" s="35"/>
      <c r="V184" s="35"/>
      <c r="W184" s="35"/>
      <c r="X184" s="35"/>
      <c r="Y184" s="35"/>
      <c r="Z184" s="35"/>
      <c r="AA184" s="35"/>
      <c r="AB184" s="35"/>
      <c r="AC184" s="35"/>
      <c r="AD184" s="35"/>
      <c r="AE184" s="35"/>
      <c r="AF184" s="35"/>
      <c r="AG184" s="25"/>
      <c r="AH184" s="25"/>
      <c r="AI184" s="25"/>
      <c r="AJ184" s="25"/>
      <c r="AK184" s="25"/>
      <c r="AL184" s="25"/>
      <c r="AM184" s="25"/>
      <c r="AN184" s="25"/>
      <c r="AO184" s="25"/>
      <c r="AP184" s="25"/>
      <c r="AQ184" s="25"/>
      <c r="AR184" s="25"/>
      <c r="AS184" s="25"/>
      <c r="AT184" s="25"/>
      <c r="AU184" s="25"/>
      <c r="AV184" s="25"/>
      <c r="AW184" s="25"/>
      <c r="AX184" s="25"/>
      <c r="AY184" s="25"/>
      <c r="AZ184" s="25"/>
      <c r="BA184" s="25"/>
    </row>
    <row r="185" spans="1:53" ht="12.75">
      <c r="A185" s="35"/>
      <c r="B185" s="35"/>
      <c r="C185" s="35"/>
      <c r="D185" s="35"/>
      <c r="E185" s="41"/>
      <c r="F185" s="41"/>
      <c r="G185" s="35"/>
      <c r="H185" s="35"/>
      <c r="I185" s="35"/>
      <c r="J185" s="35"/>
      <c r="K185" s="35"/>
      <c r="L185" s="35"/>
      <c r="M185" s="35"/>
      <c r="N185" s="35"/>
      <c r="O185" s="35"/>
      <c r="P185" s="35"/>
      <c r="Q185" s="35"/>
      <c r="R185" s="35"/>
      <c r="S185" s="35"/>
      <c r="T185" s="35"/>
      <c r="U185" s="35"/>
      <c r="V185" s="35"/>
      <c r="W185" s="35"/>
      <c r="X185" s="35"/>
      <c r="Y185" s="35"/>
      <c r="Z185" s="35"/>
      <c r="AA185" s="35"/>
      <c r="AB185" s="35"/>
      <c r="AC185" s="35"/>
      <c r="AD185" s="35"/>
      <c r="AE185" s="35"/>
      <c r="AF185" s="35"/>
      <c r="AG185" s="25"/>
      <c r="AH185" s="25"/>
      <c r="AI185" s="25"/>
      <c r="AJ185" s="25"/>
      <c r="AK185" s="25"/>
      <c r="AL185" s="25"/>
      <c r="AM185" s="25"/>
      <c r="AN185" s="25"/>
      <c r="AO185" s="25"/>
      <c r="AP185" s="25"/>
      <c r="AQ185" s="25"/>
      <c r="AR185" s="25"/>
      <c r="AS185" s="25"/>
      <c r="AT185" s="25"/>
      <c r="AU185" s="25"/>
      <c r="AV185" s="25"/>
      <c r="AW185" s="25"/>
      <c r="AX185" s="25"/>
      <c r="AY185" s="25"/>
      <c r="AZ185" s="25"/>
      <c r="BA185" s="25"/>
    </row>
    <row r="186" spans="1:53" ht="12.75">
      <c r="A186" s="35"/>
      <c r="B186" s="35"/>
      <c r="C186" s="35"/>
      <c r="D186" s="35"/>
      <c r="E186" s="41"/>
      <c r="F186" s="41"/>
      <c r="G186" s="35"/>
      <c r="H186" s="35"/>
      <c r="I186" s="35"/>
      <c r="J186" s="35"/>
      <c r="K186" s="35"/>
      <c r="L186" s="35"/>
      <c r="M186" s="35"/>
      <c r="N186" s="35"/>
      <c r="O186" s="35"/>
      <c r="P186" s="35"/>
      <c r="Q186" s="35"/>
      <c r="R186" s="35"/>
      <c r="S186" s="35"/>
      <c r="T186" s="35"/>
      <c r="U186" s="35"/>
      <c r="V186" s="35"/>
      <c r="W186" s="35"/>
      <c r="X186" s="35"/>
      <c r="Y186" s="35"/>
      <c r="Z186" s="35"/>
      <c r="AA186" s="35"/>
      <c r="AB186" s="35"/>
      <c r="AC186" s="35"/>
      <c r="AD186" s="35"/>
      <c r="AE186" s="35"/>
      <c r="AF186" s="35"/>
      <c r="AG186" s="25"/>
      <c r="AH186" s="25"/>
      <c r="AI186" s="25"/>
      <c r="AJ186" s="25"/>
      <c r="AK186" s="25"/>
      <c r="AL186" s="25"/>
      <c r="AM186" s="25"/>
      <c r="AN186" s="25"/>
      <c r="AO186" s="25"/>
      <c r="AP186" s="25"/>
      <c r="AQ186" s="25"/>
      <c r="AR186" s="25"/>
      <c r="AS186" s="25"/>
      <c r="AT186" s="25"/>
      <c r="AU186" s="25"/>
      <c r="AV186" s="25"/>
      <c r="AW186" s="25"/>
      <c r="AX186" s="25"/>
      <c r="AY186" s="25"/>
      <c r="AZ186" s="25"/>
      <c r="BA186" s="25"/>
    </row>
    <row r="187" spans="1:53" ht="12.75">
      <c r="A187" s="35"/>
      <c r="B187" s="35"/>
      <c r="C187" s="35"/>
      <c r="D187" s="41"/>
      <c r="E187" s="35"/>
      <c r="F187" s="41"/>
      <c r="G187" s="35"/>
      <c r="H187" s="35"/>
      <c r="I187" s="35"/>
      <c r="J187" s="35"/>
      <c r="K187" s="35"/>
      <c r="L187" s="35"/>
      <c r="M187" s="35"/>
      <c r="N187" s="35"/>
      <c r="O187" s="35"/>
      <c r="P187" s="35"/>
      <c r="Q187" s="35"/>
      <c r="R187" s="35"/>
      <c r="S187" s="35"/>
      <c r="T187" s="35"/>
      <c r="U187" s="35"/>
      <c r="V187" s="35"/>
      <c r="W187" s="35"/>
      <c r="X187" s="35"/>
      <c r="Y187" s="35"/>
      <c r="Z187" s="35"/>
      <c r="AA187" s="35"/>
      <c r="AB187" s="35"/>
      <c r="AC187" s="35"/>
      <c r="AD187" s="35"/>
      <c r="AE187" s="35"/>
      <c r="AF187" s="35"/>
      <c r="AG187" s="25"/>
      <c r="AH187" s="25"/>
      <c r="AI187" s="25"/>
      <c r="AJ187" s="25"/>
      <c r="AK187" s="25"/>
      <c r="AL187" s="25"/>
      <c r="AM187" s="25"/>
      <c r="AN187" s="25"/>
      <c r="AO187" s="25"/>
      <c r="AP187" s="25"/>
      <c r="AQ187" s="25"/>
      <c r="AR187" s="25"/>
      <c r="AS187" s="25"/>
      <c r="AT187" s="25"/>
      <c r="AU187" s="25"/>
      <c r="AV187" s="25"/>
      <c r="AW187" s="25"/>
      <c r="AX187" s="25"/>
      <c r="AY187" s="25"/>
      <c r="AZ187" s="25"/>
      <c r="BA187" s="25"/>
    </row>
    <row r="188" spans="1:53" ht="12.75">
      <c r="A188" s="35"/>
      <c r="B188" s="35"/>
      <c r="C188" s="35"/>
      <c r="D188" s="35"/>
      <c r="E188" s="41"/>
      <c r="F188" s="41"/>
      <c r="G188" s="35"/>
      <c r="H188" s="35"/>
      <c r="I188" s="35"/>
      <c r="J188" s="35"/>
      <c r="K188" s="35"/>
      <c r="L188" s="35"/>
      <c r="M188" s="35"/>
      <c r="N188" s="35"/>
      <c r="O188" s="35"/>
      <c r="P188" s="35"/>
      <c r="Q188" s="35"/>
      <c r="R188" s="35"/>
      <c r="S188" s="35"/>
      <c r="T188" s="35"/>
      <c r="U188" s="35"/>
      <c r="V188" s="35"/>
      <c r="W188" s="35"/>
      <c r="X188" s="35"/>
      <c r="Y188" s="35"/>
      <c r="Z188" s="35"/>
      <c r="AA188" s="35"/>
      <c r="AB188" s="35"/>
      <c r="AC188" s="35"/>
      <c r="AD188" s="35"/>
      <c r="AE188" s="35"/>
      <c r="AF188" s="35"/>
      <c r="AG188" s="25"/>
      <c r="AH188" s="25"/>
      <c r="AI188" s="25"/>
      <c r="AJ188" s="25"/>
      <c r="AK188" s="25"/>
      <c r="AL188" s="25"/>
      <c r="AM188" s="25"/>
      <c r="AN188" s="25"/>
      <c r="AO188" s="25"/>
      <c r="AP188" s="25"/>
      <c r="AQ188" s="25"/>
      <c r="AR188" s="25"/>
      <c r="AS188" s="25"/>
      <c r="AT188" s="25"/>
      <c r="AU188" s="25"/>
      <c r="AV188" s="25"/>
      <c r="AW188" s="25"/>
      <c r="AX188" s="25"/>
      <c r="AY188" s="25"/>
      <c r="AZ188" s="25"/>
      <c r="BA188" s="25"/>
    </row>
    <row r="189" spans="1:53" ht="12.75">
      <c r="A189" s="35"/>
      <c r="B189" s="35"/>
      <c r="C189" s="35"/>
      <c r="D189" s="35"/>
      <c r="E189" s="35"/>
      <c r="F189" s="41"/>
      <c r="G189" s="35"/>
      <c r="H189" s="35"/>
      <c r="I189" s="35"/>
      <c r="J189" s="35"/>
      <c r="K189" s="35"/>
      <c r="L189" s="35"/>
      <c r="M189" s="35"/>
      <c r="N189" s="35"/>
      <c r="O189" s="35"/>
      <c r="P189" s="35"/>
      <c r="Q189" s="35"/>
      <c r="R189" s="35"/>
      <c r="S189" s="35"/>
      <c r="T189" s="35"/>
      <c r="U189" s="35"/>
      <c r="V189" s="35"/>
      <c r="W189" s="35"/>
      <c r="X189" s="35"/>
      <c r="Y189" s="35"/>
      <c r="Z189" s="35"/>
      <c r="AA189" s="35"/>
      <c r="AB189" s="35"/>
      <c r="AC189" s="35"/>
      <c r="AD189" s="35"/>
      <c r="AE189" s="35"/>
      <c r="AF189" s="35"/>
      <c r="AG189" s="25"/>
      <c r="AH189" s="25"/>
      <c r="AI189" s="25"/>
      <c r="AJ189" s="25"/>
      <c r="AK189" s="25"/>
      <c r="AL189" s="25"/>
      <c r="AM189" s="25"/>
      <c r="AN189" s="25"/>
      <c r="AO189" s="25"/>
      <c r="AP189" s="25"/>
      <c r="AQ189" s="25"/>
      <c r="AR189" s="25"/>
      <c r="AS189" s="25"/>
      <c r="AT189" s="25"/>
      <c r="AU189" s="25"/>
      <c r="AV189" s="25"/>
      <c r="AW189" s="25"/>
      <c r="AX189" s="25"/>
      <c r="AY189" s="25"/>
      <c r="AZ189" s="25"/>
      <c r="BA189" s="25"/>
    </row>
    <row r="190" spans="1:53" ht="12.75">
      <c r="A190" s="35"/>
      <c r="B190" s="35"/>
      <c r="C190" s="35"/>
      <c r="D190" s="35"/>
      <c r="E190" s="35"/>
      <c r="F190" s="41"/>
      <c r="G190" s="35"/>
      <c r="H190" s="35"/>
      <c r="I190" s="35"/>
      <c r="J190" s="35"/>
      <c r="K190" s="35"/>
      <c r="L190" s="35"/>
      <c r="M190" s="35"/>
      <c r="N190" s="35"/>
      <c r="O190" s="35"/>
      <c r="P190" s="35"/>
      <c r="Q190" s="35"/>
      <c r="R190" s="35"/>
      <c r="S190" s="35"/>
      <c r="T190" s="35"/>
      <c r="U190" s="35"/>
      <c r="V190" s="35"/>
      <c r="W190" s="35"/>
      <c r="X190" s="35"/>
      <c r="Y190" s="35"/>
      <c r="Z190" s="35"/>
      <c r="AA190" s="35"/>
      <c r="AB190" s="35"/>
      <c r="AC190" s="35"/>
      <c r="AD190" s="35"/>
      <c r="AE190" s="35"/>
      <c r="AF190" s="35"/>
      <c r="AG190" s="25"/>
      <c r="AH190" s="25"/>
      <c r="AI190" s="25"/>
      <c r="AJ190" s="25"/>
      <c r="AK190" s="25"/>
      <c r="AL190" s="25"/>
      <c r="AM190" s="25"/>
      <c r="AN190" s="25"/>
      <c r="AO190" s="25"/>
      <c r="AP190" s="25"/>
      <c r="AQ190" s="25"/>
      <c r="AR190" s="25"/>
      <c r="AS190" s="25"/>
      <c r="AT190" s="25"/>
      <c r="AU190" s="25"/>
      <c r="AV190" s="25"/>
      <c r="AW190" s="25"/>
      <c r="AX190" s="25"/>
      <c r="AY190" s="25"/>
      <c r="AZ190" s="25"/>
      <c r="BA190" s="25"/>
    </row>
    <row r="191" spans="1:53" ht="12.75">
      <c r="A191" s="35"/>
      <c r="B191" s="35"/>
      <c r="C191" s="35"/>
      <c r="D191" s="35"/>
      <c r="E191" s="35"/>
      <c r="F191" s="41"/>
      <c r="G191" s="35"/>
      <c r="H191" s="35"/>
      <c r="I191" s="35"/>
      <c r="J191" s="35"/>
      <c r="K191" s="35"/>
      <c r="L191" s="35"/>
      <c r="M191" s="35"/>
      <c r="N191" s="35"/>
      <c r="O191" s="35"/>
      <c r="P191" s="35"/>
      <c r="Q191" s="35"/>
      <c r="R191" s="35"/>
      <c r="S191" s="35"/>
      <c r="T191" s="35"/>
      <c r="U191" s="35"/>
      <c r="V191" s="35"/>
      <c r="W191" s="35"/>
      <c r="X191" s="35"/>
      <c r="Y191" s="35"/>
      <c r="Z191" s="35"/>
      <c r="AA191" s="35"/>
      <c r="AB191" s="35"/>
      <c r="AC191" s="35"/>
      <c r="AD191" s="35"/>
      <c r="AE191" s="35"/>
      <c r="AF191" s="35"/>
      <c r="AG191" s="25"/>
      <c r="AH191" s="25"/>
      <c r="AI191" s="25"/>
      <c r="AJ191" s="25"/>
      <c r="AK191" s="25"/>
      <c r="AL191" s="25"/>
      <c r="AM191" s="25"/>
      <c r="AN191" s="25"/>
      <c r="AO191" s="25"/>
      <c r="AP191" s="25"/>
      <c r="AQ191" s="25"/>
      <c r="AR191" s="25"/>
      <c r="AS191" s="25"/>
      <c r="AT191" s="25"/>
      <c r="AU191" s="25"/>
      <c r="AV191" s="25"/>
      <c r="AW191" s="25"/>
      <c r="AX191" s="25"/>
      <c r="AY191" s="25"/>
      <c r="AZ191" s="25"/>
      <c r="BA191" s="25"/>
    </row>
    <row r="192" spans="1:53" ht="12.75">
      <c r="A192" s="35"/>
      <c r="B192" s="35"/>
      <c r="C192" s="35"/>
      <c r="D192" s="35"/>
      <c r="E192" s="35"/>
      <c r="F192" s="41"/>
      <c r="G192" s="35"/>
      <c r="H192" s="35"/>
      <c r="I192" s="35"/>
      <c r="J192" s="35"/>
      <c r="K192" s="35"/>
      <c r="L192" s="35"/>
      <c r="M192" s="35"/>
      <c r="N192" s="35"/>
      <c r="O192" s="35"/>
      <c r="P192" s="35"/>
      <c r="Q192" s="35"/>
      <c r="R192" s="35"/>
      <c r="S192" s="35"/>
      <c r="T192" s="35"/>
      <c r="U192" s="35"/>
      <c r="V192" s="35"/>
      <c r="W192" s="35"/>
      <c r="X192" s="35"/>
      <c r="Y192" s="35"/>
      <c r="Z192" s="35"/>
      <c r="AA192" s="35"/>
      <c r="AB192" s="35"/>
      <c r="AC192" s="35"/>
      <c r="AD192" s="35"/>
      <c r="AE192" s="35"/>
      <c r="AF192" s="35"/>
      <c r="AG192" s="25"/>
      <c r="AH192" s="25"/>
      <c r="AI192" s="25"/>
      <c r="AJ192" s="25"/>
      <c r="AK192" s="25"/>
      <c r="AL192" s="25"/>
      <c r="AM192" s="25"/>
      <c r="AN192" s="25"/>
      <c r="AO192" s="25"/>
      <c r="AP192" s="25"/>
      <c r="AQ192" s="25"/>
      <c r="AR192" s="25"/>
      <c r="AS192" s="25"/>
      <c r="AT192" s="25"/>
      <c r="AU192" s="25"/>
      <c r="AV192" s="25"/>
      <c r="AW192" s="25"/>
      <c r="AX192" s="25"/>
      <c r="AY192" s="25"/>
      <c r="AZ192" s="25"/>
      <c r="BA192" s="25"/>
    </row>
    <row r="193" spans="1:53" ht="12.75">
      <c r="A193" s="35"/>
      <c r="B193" s="35"/>
      <c r="C193" s="35"/>
      <c r="D193" s="35"/>
      <c r="E193" s="35"/>
      <c r="F193" s="41"/>
      <c r="G193" s="35"/>
      <c r="H193" s="35"/>
      <c r="I193" s="35"/>
      <c r="J193" s="35"/>
      <c r="K193" s="35"/>
      <c r="L193" s="35"/>
      <c r="M193" s="35"/>
      <c r="N193" s="35"/>
      <c r="O193" s="35"/>
      <c r="P193" s="35"/>
      <c r="Q193" s="35"/>
      <c r="R193" s="35"/>
      <c r="S193" s="35"/>
      <c r="T193" s="35"/>
      <c r="U193" s="35"/>
      <c r="V193" s="35"/>
      <c r="W193" s="35"/>
      <c r="X193" s="35"/>
      <c r="Y193" s="35"/>
      <c r="Z193" s="35"/>
      <c r="AA193" s="35"/>
      <c r="AB193" s="35"/>
      <c r="AC193" s="35"/>
      <c r="AD193" s="35"/>
      <c r="AE193" s="35"/>
      <c r="AF193" s="35"/>
      <c r="AG193" s="25"/>
      <c r="AH193" s="25"/>
      <c r="AI193" s="25"/>
      <c r="AJ193" s="25"/>
      <c r="AK193" s="25"/>
      <c r="AL193" s="25"/>
      <c r="AM193" s="25"/>
      <c r="AN193" s="25"/>
      <c r="AO193" s="25"/>
      <c r="AP193" s="25"/>
      <c r="AQ193" s="25"/>
      <c r="AR193" s="25"/>
      <c r="AS193" s="25"/>
      <c r="AT193" s="25"/>
      <c r="AU193" s="25"/>
      <c r="AV193" s="25"/>
      <c r="AW193" s="25"/>
      <c r="AX193" s="25"/>
      <c r="AY193" s="25"/>
      <c r="AZ193" s="25"/>
      <c r="BA193" s="25"/>
    </row>
    <row r="194" spans="1:53" ht="12.75">
      <c r="A194" s="35"/>
      <c r="B194" s="35"/>
      <c r="C194" s="35"/>
      <c r="D194" s="35"/>
      <c r="E194" s="35"/>
      <c r="F194" s="41"/>
      <c r="G194" s="35"/>
      <c r="H194" s="35"/>
      <c r="I194" s="35"/>
      <c r="J194" s="35"/>
      <c r="K194" s="35"/>
      <c r="L194" s="35"/>
      <c r="M194" s="35"/>
      <c r="N194" s="35"/>
      <c r="O194" s="35"/>
      <c r="P194" s="35"/>
      <c r="Q194" s="35"/>
      <c r="R194" s="35"/>
      <c r="S194" s="35"/>
      <c r="T194" s="35"/>
      <c r="U194" s="35"/>
      <c r="V194" s="35"/>
      <c r="W194" s="35"/>
      <c r="X194" s="35"/>
      <c r="Y194" s="35"/>
      <c r="Z194" s="35"/>
      <c r="AA194" s="35"/>
      <c r="AB194" s="35"/>
      <c r="AC194" s="35"/>
      <c r="AD194" s="35"/>
      <c r="AE194" s="35"/>
      <c r="AF194" s="35"/>
      <c r="AG194" s="25"/>
      <c r="AH194" s="25"/>
      <c r="AI194" s="25"/>
      <c r="AJ194" s="25"/>
      <c r="AK194" s="25"/>
      <c r="AL194" s="25"/>
      <c r="AM194" s="25"/>
      <c r="AN194" s="25"/>
      <c r="AO194" s="25"/>
      <c r="AP194" s="25"/>
      <c r="AQ194" s="25"/>
      <c r="AR194" s="25"/>
      <c r="AS194" s="25"/>
      <c r="AT194" s="25"/>
      <c r="AU194" s="25"/>
      <c r="AV194" s="25"/>
      <c r="AW194" s="25"/>
      <c r="AX194" s="25"/>
      <c r="AY194" s="25"/>
      <c r="AZ194" s="25"/>
      <c r="BA194" s="25"/>
    </row>
    <row r="195" spans="1:53" ht="12.75">
      <c r="A195" s="35"/>
      <c r="B195" s="35"/>
      <c r="C195" s="35"/>
      <c r="D195" s="35"/>
      <c r="E195" s="35"/>
      <c r="F195" s="41"/>
      <c r="G195" s="35"/>
      <c r="H195" s="35"/>
      <c r="I195" s="35"/>
      <c r="J195" s="35"/>
      <c r="K195" s="35"/>
      <c r="L195" s="35"/>
      <c r="M195" s="35"/>
      <c r="N195" s="35"/>
      <c r="O195" s="35"/>
      <c r="P195" s="35"/>
      <c r="Q195" s="35"/>
      <c r="R195" s="35"/>
      <c r="S195" s="35"/>
      <c r="T195" s="35"/>
      <c r="U195" s="35"/>
      <c r="V195" s="35"/>
      <c r="W195" s="35"/>
      <c r="X195" s="35"/>
      <c r="Y195" s="35"/>
      <c r="Z195" s="35"/>
      <c r="AA195" s="35"/>
      <c r="AB195" s="35"/>
      <c r="AC195" s="35"/>
      <c r="AD195" s="35"/>
      <c r="AE195" s="35"/>
      <c r="AF195" s="35"/>
      <c r="AG195" s="25"/>
      <c r="AH195" s="25"/>
      <c r="AI195" s="25"/>
      <c r="AJ195" s="25"/>
      <c r="AK195" s="25"/>
      <c r="AL195" s="25"/>
      <c r="AM195" s="25"/>
      <c r="AN195" s="25"/>
      <c r="AO195" s="25"/>
      <c r="AP195" s="25"/>
      <c r="AQ195" s="25"/>
      <c r="AR195" s="25"/>
      <c r="AS195" s="25"/>
      <c r="AT195" s="25"/>
      <c r="AU195" s="25"/>
      <c r="AV195" s="25"/>
      <c r="AW195" s="25"/>
      <c r="AX195" s="25"/>
      <c r="AY195" s="25"/>
      <c r="AZ195" s="25"/>
      <c r="BA195" s="25"/>
    </row>
    <row r="196" spans="1:53" ht="12.75">
      <c r="A196" s="35"/>
      <c r="B196" s="35"/>
      <c r="C196" s="35"/>
      <c r="D196" s="35"/>
      <c r="E196" s="35"/>
      <c r="F196" s="41"/>
      <c r="G196" s="35"/>
      <c r="H196" s="35"/>
      <c r="I196" s="35"/>
      <c r="J196" s="35"/>
      <c r="K196" s="35"/>
      <c r="L196" s="35"/>
      <c r="M196" s="35"/>
      <c r="N196" s="35"/>
      <c r="O196" s="35"/>
      <c r="P196" s="35"/>
      <c r="Q196" s="35"/>
      <c r="R196" s="35"/>
      <c r="S196" s="35"/>
      <c r="T196" s="35"/>
      <c r="U196" s="35"/>
      <c r="V196" s="35"/>
      <c r="W196" s="35"/>
      <c r="X196" s="35"/>
      <c r="Y196" s="35"/>
      <c r="Z196" s="35"/>
      <c r="AA196" s="35"/>
      <c r="AB196" s="35"/>
      <c r="AC196" s="35"/>
      <c r="AD196" s="35"/>
      <c r="AE196" s="35"/>
      <c r="AF196" s="35"/>
      <c r="AG196" s="25"/>
      <c r="AH196" s="25"/>
      <c r="AI196" s="25"/>
      <c r="AJ196" s="25"/>
      <c r="AK196" s="25"/>
      <c r="AL196" s="25"/>
      <c r="AM196" s="25"/>
      <c r="AN196" s="25"/>
      <c r="AO196" s="25"/>
      <c r="AP196" s="25"/>
      <c r="AQ196" s="25"/>
      <c r="AR196" s="25"/>
      <c r="AS196" s="25"/>
      <c r="AT196" s="25"/>
      <c r="AU196" s="25"/>
      <c r="AV196" s="25"/>
      <c r="AW196" s="25"/>
      <c r="AX196" s="25"/>
      <c r="AY196" s="25"/>
      <c r="AZ196" s="25"/>
      <c r="BA196" s="25"/>
    </row>
    <row r="197" spans="1:53" ht="12.75">
      <c r="A197" s="35"/>
      <c r="B197" s="35"/>
      <c r="C197" s="35"/>
      <c r="D197" s="35"/>
      <c r="E197" s="35"/>
      <c r="F197" s="35"/>
      <c r="G197" s="35"/>
      <c r="H197" s="35"/>
      <c r="I197" s="35"/>
      <c r="J197" s="35"/>
      <c r="K197" s="35"/>
      <c r="L197" s="35"/>
      <c r="M197" s="35"/>
      <c r="N197" s="35"/>
      <c r="O197" s="35"/>
      <c r="P197" s="35"/>
      <c r="Q197" s="35"/>
      <c r="R197" s="35"/>
      <c r="S197" s="35"/>
      <c r="T197" s="35"/>
      <c r="U197" s="35"/>
      <c r="V197" s="35"/>
      <c r="W197" s="35"/>
      <c r="X197" s="35"/>
      <c r="Y197" s="35"/>
      <c r="Z197" s="35"/>
      <c r="AA197" s="35"/>
      <c r="AB197" s="35"/>
      <c r="AC197" s="35"/>
      <c r="AD197" s="35"/>
      <c r="AE197" s="35"/>
      <c r="AF197" s="35"/>
      <c r="AG197" s="25"/>
      <c r="AH197" s="25"/>
      <c r="AI197" s="25"/>
      <c r="AJ197" s="25"/>
      <c r="AK197" s="25"/>
      <c r="AL197" s="25"/>
      <c r="AM197" s="25"/>
      <c r="AN197" s="25"/>
      <c r="AO197" s="25"/>
      <c r="AP197" s="25"/>
      <c r="AQ197" s="25"/>
      <c r="AR197" s="25"/>
      <c r="AS197" s="25"/>
      <c r="AT197" s="25"/>
      <c r="AU197" s="25"/>
      <c r="AV197" s="25"/>
      <c r="AW197" s="25"/>
      <c r="AX197" s="25"/>
      <c r="AY197" s="25"/>
      <c r="AZ197" s="25"/>
      <c r="BA197" s="25"/>
    </row>
    <row r="198" spans="1:53" ht="12.75">
      <c r="A198" s="35"/>
      <c r="B198" s="35"/>
      <c r="C198" s="35"/>
      <c r="D198" s="42"/>
      <c r="E198" s="35"/>
      <c r="F198" s="35"/>
      <c r="G198" s="35"/>
      <c r="H198" s="35"/>
      <c r="I198" s="35"/>
      <c r="J198" s="35"/>
      <c r="K198" s="35"/>
      <c r="L198" s="35"/>
      <c r="M198" s="35"/>
      <c r="N198" s="35"/>
      <c r="O198" s="35"/>
      <c r="P198" s="35"/>
      <c r="Q198" s="35"/>
      <c r="R198" s="35"/>
      <c r="S198" s="35"/>
      <c r="T198" s="35"/>
      <c r="U198" s="35"/>
      <c r="V198" s="35"/>
      <c r="W198" s="35"/>
      <c r="X198" s="35"/>
      <c r="Y198" s="35"/>
      <c r="Z198" s="35"/>
      <c r="AA198" s="35"/>
      <c r="AB198" s="35"/>
      <c r="AC198" s="35"/>
      <c r="AD198" s="35"/>
      <c r="AE198" s="35"/>
      <c r="AF198" s="35"/>
      <c r="AG198" s="25"/>
      <c r="AH198" s="25"/>
      <c r="AI198" s="25"/>
      <c r="AJ198" s="25"/>
      <c r="AK198" s="25"/>
      <c r="AL198" s="25"/>
      <c r="AM198" s="25"/>
      <c r="AN198" s="25"/>
      <c r="AO198" s="25"/>
      <c r="AP198" s="25"/>
      <c r="AQ198" s="25"/>
      <c r="AR198" s="25"/>
      <c r="AS198" s="25"/>
      <c r="AT198" s="25"/>
      <c r="AU198" s="25"/>
      <c r="AV198" s="25"/>
      <c r="AW198" s="25"/>
      <c r="AX198" s="25"/>
      <c r="AY198" s="25"/>
      <c r="AZ198" s="25"/>
      <c r="BA198" s="25"/>
    </row>
    <row r="199" spans="1:53" ht="12.75">
      <c r="A199" s="35"/>
      <c r="B199" s="35"/>
      <c r="C199" s="35"/>
      <c r="D199" s="35"/>
      <c r="E199" s="35"/>
      <c r="F199" s="35"/>
      <c r="G199" s="35"/>
      <c r="H199" s="35"/>
      <c r="I199" s="35"/>
      <c r="J199" s="35"/>
      <c r="K199" s="35"/>
      <c r="L199" s="35"/>
      <c r="M199" s="35"/>
      <c r="N199" s="35"/>
      <c r="O199" s="35"/>
      <c r="P199" s="35"/>
      <c r="Q199" s="35"/>
      <c r="R199" s="35"/>
      <c r="S199" s="35"/>
      <c r="T199" s="35"/>
      <c r="U199" s="35"/>
      <c r="V199" s="35"/>
      <c r="W199" s="35"/>
      <c r="X199" s="35"/>
      <c r="Y199" s="35"/>
      <c r="Z199" s="35"/>
      <c r="AA199" s="35"/>
      <c r="AB199" s="35"/>
      <c r="AC199" s="35"/>
      <c r="AD199" s="35"/>
      <c r="AE199" s="35"/>
      <c r="AF199" s="35"/>
      <c r="AG199" s="25"/>
      <c r="AH199" s="25"/>
      <c r="AI199" s="25"/>
      <c r="AJ199" s="25"/>
      <c r="AK199" s="25"/>
      <c r="AL199" s="25"/>
      <c r="AM199" s="25"/>
      <c r="AN199" s="25"/>
      <c r="AO199" s="25"/>
      <c r="AP199" s="25"/>
      <c r="AQ199" s="25"/>
      <c r="AR199" s="25"/>
      <c r="AS199" s="25"/>
      <c r="AT199" s="25"/>
      <c r="AU199" s="25"/>
      <c r="AV199" s="25"/>
      <c r="AW199" s="25"/>
      <c r="AX199" s="25"/>
      <c r="AY199" s="25"/>
      <c r="AZ199" s="25"/>
      <c r="BA199" s="25"/>
    </row>
    <row r="200" spans="1:53" ht="12.75">
      <c r="A200" s="35"/>
      <c r="B200" s="35"/>
      <c r="C200" s="35"/>
      <c r="D200" s="35"/>
      <c r="E200" s="35"/>
      <c r="F200" s="35"/>
      <c r="G200" s="35"/>
      <c r="H200" s="35"/>
      <c r="I200" s="35"/>
      <c r="J200" s="35"/>
      <c r="K200" s="35"/>
      <c r="L200" s="35"/>
      <c r="M200" s="35"/>
      <c r="N200" s="35"/>
      <c r="O200" s="35"/>
      <c r="P200" s="35"/>
      <c r="Q200" s="35"/>
      <c r="R200" s="35"/>
      <c r="S200" s="35"/>
      <c r="T200" s="35"/>
      <c r="U200" s="35"/>
      <c r="V200" s="35"/>
      <c r="W200" s="35"/>
      <c r="X200" s="35"/>
      <c r="Y200" s="35"/>
      <c r="Z200" s="35"/>
      <c r="AA200" s="35"/>
      <c r="AB200" s="35"/>
      <c r="AC200" s="35"/>
      <c r="AD200" s="35"/>
      <c r="AE200" s="35"/>
      <c r="AF200" s="35"/>
      <c r="AG200" s="25"/>
      <c r="AH200" s="25"/>
      <c r="AI200" s="25"/>
      <c r="AJ200" s="25"/>
      <c r="AK200" s="25"/>
      <c r="AL200" s="25"/>
      <c r="AM200" s="25"/>
      <c r="AN200" s="25"/>
      <c r="AO200" s="25"/>
      <c r="AP200" s="25"/>
      <c r="AQ200" s="25"/>
      <c r="AR200" s="25"/>
      <c r="AS200" s="25"/>
      <c r="AT200" s="25"/>
      <c r="AU200" s="25"/>
      <c r="AV200" s="25"/>
      <c r="AW200" s="25"/>
      <c r="AX200" s="25"/>
      <c r="AY200" s="25"/>
      <c r="AZ200" s="25"/>
      <c r="BA200" s="25"/>
    </row>
    <row r="201" spans="1:53" ht="12.75">
      <c r="A201" s="35"/>
      <c r="B201" s="35"/>
      <c r="C201" s="35"/>
      <c r="D201" s="35"/>
      <c r="E201" s="35"/>
      <c r="F201" s="35"/>
      <c r="G201" s="35"/>
      <c r="H201" s="35"/>
      <c r="I201" s="35"/>
      <c r="J201" s="35"/>
      <c r="K201" s="35"/>
      <c r="L201" s="35"/>
      <c r="M201" s="35"/>
      <c r="N201" s="35"/>
      <c r="O201" s="35"/>
      <c r="P201" s="35"/>
      <c r="Q201" s="35"/>
      <c r="R201" s="35"/>
      <c r="S201" s="35"/>
      <c r="T201" s="35"/>
      <c r="U201" s="35"/>
      <c r="V201" s="35"/>
      <c r="W201" s="35"/>
      <c r="X201" s="35"/>
      <c r="Y201" s="35"/>
      <c r="Z201" s="35"/>
      <c r="AA201" s="35"/>
      <c r="AB201" s="35"/>
      <c r="AC201" s="35"/>
      <c r="AD201" s="35"/>
      <c r="AE201" s="35"/>
      <c r="AF201" s="35"/>
      <c r="AG201" s="25"/>
      <c r="AH201" s="25"/>
      <c r="AI201" s="25"/>
      <c r="AJ201" s="25"/>
      <c r="AK201" s="25"/>
      <c r="AL201" s="25"/>
      <c r="AM201" s="25"/>
      <c r="AN201" s="25"/>
      <c r="AO201" s="25"/>
      <c r="AP201" s="25"/>
      <c r="AQ201" s="25"/>
      <c r="AR201" s="25"/>
      <c r="AS201" s="25"/>
      <c r="AT201" s="25"/>
      <c r="AU201" s="25"/>
      <c r="AV201" s="25"/>
      <c r="AW201" s="25"/>
      <c r="AX201" s="25"/>
      <c r="AY201" s="25"/>
      <c r="AZ201" s="25"/>
      <c r="BA201" s="25"/>
    </row>
    <row r="202" spans="1:53" ht="12.75">
      <c r="A202" s="35"/>
      <c r="B202" s="35"/>
      <c r="C202" s="35"/>
      <c r="D202" s="35"/>
      <c r="E202" s="35"/>
      <c r="F202" s="35"/>
      <c r="G202" s="35"/>
      <c r="H202" s="35"/>
      <c r="I202" s="35"/>
      <c r="J202" s="35"/>
      <c r="K202" s="35"/>
      <c r="L202" s="35"/>
      <c r="M202" s="35"/>
      <c r="N202" s="35"/>
      <c r="O202" s="35"/>
      <c r="P202" s="35"/>
      <c r="Q202" s="35"/>
      <c r="R202" s="35"/>
      <c r="S202" s="35"/>
      <c r="T202" s="35"/>
      <c r="U202" s="35"/>
      <c r="V202" s="35"/>
      <c r="W202" s="35"/>
      <c r="X202" s="35"/>
      <c r="Y202" s="35"/>
      <c r="Z202" s="35"/>
      <c r="AA202" s="35"/>
      <c r="AB202" s="35"/>
      <c r="AC202" s="35"/>
      <c r="AD202" s="35"/>
      <c r="AE202" s="35"/>
      <c r="AF202" s="35"/>
      <c r="AG202" s="25"/>
      <c r="AH202" s="25"/>
      <c r="AI202" s="25"/>
      <c r="AJ202" s="25"/>
      <c r="AK202" s="25"/>
      <c r="AL202" s="25"/>
      <c r="AM202" s="25"/>
      <c r="AN202" s="25"/>
      <c r="AO202" s="25"/>
      <c r="AP202" s="25"/>
      <c r="AQ202" s="25"/>
      <c r="AR202" s="25"/>
      <c r="AS202" s="25"/>
      <c r="AT202" s="25"/>
      <c r="AU202" s="25"/>
      <c r="AV202" s="25"/>
      <c r="AW202" s="25"/>
      <c r="AX202" s="25"/>
      <c r="AY202" s="25"/>
      <c r="AZ202" s="25"/>
      <c r="BA202" s="25"/>
    </row>
    <row r="203" spans="1:53" ht="12.75">
      <c r="A203" s="25"/>
      <c r="B203" s="25"/>
      <c r="C203" s="25"/>
      <c r="D203" s="25"/>
      <c r="E203" s="25"/>
      <c r="F203" s="25"/>
      <c r="G203" s="25"/>
      <c r="H203" s="25"/>
      <c r="I203" s="25"/>
      <c r="J203" s="25"/>
      <c r="K203" s="25"/>
      <c r="L203" s="25"/>
      <c r="M203" s="25"/>
      <c r="N203" s="25"/>
      <c r="O203" s="25"/>
      <c r="P203" s="25"/>
      <c r="Q203" s="25"/>
      <c r="R203" s="25"/>
      <c r="S203" s="25"/>
      <c r="T203" s="25"/>
      <c r="U203" s="25"/>
      <c r="V203" s="25"/>
      <c r="W203" s="25"/>
      <c r="X203" s="25"/>
      <c r="Y203" s="25"/>
      <c r="Z203" s="25"/>
      <c r="AA203" s="25"/>
      <c r="AB203" s="25"/>
      <c r="AC203" s="25"/>
      <c r="AD203" s="25"/>
      <c r="AE203" s="25"/>
      <c r="AF203" s="25"/>
      <c r="AG203" s="25"/>
      <c r="AH203" s="25"/>
      <c r="AI203" s="25"/>
      <c r="AJ203" s="25"/>
      <c r="AK203" s="25"/>
      <c r="AL203" s="25"/>
      <c r="AM203" s="25"/>
      <c r="AN203" s="25"/>
      <c r="AO203" s="25"/>
      <c r="AP203" s="25"/>
      <c r="AQ203" s="25"/>
      <c r="AR203" s="25"/>
      <c r="AS203" s="25"/>
      <c r="AT203" s="25"/>
      <c r="AU203" s="25"/>
      <c r="AV203" s="25"/>
      <c r="AW203" s="25"/>
      <c r="AX203" s="25"/>
      <c r="AY203" s="25"/>
      <c r="AZ203" s="25"/>
      <c r="BA203" s="25"/>
    </row>
    <row r="204" spans="1:53" ht="12.75">
      <c r="A204" s="25"/>
      <c r="B204" s="25"/>
      <c r="C204" s="25"/>
      <c r="D204" s="25"/>
      <c r="E204" s="25"/>
      <c r="F204" s="25"/>
      <c r="G204" s="25"/>
      <c r="H204" s="25"/>
      <c r="I204" s="25"/>
      <c r="J204" s="25"/>
      <c r="K204" s="25"/>
      <c r="L204" s="25"/>
      <c r="M204" s="25"/>
      <c r="N204" s="25"/>
      <c r="O204" s="25"/>
      <c r="P204" s="25"/>
      <c r="Q204" s="25"/>
      <c r="R204" s="25"/>
      <c r="S204" s="25"/>
      <c r="T204" s="25"/>
      <c r="U204" s="25"/>
      <c r="V204" s="25"/>
      <c r="W204" s="25"/>
      <c r="X204" s="25"/>
      <c r="Y204" s="25"/>
      <c r="Z204" s="25"/>
      <c r="AA204" s="25"/>
      <c r="AB204" s="25"/>
      <c r="AC204" s="25"/>
      <c r="AD204" s="25"/>
      <c r="AE204" s="25"/>
      <c r="AF204" s="25"/>
      <c r="AG204" s="25"/>
      <c r="AH204" s="25"/>
      <c r="AI204" s="25"/>
      <c r="AJ204" s="25"/>
      <c r="AK204" s="25"/>
      <c r="AL204" s="25"/>
      <c r="AM204" s="25"/>
      <c r="AN204" s="25"/>
      <c r="AO204" s="25"/>
      <c r="AP204" s="25"/>
      <c r="AQ204" s="25"/>
      <c r="AR204" s="25"/>
      <c r="AS204" s="25"/>
      <c r="AT204" s="25"/>
      <c r="AU204" s="25"/>
      <c r="AV204" s="25"/>
      <c r="AW204" s="25"/>
      <c r="AX204" s="25"/>
      <c r="AY204" s="25"/>
      <c r="AZ204" s="25"/>
      <c r="BA204" s="25"/>
    </row>
    <row r="205" spans="1:53" ht="12.75">
      <c r="A205" s="25"/>
      <c r="B205" s="25"/>
      <c r="C205" s="25"/>
      <c r="D205" s="25"/>
      <c r="E205" s="25"/>
      <c r="F205" s="25"/>
      <c r="G205" s="25"/>
      <c r="H205" s="25"/>
      <c r="I205" s="25"/>
      <c r="J205" s="25"/>
      <c r="K205" s="25"/>
      <c r="L205" s="25"/>
      <c r="M205" s="25"/>
      <c r="N205" s="25"/>
      <c r="O205" s="25"/>
      <c r="P205" s="25"/>
      <c r="Q205" s="25"/>
      <c r="R205" s="25"/>
      <c r="S205" s="25"/>
      <c r="T205" s="25"/>
      <c r="U205" s="25"/>
      <c r="V205" s="25"/>
      <c r="W205" s="25"/>
      <c r="X205" s="25"/>
      <c r="Y205" s="25"/>
      <c r="Z205" s="25"/>
      <c r="AA205" s="25"/>
      <c r="AB205" s="25"/>
      <c r="AC205" s="25"/>
      <c r="AD205" s="25"/>
      <c r="AE205" s="25"/>
      <c r="AF205" s="25"/>
      <c r="AG205" s="25"/>
      <c r="AH205" s="25"/>
      <c r="AI205" s="25"/>
      <c r="AJ205" s="25"/>
      <c r="AK205" s="25"/>
      <c r="AL205" s="25"/>
      <c r="AM205" s="25"/>
      <c r="AN205" s="25"/>
      <c r="AO205" s="25"/>
      <c r="AP205" s="25"/>
      <c r="AQ205" s="25"/>
      <c r="AR205" s="25"/>
      <c r="AS205" s="25"/>
      <c r="AT205" s="25"/>
      <c r="AU205" s="25"/>
      <c r="AV205" s="25"/>
      <c r="AW205" s="25"/>
      <c r="AX205" s="25"/>
      <c r="AY205" s="25"/>
      <c r="AZ205" s="25"/>
      <c r="BA205" s="25"/>
    </row>
    <row r="206" spans="1:53" ht="12.75">
      <c r="A206" s="25"/>
      <c r="B206" s="25"/>
      <c r="C206" s="25"/>
      <c r="D206" s="25"/>
      <c r="E206" s="25"/>
      <c r="F206" s="25"/>
      <c r="G206" s="25"/>
      <c r="H206" s="25"/>
      <c r="I206" s="25"/>
      <c r="J206" s="25"/>
      <c r="K206" s="25"/>
      <c r="L206" s="25"/>
      <c r="M206" s="25"/>
      <c r="N206" s="25"/>
      <c r="O206" s="25"/>
      <c r="P206" s="25"/>
      <c r="Q206" s="25"/>
      <c r="R206" s="25"/>
      <c r="S206" s="25"/>
      <c r="T206" s="25"/>
      <c r="U206" s="25"/>
      <c r="V206" s="25"/>
      <c r="W206" s="25"/>
      <c r="X206" s="25"/>
      <c r="Y206" s="25"/>
      <c r="Z206" s="25"/>
      <c r="AA206" s="25"/>
      <c r="AB206" s="25"/>
      <c r="AC206" s="25"/>
      <c r="AD206" s="25"/>
      <c r="AE206" s="25"/>
      <c r="AF206" s="25"/>
      <c r="AG206" s="25"/>
      <c r="AH206" s="25"/>
      <c r="AI206" s="25"/>
      <c r="AJ206" s="25"/>
      <c r="AK206" s="25"/>
      <c r="AL206" s="25"/>
      <c r="AM206" s="25"/>
      <c r="AN206" s="25"/>
      <c r="AO206" s="25"/>
      <c r="AP206" s="25"/>
      <c r="AQ206" s="25"/>
      <c r="AR206" s="25"/>
      <c r="AS206" s="25"/>
      <c r="AT206" s="25"/>
      <c r="AU206" s="25"/>
      <c r="AV206" s="25"/>
      <c r="AW206" s="25"/>
      <c r="AX206" s="25"/>
      <c r="AY206" s="25"/>
      <c r="AZ206" s="25"/>
      <c r="BA206" s="25"/>
    </row>
    <row r="207" spans="1:53" ht="12.75">
      <c r="A207" s="25"/>
      <c r="B207" s="25"/>
      <c r="C207" s="25"/>
      <c r="D207" s="25"/>
      <c r="E207" s="25"/>
      <c r="F207" s="25"/>
      <c r="G207" s="25"/>
      <c r="H207" s="25"/>
      <c r="I207" s="25"/>
      <c r="J207" s="25"/>
      <c r="K207" s="25"/>
      <c r="L207" s="25"/>
      <c r="M207" s="25"/>
      <c r="N207" s="25"/>
      <c r="O207" s="25"/>
      <c r="P207" s="25"/>
      <c r="Q207" s="25"/>
      <c r="R207" s="25"/>
      <c r="S207" s="25"/>
      <c r="T207" s="25"/>
      <c r="U207" s="25"/>
      <c r="V207" s="25"/>
      <c r="W207" s="25"/>
      <c r="X207" s="25"/>
      <c r="Y207" s="25"/>
      <c r="Z207" s="25"/>
      <c r="AA207" s="25"/>
      <c r="AB207" s="25"/>
      <c r="AC207" s="25"/>
      <c r="AD207" s="25"/>
      <c r="AE207" s="25"/>
      <c r="AF207" s="25"/>
      <c r="AG207" s="25"/>
      <c r="AH207" s="25"/>
      <c r="AI207" s="25"/>
      <c r="AJ207" s="25"/>
      <c r="AK207" s="25"/>
      <c r="AL207" s="25"/>
      <c r="AM207" s="25"/>
      <c r="AN207" s="25"/>
      <c r="AO207" s="25"/>
      <c r="AP207" s="25"/>
      <c r="AQ207" s="25"/>
      <c r="AR207" s="25"/>
      <c r="AS207" s="25"/>
      <c r="AT207" s="25"/>
      <c r="AU207" s="25"/>
      <c r="AV207" s="25"/>
      <c r="AW207" s="25"/>
      <c r="AX207" s="25"/>
      <c r="AY207" s="25"/>
      <c r="AZ207" s="25"/>
      <c r="BA207" s="25"/>
    </row>
    <row r="208" spans="1:53" ht="12.75">
      <c r="A208" s="25"/>
      <c r="B208" s="25"/>
      <c r="C208" s="25"/>
      <c r="D208" s="25"/>
      <c r="E208" s="25"/>
      <c r="F208" s="25"/>
      <c r="G208" s="25"/>
      <c r="H208" s="25"/>
      <c r="I208" s="25"/>
      <c r="J208" s="25"/>
      <c r="K208" s="25"/>
      <c r="L208" s="25"/>
      <c r="M208" s="25"/>
      <c r="N208" s="25"/>
      <c r="O208" s="25"/>
      <c r="P208" s="25"/>
      <c r="Q208" s="25"/>
      <c r="R208" s="25"/>
      <c r="S208" s="25"/>
      <c r="T208" s="25"/>
      <c r="U208" s="25"/>
      <c r="V208" s="25"/>
      <c r="W208" s="25"/>
      <c r="X208" s="25"/>
      <c r="Y208" s="25"/>
      <c r="Z208" s="25"/>
      <c r="AA208" s="25"/>
      <c r="AB208" s="25"/>
      <c r="AC208" s="25"/>
      <c r="AD208" s="25"/>
      <c r="AE208" s="25"/>
      <c r="AF208" s="25"/>
      <c r="AG208" s="25"/>
      <c r="AH208" s="25"/>
      <c r="AI208" s="25"/>
      <c r="AJ208" s="25"/>
      <c r="AK208" s="25"/>
      <c r="AL208" s="25"/>
      <c r="AM208" s="25"/>
      <c r="AN208" s="25"/>
      <c r="AO208" s="25"/>
      <c r="AP208" s="25"/>
      <c r="AQ208" s="25"/>
      <c r="AR208" s="25"/>
      <c r="AS208" s="25"/>
      <c r="AT208" s="25"/>
      <c r="AU208" s="25"/>
      <c r="AV208" s="25"/>
      <c r="AW208" s="25"/>
      <c r="AX208" s="25"/>
      <c r="AY208" s="25"/>
      <c r="AZ208" s="25"/>
      <c r="BA208" s="25"/>
    </row>
    <row r="209" spans="1:53" ht="12.75">
      <c r="A209" s="25"/>
      <c r="B209" s="25"/>
      <c r="C209" s="25"/>
      <c r="D209" s="25"/>
      <c r="E209" s="25"/>
      <c r="F209" s="25"/>
      <c r="G209" s="25"/>
      <c r="H209" s="25"/>
      <c r="I209" s="25"/>
      <c r="J209" s="25"/>
      <c r="K209" s="25"/>
      <c r="L209" s="25"/>
      <c r="M209" s="25"/>
      <c r="N209" s="25"/>
      <c r="O209" s="25"/>
      <c r="P209" s="25"/>
      <c r="Q209" s="25"/>
      <c r="R209" s="25"/>
      <c r="S209" s="25"/>
      <c r="T209" s="25"/>
      <c r="U209" s="25"/>
      <c r="V209" s="25"/>
      <c r="W209" s="25"/>
      <c r="X209" s="25"/>
      <c r="Y209" s="25"/>
      <c r="Z209" s="25"/>
      <c r="AA209" s="25"/>
      <c r="AB209" s="25"/>
      <c r="AC209" s="25"/>
      <c r="AD209" s="25"/>
      <c r="AE209" s="25"/>
      <c r="AF209" s="25"/>
      <c r="AG209" s="25"/>
      <c r="AH209" s="25"/>
      <c r="AI209" s="25"/>
      <c r="AJ209" s="25"/>
      <c r="AK209" s="25"/>
      <c r="AL209" s="25"/>
      <c r="AM209" s="25"/>
      <c r="AN209" s="25"/>
      <c r="AO209" s="25"/>
      <c r="AP209" s="25"/>
      <c r="AQ209" s="25"/>
      <c r="AR209" s="25"/>
      <c r="AS209" s="25"/>
      <c r="AT209" s="25"/>
      <c r="AU209" s="25"/>
      <c r="AV209" s="25"/>
      <c r="AW209" s="25"/>
      <c r="AX209" s="25"/>
      <c r="AY209" s="25"/>
      <c r="AZ209" s="25"/>
      <c r="BA209" s="25"/>
    </row>
    <row r="210" spans="1:53" ht="12.75">
      <c r="A210" s="25"/>
      <c r="B210" s="25"/>
      <c r="C210" s="25"/>
      <c r="D210" s="25"/>
      <c r="E210" s="25"/>
      <c r="F210" s="25"/>
      <c r="G210" s="25"/>
      <c r="H210" s="25"/>
      <c r="I210" s="25"/>
      <c r="J210" s="25"/>
      <c r="K210" s="25"/>
      <c r="L210" s="25"/>
      <c r="M210" s="25"/>
      <c r="N210" s="25"/>
      <c r="O210" s="25"/>
      <c r="P210" s="25"/>
      <c r="Q210" s="25"/>
      <c r="R210" s="25"/>
      <c r="S210" s="25"/>
      <c r="T210" s="25"/>
      <c r="U210" s="25"/>
      <c r="V210" s="25"/>
      <c r="W210" s="25"/>
      <c r="X210" s="25"/>
      <c r="Y210" s="25"/>
      <c r="Z210" s="25"/>
      <c r="AA210" s="25"/>
      <c r="AB210" s="25"/>
      <c r="AC210" s="25"/>
      <c r="AD210" s="25"/>
      <c r="AE210" s="25"/>
      <c r="AF210" s="25"/>
      <c r="AG210" s="25"/>
      <c r="AH210" s="25"/>
      <c r="AI210" s="25"/>
      <c r="AJ210" s="25"/>
      <c r="AK210" s="25"/>
      <c r="AL210" s="25"/>
      <c r="AM210" s="25"/>
      <c r="AN210" s="25"/>
      <c r="AO210" s="25"/>
      <c r="AP210" s="25"/>
      <c r="AQ210" s="25"/>
      <c r="AR210" s="25"/>
      <c r="AS210" s="25"/>
      <c r="AT210" s="25"/>
      <c r="AU210" s="25"/>
      <c r="AV210" s="25"/>
      <c r="AW210" s="25"/>
      <c r="AX210" s="25"/>
      <c r="AY210" s="25"/>
      <c r="AZ210" s="25"/>
      <c r="BA210" s="25"/>
    </row>
    <row r="211" spans="1:53" ht="12.75">
      <c r="A211" s="25"/>
      <c r="B211" s="25"/>
      <c r="C211" s="25"/>
      <c r="D211" s="25"/>
      <c r="E211" s="25"/>
      <c r="F211" s="25"/>
      <c r="G211" s="25"/>
      <c r="H211" s="25"/>
      <c r="I211" s="25"/>
      <c r="J211" s="25"/>
      <c r="K211" s="25"/>
      <c r="L211" s="25"/>
      <c r="M211" s="25"/>
      <c r="N211" s="25"/>
      <c r="O211" s="25"/>
      <c r="P211" s="25"/>
      <c r="Q211" s="25"/>
      <c r="R211" s="25"/>
      <c r="S211" s="25"/>
      <c r="T211" s="25"/>
      <c r="U211" s="25"/>
      <c r="V211" s="25"/>
      <c r="W211" s="25"/>
      <c r="X211" s="25"/>
      <c r="Y211" s="25"/>
      <c r="Z211" s="25"/>
      <c r="AA211" s="25"/>
      <c r="AB211" s="25"/>
      <c r="AC211" s="25"/>
      <c r="AD211" s="25"/>
      <c r="AE211" s="25"/>
      <c r="AF211" s="25"/>
      <c r="AG211" s="25"/>
      <c r="AH211" s="25"/>
      <c r="AI211" s="25"/>
      <c r="AJ211" s="25"/>
      <c r="AK211" s="25"/>
      <c r="AL211" s="25"/>
      <c r="AM211" s="25"/>
      <c r="AN211" s="25"/>
      <c r="AO211" s="25"/>
      <c r="AP211" s="25"/>
      <c r="AQ211" s="25"/>
      <c r="AR211" s="25"/>
      <c r="AS211" s="25"/>
      <c r="AT211" s="25"/>
      <c r="AU211" s="25"/>
      <c r="AV211" s="25"/>
      <c r="AW211" s="25"/>
      <c r="AX211" s="25"/>
      <c r="AY211" s="25"/>
      <c r="AZ211" s="25"/>
      <c r="BA211" s="25"/>
    </row>
    <row r="212" spans="1:53" ht="12.75">
      <c r="A212" s="25"/>
      <c r="B212" s="25"/>
      <c r="C212" s="25"/>
      <c r="D212" s="25"/>
      <c r="E212" s="25"/>
      <c r="F212" s="25"/>
      <c r="G212" s="25"/>
      <c r="H212" s="25"/>
      <c r="I212" s="25"/>
      <c r="J212" s="25"/>
      <c r="K212" s="25"/>
      <c r="L212" s="25"/>
      <c r="M212" s="25"/>
      <c r="N212" s="25"/>
      <c r="O212" s="25"/>
      <c r="P212" s="25"/>
      <c r="Q212" s="25"/>
      <c r="R212" s="25"/>
      <c r="S212" s="25"/>
      <c r="T212" s="25"/>
      <c r="U212" s="25"/>
      <c r="V212" s="25"/>
      <c r="W212" s="25"/>
      <c r="X212" s="25"/>
      <c r="Y212" s="25"/>
      <c r="Z212" s="25"/>
      <c r="AA212" s="25"/>
      <c r="AB212" s="25"/>
      <c r="AC212" s="25"/>
      <c r="AD212" s="25"/>
      <c r="AE212" s="25"/>
      <c r="AF212" s="25"/>
      <c r="AG212" s="25"/>
      <c r="AH212" s="25"/>
      <c r="AI212" s="25"/>
      <c r="AJ212" s="25"/>
      <c r="AK212" s="25"/>
      <c r="AL212" s="25"/>
      <c r="AM212" s="25"/>
      <c r="AN212" s="25"/>
      <c r="AO212" s="25"/>
      <c r="AP212" s="25"/>
      <c r="AQ212" s="25"/>
      <c r="AR212" s="25"/>
      <c r="AS212" s="25"/>
      <c r="AT212" s="25"/>
      <c r="AU212" s="25"/>
      <c r="AV212" s="25"/>
      <c r="AW212" s="25"/>
      <c r="AX212" s="25"/>
      <c r="AY212" s="25"/>
      <c r="AZ212" s="25"/>
      <c r="BA212" s="25"/>
    </row>
    <row r="213" spans="1:53" ht="12.75">
      <c r="A213" s="25"/>
      <c r="B213" s="25"/>
      <c r="C213" s="25"/>
      <c r="D213" s="25"/>
      <c r="E213" s="25"/>
      <c r="F213" s="25"/>
      <c r="G213" s="25"/>
      <c r="H213" s="25"/>
      <c r="I213" s="25"/>
      <c r="J213" s="25"/>
      <c r="K213" s="25"/>
      <c r="L213" s="25"/>
      <c r="M213" s="25"/>
      <c r="N213" s="25"/>
      <c r="O213" s="25"/>
      <c r="P213" s="25"/>
      <c r="Q213" s="25"/>
      <c r="R213" s="25"/>
      <c r="S213" s="25"/>
      <c r="T213" s="25"/>
      <c r="U213" s="25"/>
      <c r="V213" s="25"/>
      <c r="W213" s="25"/>
      <c r="X213" s="25"/>
      <c r="Y213" s="25"/>
      <c r="Z213" s="25"/>
      <c r="AA213" s="25"/>
      <c r="AB213" s="25"/>
      <c r="AC213" s="25"/>
      <c r="AD213" s="25"/>
      <c r="AE213" s="25"/>
      <c r="AF213" s="25"/>
      <c r="AG213" s="25"/>
      <c r="AH213" s="25"/>
      <c r="AI213" s="25"/>
      <c r="AJ213" s="25"/>
      <c r="AK213" s="25"/>
      <c r="AL213" s="25"/>
      <c r="AM213" s="25"/>
      <c r="AN213" s="25"/>
      <c r="AO213" s="25"/>
      <c r="AP213" s="25"/>
      <c r="AQ213" s="25"/>
      <c r="AR213" s="25"/>
      <c r="AS213" s="25"/>
      <c r="AT213" s="25"/>
      <c r="AU213" s="25"/>
      <c r="AV213" s="25"/>
      <c r="AW213" s="25"/>
      <c r="AX213" s="25"/>
      <c r="AY213" s="25"/>
      <c r="AZ213" s="25"/>
      <c r="BA213" s="25"/>
    </row>
    <row r="214" spans="1:53" ht="12.75">
      <c r="A214" s="25"/>
      <c r="B214" s="25"/>
      <c r="C214" s="25"/>
      <c r="D214" s="25"/>
      <c r="E214" s="25"/>
      <c r="F214" s="25"/>
      <c r="G214" s="25"/>
      <c r="H214" s="25"/>
      <c r="I214" s="25"/>
      <c r="J214" s="25"/>
      <c r="K214" s="25"/>
      <c r="L214" s="25"/>
      <c r="M214" s="25"/>
      <c r="N214" s="25"/>
      <c r="O214" s="25"/>
      <c r="P214" s="25"/>
      <c r="Q214" s="25"/>
      <c r="R214" s="25"/>
      <c r="S214" s="25"/>
      <c r="T214" s="25"/>
      <c r="U214" s="25"/>
      <c r="V214" s="25"/>
      <c r="W214" s="25"/>
      <c r="X214" s="25"/>
      <c r="Y214" s="25"/>
      <c r="Z214" s="25"/>
      <c r="AA214" s="25"/>
      <c r="AB214" s="25"/>
      <c r="AC214" s="25"/>
      <c r="AD214" s="25"/>
      <c r="AE214" s="25"/>
      <c r="AF214" s="25"/>
      <c r="AG214" s="25"/>
      <c r="AH214" s="25"/>
      <c r="AI214" s="25"/>
      <c r="AJ214" s="25"/>
      <c r="AK214" s="25"/>
      <c r="AL214" s="25"/>
      <c r="AM214" s="25"/>
      <c r="AN214" s="25"/>
      <c r="AO214" s="25"/>
      <c r="AP214" s="25"/>
      <c r="AQ214" s="25"/>
      <c r="AR214" s="25"/>
      <c r="AS214" s="25"/>
      <c r="AT214" s="25"/>
      <c r="AU214" s="25"/>
      <c r="AV214" s="25"/>
      <c r="AW214" s="25"/>
      <c r="AX214" s="25"/>
      <c r="AY214" s="25"/>
      <c r="AZ214" s="25"/>
      <c r="BA214" s="25"/>
    </row>
    <row r="215" spans="1:53" ht="12.75">
      <c r="A215" s="25"/>
      <c r="B215" s="25"/>
      <c r="C215" s="25"/>
      <c r="D215" s="25"/>
      <c r="E215" s="25"/>
      <c r="F215" s="25"/>
      <c r="G215" s="25"/>
      <c r="H215" s="25"/>
      <c r="I215" s="25"/>
      <c r="J215" s="25"/>
      <c r="K215" s="25"/>
      <c r="L215" s="25"/>
      <c r="M215" s="25"/>
      <c r="N215" s="25"/>
      <c r="O215" s="25"/>
      <c r="P215" s="25"/>
      <c r="Q215" s="25"/>
      <c r="R215" s="25"/>
      <c r="S215" s="25"/>
      <c r="T215" s="25"/>
      <c r="U215" s="25"/>
      <c r="V215" s="25"/>
      <c r="W215" s="25"/>
      <c r="X215" s="25"/>
      <c r="Y215" s="25"/>
      <c r="Z215" s="25"/>
      <c r="AA215" s="25"/>
      <c r="AB215" s="25"/>
      <c r="AC215" s="25"/>
      <c r="AD215" s="25"/>
      <c r="AE215" s="25"/>
      <c r="AF215" s="25"/>
      <c r="AG215" s="25"/>
      <c r="AH215" s="25"/>
      <c r="AI215" s="25"/>
      <c r="AJ215" s="25"/>
      <c r="AK215" s="25"/>
      <c r="AL215" s="25"/>
      <c r="AM215" s="25"/>
      <c r="AN215" s="25"/>
      <c r="AO215" s="25"/>
      <c r="AP215" s="25"/>
      <c r="AQ215" s="25"/>
      <c r="AR215" s="25"/>
      <c r="AS215" s="25"/>
      <c r="AT215" s="25"/>
      <c r="AU215" s="25"/>
      <c r="AV215" s="25"/>
      <c r="AW215" s="25"/>
      <c r="AX215" s="25"/>
      <c r="AY215" s="25"/>
      <c r="AZ215" s="25"/>
      <c r="BA215" s="25"/>
    </row>
    <row r="216" spans="1:53" ht="12.75">
      <c r="A216" s="25"/>
      <c r="B216" s="25"/>
      <c r="C216" s="25"/>
      <c r="D216" s="25"/>
      <c r="E216" s="25"/>
      <c r="F216" s="25"/>
      <c r="G216" s="25"/>
      <c r="H216" s="25"/>
      <c r="I216" s="25"/>
      <c r="J216" s="25"/>
      <c r="K216" s="25"/>
      <c r="L216" s="25"/>
      <c r="M216" s="25"/>
      <c r="N216" s="25"/>
      <c r="O216" s="25"/>
      <c r="P216" s="25"/>
      <c r="Q216" s="25"/>
      <c r="R216" s="25"/>
      <c r="S216" s="25"/>
      <c r="T216" s="25"/>
      <c r="U216" s="25"/>
      <c r="V216" s="25"/>
      <c r="W216" s="25"/>
      <c r="X216" s="25"/>
      <c r="Y216" s="25"/>
      <c r="Z216" s="25"/>
      <c r="AA216" s="25"/>
      <c r="AB216" s="25"/>
      <c r="AC216" s="25"/>
      <c r="AD216" s="25"/>
      <c r="AE216" s="25"/>
      <c r="AF216" s="25"/>
      <c r="AG216" s="25"/>
      <c r="AH216" s="25"/>
      <c r="AI216" s="25"/>
      <c r="AJ216" s="25"/>
      <c r="AK216" s="25"/>
      <c r="AL216" s="25"/>
      <c r="AM216" s="25"/>
      <c r="AN216" s="25"/>
      <c r="AO216" s="25"/>
      <c r="AP216" s="25"/>
      <c r="AQ216" s="25"/>
      <c r="AR216" s="25"/>
      <c r="AS216" s="25"/>
      <c r="AT216" s="25"/>
      <c r="AU216" s="25"/>
      <c r="AV216" s="25"/>
      <c r="AW216" s="25"/>
      <c r="AX216" s="25"/>
      <c r="AY216" s="25"/>
      <c r="AZ216" s="25"/>
      <c r="BA216" s="25"/>
    </row>
    <row r="217" spans="1:53" ht="12.75">
      <c r="A217" s="25"/>
      <c r="B217" s="25"/>
      <c r="C217" s="25"/>
      <c r="D217" s="25"/>
      <c r="E217" s="25"/>
      <c r="F217" s="25"/>
      <c r="G217" s="25"/>
      <c r="H217" s="25"/>
      <c r="I217" s="25"/>
      <c r="J217" s="25"/>
      <c r="K217" s="25"/>
      <c r="L217" s="25"/>
      <c r="M217" s="25"/>
      <c r="N217" s="25"/>
      <c r="O217" s="25"/>
      <c r="P217" s="25"/>
      <c r="Q217" s="25"/>
      <c r="R217" s="25"/>
      <c r="S217" s="25"/>
      <c r="T217" s="25"/>
      <c r="U217" s="25"/>
      <c r="V217" s="25"/>
      <c r="W217" s="25"/>
      <c r="X217" s="25"/>
      <c r="Y217" s="25"/>
      <c r="Z217" s="25"/>
      <c r="AA217" s="25"/>
      <c r="AB217" s="25"/>
      <c r="AC217" s="25"/>
      <c r="AD217" s="25"/>
      <c r="AE217" s="25"/>
      <c r="AF217" s="25"/>
      <c r="AG217" s="25"/>
      <c r="AH217" s="25"/>
      <c r="AI217" s="25"/>
      <c r="AJ217" s="25"/>
      <c r="AK217" s="25"/>
      <c r="AL217" s="25"/>
      <c r="AM217" s="25"/>
      <c r="AN217" s="25"/>
      <c r="AO217" s="25"/>
      <c r="AP217" s="25"/>
      <c r="AQ217" s="25"/>
      <c r="AR217" s="25"/>
      <c r="AS217" s="25"/>
      <c r="AT217" s="25"/>
      <c r="AU217" s="25"/>
      <c r="AV217" s="25"/>
      <c r="AW217" s="25"/>
      <c r="AX217" s="25"/>
      <c r="AY217" s="25"/>
      <c r="AZ217" s="25"/>
      <c r="BA217" s="25"/>
    </row>
    <row r="218" spans="1:53" ht="12.75">
      <c r="A218" s="25"/>
      <c r="B218" s="25"/>
      <c r="C218" s="25"/>
      <c r="D218" s="25"/>
      <c r="E218" s="25"/>
      <c r="F218" s="25"/>
      <c r="G218" s="25"/>
      <c r="H218" s="25"/>
      <c r="I218" s="25"/>
      <c r="J218" s="25"/>
      <c r="K218" s="25"/>
      <c r="L218" s="25"/>
      <c r="M218" s="25"/>
      <c r="N218" s="25"/>
      <c r="O218" s="25"/>
      <c r="P218" s="25"/>
      <c r="Q218" s="25"/>
      <c r="R218" s="25"/>
      <c r="S218" s="25"/>
      <c r="T218" s="25"/>
      <c r="U218" s="25"/>
      <c r="V218" s="25"/>
      <c r="W218" s="25"/>
      <c r="X218" s="25"/>
      <c r="Y218" s="25"/>
      <c r="Z218" s="25"/>
      <c r="AA218" s="25"/>
      <c r="AB218" s="25"/>
      <c r="AC218" s="25"/>
      <c r="AD218" s="25"/>
      <c r="AE218" s="25"/>
      <c r="AF218" s="25"/>
      <c r="AG218" s="25"/>
      <c r="AH218" s="25"/>
      <c r="AI218" s="25"/>
      <c r="AJ218" s="25"/>
      <c r="AK218" s="25"/>
      <c r="AL218" s="25"/>
      <c r="AM218" s="25"/>
      <c r="AN218" s="25"/>
      <c r="AO218" s="25"/>
      <c r="AP218" s="25"/>
      <c r="AQ218" s="25"/>
      <c r="AR218" s="25"/>
      <c r="AS218" s="25"/>
      <c r="AT218" s="25"/>
      <c r="AU218" s="25"/>
      <c r="AV218" s="25"/>
      <c r="AW218" s="25"/>
      <c r="AX218" s="25"/>
      <c r="AY218" s="25"/>
      <c r="AZ218" s="25"/>
      <c r="BA218" s="25"/>
    </row>
    <row r="219" spans="1:53" ht="12.75">
      <c r="A219" s="25"/>
      <c r="B219" s="25"/>
      <c r="C219" s="25"/>
      <c r="D219" s="25"/>
      <c r="E219" s="25"/>
      <c r="F219" s="25"/>
      <c r="G219" s="25"/>
      <c r="H219" s="25"/>
      <c r="I219" s="25"/>
      <c r="J219" s="25"/>
      <c r="K219" s="25"/>
      <c r="L219" s="25"/>
      <c r="M219" s="25"/>
      <c r="N219" s="25"/>
      <c r="O219" s="25"/>
      <c r="P219" s="25"/>
      <c r="Q219" s="25"/>
      <c r="R219" s="25"/>
      <c r="S219" s="25"/>
      <c r="T219" s="25"/>
      <c r="U219" s="25"/>
      <c r="V219" s="25"/>
      <c r="W219" s="25"/>
      <c r="X219" s="25"/>
      <c r="Y219" s="25"/>
      <c r="Z219" s="25"/>
      <c r="AA219" s="25"/>
      <c r="AB219" s="25"/>
      <c r="AC219" s="25"/>
      <c r="AD219" s="25"/>
      <c r="AE219" s="25"/>
      <c r="AF219" s="25"/>
      <c r="AG219" s="25"/>
      <c r="AH219" s="25"/>
      <c r="AI219" s="25"/>
      <c r="AJ219" s="25"/>
      <c r="AK219" s="25"/>
      <c r="AL219" s="25"/>
      <c r="AM219" s="25"/>
      <c r="AN219" s="25"/>
      <c r="AO219" s="25"/>
      <c r="AP219" s="25"/>
      <c r="AQ219" s="25"/>
      <c r="AR219" s="25"/>
      <c r="AS219" s="25"/>
      <c r="AT219" s="25"/>
      <c r="AU219" s="25"/>
      <c r="AV219" s="25"/>
      <c r="AW219" s="25"/>
      <c r="AX219" s="25"/>
      <c r="AY219" s="25"/>
      <c r="AZ219" s="25"/>
      <c r="BA219" s="25"/>
    </row>
    <row r="220" spans="1:53" ht="12.75">
      <c r="A220" s="25"/>
      <c r="B220" s="25"/>
      <c r="C220" s="25"/>
      <c r="D220" s="25"/>
      <c r="E220" s="25"/>
      <c r="F220" s="25"/>
      <c r="G220" s="25"/>
      <c r="H220" s="25"/>
      <c r="I220" s="25"/>
      <c r="J220" s="25"/>
      <c r="K220" s="25"/>
      <c r="L220" s="25"/>
      <c r="M220" s="25"/>
      <c r="N220" s="25"/>
      <c r="O220" s="25"/>
      <c r="P220" s="25"/>
      <c r="Q220" s="25"/>
      <c r="R220" s="25"/>
      <c r="S220" s="25"/>
      <c r="T220" s="25"/>
      <c r="U220" s="25"/>
      <c r="V220" s="25"/>
      <c r="W220" s="25"/>
      <c r="X220" s="25"/>
      <c r="Y220" s="25"/>
      <c r="Z220" s="25"/>
      <c r="AA220" s="25"/>
      <c r="AB220" s="25"/>
      <c r="AC220" s="25"/>
      <c r="AD220" s="25"/>
      <c r="AE220" s="25"/>
      <c r="AF220" s="25"/>
      <c r="AG220" s="25"/>
      <c r="AH220" s="25"/>
      <c r="AI220" s="25"/>
      <c r="AJ220" s="25"/>
      <c r="AK220" s="25"/>
      <c r="AL220" s="25"/>
      <c r="AM220" s="25"/>
      <c r="AN220" s="25"/>
      <c r="AO220" s="25"/>
      <c r="AP220" s="25"/>
      <c r="AQ220" s="25"/>
      <c r="AR220" s="25"/>
      <c r="AS220" s="25"/>
      <c r="AT220" s="25"/>
      <c r="AU220" s="25"/>
      <c r="AV220" s="25"/>
      <c r="AW220" s="25"/>
      <c r="AX220" s="25"/>
      <c r="AY220" s="25"/>
      <c r="AZ220" s="25"/>
      <c r="BA220" s="25"/>
    </row>
    <row r="221" spans="1:53" ht="12.75">
      <c r="A221" s="25"/>
      <c r="B221" s="25"/>
      <c r="C221" s="25"/>
      <c r="D221" s="25"/>
      <c r="E221" s="25"/>
      <c r="F221" s="25"/>
      <c r="G221" s="25"/>
      <c r="H221" s="25"/>
      <c r="I221" s="25"/>
      <c r="J221" s="25"/>
      <c r="K221" s="25"/>
      <c r="L221" s="25"/>
      <c r="M221" s="25"/>
      <c r="N221" s="25"/>
      <c r="O221" s="25"/>
      <c r="P221" s="25"/>
      <c r="Q221" s="25"/>
      <c r="R221" s="25"/>
      <c r="S221" s="25"/>
      <c r="T221" s="25"/>
      <c r="U221" s="25"/>
      <c r="V221" s="25"/>
      <c r="W221" s="25"/>
      <c r="X221" s="25"/>
      <c r="Y221" s="25"/>
      <c r="Z221" s="25"/>
      <c r="AA221" s="25"/>
      <c r="AB221" s="25"/>
      <c r="AC221" s="25"/>
      <c r="AD221" s="25"/>
      <c r="AE221" s="25"/>
      <c r="AF221" s="25"/>
      <c r="AG221" s="25"/>
      <c r="AH221" s="25"/>
      <c r="AI221" s="25"/>
      <c r="AJ221" s="25"/>
      <c r="AK221" s="25"/>
      <c r="AL221" s="25"/>
      <c r="AM221" s="25"/>
      <c r="AN221" s="25"/>
      <c r="AO221" s="25"/>
      <c r="AP221" s="25"/>
      <c r="AQ221" s="25"/>
      <c r="AR221" s="25"/>
      <c r="AS221" s="25"/>
      <c r="AT221" s="25"/>
      <c r="AU221" s="25"/>
      <c r="AV221" s="25"/>
      <c r="AW221" s="25"/>
      <c r="AX221" s="25"/>
      <c r="AY221" s="25"/>
      <c r="AZ221" s="25"/>
      <c r="BA221" s="25"/>
    </row>
    <row r="222" spans="1:53" ht="12.75">
      <c r="A222" s="25"/>
      <c r="B222" s="25"/>
      <c r="C222" s="25"/>
      <c r="D222" s="25"/>
      <c r="E222" s="25"/>
      <c r="F222" s="25"/>
      <c r="G222" s="25"/>
      <c r="H222" s="25"/>
      <c r="I222" s="25"/>
      <c r="J222" s="25"/>
      <c r="K222" s="25"/>
      <c r="L222" s="25"/>
      <c r="M222" s="25"/>
      <c r="N222" s="25"/>
      <c r="O222" s="25"/>
      <c r="P222" s="25"/>
      <c r="Q222" s="25"/>
      <c r="R222" s="25"/>
      <c r="S222" s="25"/>
      <c r="T222" s="25"/>
      <c r="U222" s="25"/>
      <c r="V222" s="25"/>
      <c r="W222" s="25"/>
      <c r="X222" s="25"/>
      <c r="Y222" s="25"/>
      <c r="Z222" s="25"/>
      <c r="AA222" s="25"/>
      <c r="AB222" s="25"/>
      <c r="AC222" s="25"/>
      <c r="AD222" s="25"/>
      <c r="AE222" s="25"/>
      <c r="AF222" s="25"/>
      <c r="AG222" s="25"/>
      <c r="AH222" s="25"/>
      <c r="AI222" s="25"/>
      <c r="AJ222" s="25"/>
      <c r="AK222" s="25"/>
      <c r="AL222" s="25"/>
      <c r="AM222" s="25"/>
      <c r="AN222" s="25"/>
      <c r="AO222" s="25"/>
      <c r="AP222" s="25"/>
      <c r="AQ222" s="25"/>
      <c r="AR222" s="25"/>
      <c r="AS222" s="25"/>
      <c r="AT222" s="25"/>
      <c r="AU222" s="25"/>
      <c r="AV222" s="25"/>
      <c r="AW222" s="25"/>
      <c r="AX222" s="25"/>
      <c r="AY222" s="25"/>
      <c r="AZ222" s="25"/>
      <c r="BA222" s="25"/>
    </row>
    <row r="223" spans="1:53" ht="12.75">
      <c r="A223" s="25"/>
      <c r="B223" s="25"/>
      <c r="C223" s="25"/>
      <c r="D223" s="25"/>
      <c r="E223" s="25"/>
      <c r="F223" s="25"/>
      <c r="G223" s="25"/>
      <c r="H223" s="25"/>
      <c r="I223" s="25"/>
      <c r="J223" s="25"/>
      <c r="K223" s="25"/>
      <c r="L223" s="25"/>
      <c r="M223" s="25"/>
      <c r="N223" s="25"/>
      <c r="O223" s="25"/>
      <c r="P223" s="25"/>
      <c r="Q223" s="25"/>
      <c r="R223" s="25"/>
      <c r="S223" s="25"/>
      <c r="T223" s="25"/>
      <c r="U223" s="25"/>
      <c r="V223" s="25"/>
      <c r="W223" s="25"/>
      <c r="X223" s="25"/>
      <c r="Y223" s="25"/>
      <c r="Z223" s="25"/>
      <c r="AA223" s="25"/>
      <c r="AB223" s="25"/>
      <c r="AC223" s="25"/>
      <c r="AD223" s="25"/>
      <c r="AE223" s="25"/>
      <c r="AF223" s="25"/>
      <c r="AG223" s="25"/>
      <c r="AH223" s="25"/>
      <c r="AI223" s="25"/>
      <c r="AJ223" s="25"/>
      <c r="AK223" s="25"/>
      <c r="AL223" s="25"/>
      <c r="AM223" s="25"/>
      <c r="AN223" s="25"/>
      <c r="AO223" s="25"/>
      <c r="AP223" s="25"/>
      <c r="AQ223" s="25"/>
      <c r="AR223" s="25"/>
      <c r="AS223" s="25"/>
      <c r="AT223" s="25"/>
      <c r="AU223" s="25"/>
      <c r="AV223" s="25"/>
      <c r="AW223" s="25"/>
      <c r="AX223" s="25"/>
      <c r="AY223" s="25"/>
      <c r="AZ223" s="25"/>
      <c r="BA223" s="25"/>
    </row>
    <row r="224" spans="1:53" ht="12.75">
      <c r="A224" s="25"/>
      <c r="B224" s="25"/>
      <c r="C224" s="25"/>
      <c r="D224" s="25"/>
      <c r="E224" s="25"/>
      <c r="F224" s="25"/>
      <c r="G224" s="25"/>
      <c r="H224" s="25"/>
      <c r="I224" s="25"/>
      <c r="J224" s="25"/>
      <c r="K224" s="25"/>
      <c r="L224" s="25"/>
      <c r="M224" s="25"/>
      <c r="N224" s="25"/>
      <c r="O224" s="25"/>
      <c r="P224" s="25"/>
      <c r="Q224" s="25"/>
      <c r="R224" s="25"/>
      <c r="S224" s="25"/>
      <c r="T224" s="25"/>
      <c r="U224" s="25"/>
      <c r="V224" s="25"/>
      <c r="W224" s="25"/>
      <c r="X224" s="25"/>
      <c r="Y224" s="25"/>
      <c r="Z224" s="25"/>
      <c r="AA224" s="25"/>
      <c r="AB224" s="25"/>
      <c r="AC224" s="25"/>
      <c r="AD224" s="25"/>
      <c r="AE224" s="25"/>
      <c r="AF224" s="25"/>
      <c r="AG224" s="25"/>
      <c r="AH224" s="25"/>
      <c r="AI224" s="25"/>
      <c r="AJ224" s="25"/>
      <c r="AK224" s="25"/>
      <c r="AL224" s="25"/>
      <c r="AM224" s="25"/>
      <c r="AN224" s="25"/>
      <c r="AO224" s="25"/>
      <c r="AP224" s="25"/>
      <c r="AQ224" s="25"/>
      <c r="AR224" s="25"/>
      <c r="AS224" s="25"/>
      <c r="AT224" s="25"/>
      <c r="AU224" s="25"/>
      <c r="AV224" s="25"/>
      <c r="AW224" s="25"/>
      <c r="AX224" s="25"/>
      <c r="AY224" s="25"/>
      <c r="AZ224" s="25"/>
      <c r="BA224" s="25"/>
    </row>
    <row r="225" spans="1:53" ht="12.75">
      <c r="A225" s="25"/>
      <c r="B225" s="25"/>
      <c r="C225" s="25"/>
      <c r="D225" s="25"/>
      <c r="E225" s="25"/>
      <c r="F225" s="25"/>
      <c r="G225" s="25"/>
      <c r="H225" s="25"/>
      <c r="I225" s="25"/>
      <c r="J225" s="25"/>
      <c r="K225" s="25"/>
      <c r="L225" s="25"/>
      <c r="M225" s="25"/>
      <c r="N225" s="25"/>
      <c r="O225" s="25"/>
      <c r="P225" s="25"/>
      <c r="Q225" s="25"/>
      <c r="R225" s="25"/>
      <c r="S225" s="25"/>
      <c r="T225" s="25"/>
      <c r="U225" s="25"/>
      <c r="V225" s="25"/>
      <c r="W225" s="25"/>
      <c r="X225" s="25"/>
      <c r="Y225" s="25"/>
      <c r="Z225" s="25"/>
      <c r="AA225" s="25"/>
      <c r="AB225" s="25"/>
      <c r="AC225" s="25"/>
      <c r="AD225" s="25"/>
      <c r="AE225" s="25"/>
      <c r="AF225" s="25"/>
      <c r="AG225" s="25"/>
      <c r="AH225" s="25"/>
      <c r="AI225" s="25"/>
      <c r="AJ225" s="25"/>
      <c r="AK225" s="25"/>
      <c r="AL225" s="25"/>
      <c r="AM225" s="25"/>
      <c r="AN225" s="25"/>
      <c r="AO225" s="25"/>
      <c r="AP225" s="25"/>
      <c r="AQ225" s="25"/>
      <c r="AR225" s="25"/>
      <c r="AS225" s="25"/>
      <c r="AT225" s="25"/>
      <c r="AU225" s="25"/>
      <c r="AV225" s="25"/>
      <c r="AW225" s="25"/>
      <c r="AX225" s="25"/>
      <c r="AY225" s="25"/>
      <c r="AZ225" s="25"/>
      <c r="BA225" s="25"/>
    </row>
    <row r="226" spans="1:53" ht="12.75">
      <c r="A226" s="25"/>
      <c r="B226" s="25"/>
      <c r="C226" s="25"/>
      <c r="D226" s="25"/>
      <c r="E226" s="25"/>
      <c r="F226" s="25"/>
      <c r="G226" s="25"/>
      <c r="H226" s="25"/>
      <c r="I226" s="25"/>
      <c r="J226" s="25"/>
      <c r="K226" s="25"/>
      <c r="L226" s="25"/>
      <c r="M226" s="25"/>
      <c r="N226" s="25"/>
      <c r="O226" s="25"/>
      <c r="P226" s="25"/>
      <c r="Q226" s="25"/>
      <c r="R226" s="25"/>
      <c r="S226" s="25"/>
      <c r="T226" s="25"/>
      <c r="U226" s="25"/>
      <c r="V226" s="25"/>
      <c r="W226" s="25"/>
      <c r="X226" s="25"/>
      <c r="Y226" s="25"/>
      <c r="Z226" s="25"/>
      <c r="AA226" s="25"/>
      <c r="AB226" s="25"/>
      <c r="AC226" s="25"/>
      <c r="AD226" s="25"/>
      <c r="AE226" s="25"/>
      <c r="AF226" s="25"/>
      <c r="AG226" s="25"/>
      <c r="AH226" s="25"/>
      <c r="AI226" s="25"/>
      <c r="AJ226" s="25"/>
      <c r="AK226" s="25"/>
      <c r="AL226" s="25"/>
      <c r="AM226" s="25"/>
      <c r="AN226" s="25"/>
      <c r="AO226" s="25"/>
      <c r="AP226" s="25"/>
      <c r="AQ226" s="25"/>
      <c r="AR226" s="25"/>
      <c r="AS226" s="25"/>
      <c r="AT226" s="25"/>
      <c r="AU226" s="25"/>
      <c r="AV226" s="25"/>
      <c r="AW226" s="25"/>
      <c r="AX226" s="25"/>
      <c r="AY226" s="25"/>
      <c r="AZ226" s="25"/>
      <c r="BA226" s="25"/>
    </row>
    <row r="227" spans="1:53" ht="12.75">
      <c r="A227" s="25"/>
      <c r="B227" s="25"/>
      <c r="C227" s="25"/>
      <c r="D227" s="25"/>
      <c r="E227" s="25"/>
      <c r="F227" s="25"/>
      <c r="G227" s="25"/>
      <c r="H227" s="25"/>
      <c r="I227" s="25"/>
      <c r="J227" s="25"/>
      <c r="K227" s="25"/>
      <c r="L227" s="25"/>
      <c r="M227" s="25"/>
      <c r="N227" s="25"/>
      <c r="O227" s="25"/>
      <c r="P227" s="25"/>
      <c r="Q227" s="25"/>
      <c r="R227" s="25"/>
      <c r="S227" s="25"/>
      <c r="T227" s="25"/>
      <c r="U227" s="25"/>
      <c r="V227" s="25"/>
      <c r="W227" s="25"/>
      <c r="X227" s="25"/>
      <c r="Y227" s="25"/>
      <c r="Z227" s="25"/>
      <c r="AA227" s="25"/>
      <c r="AB227" s="25"/>
      <c r="AC227" s="25"/>
      <c r="AD227" s="25"/>
      <c r="AE227" s="25"/>
      <c r="AF227" s="25"/>
      <c r="AG227" s="25"/>
      <c r="AH227" s="25"/>
      <c r="AI227" s="25"/>
      <c r="AJ227" s="25"/>
      <c r="AK227" s="25"/>
      <c r="AL227" s="25"/>
      <c r="AM227" s="25"/>
      <c r="AN227" s="25"/>
      <c r="AO227" s="25"/>
      <c r="AP227" s="25"/>
      <c r="AQ227" s="25"/>
      <c r="AR227" s="25"/>
      <c r="AS227" s="25"/>
      <c r="AT227" s="25"/>
      <c r="AU227" s="25"/>
      <c r="AV227" s="25"/>
      <c r="AW227" s="25"/>
      <c r="AX227" s="25"/>
      <c r="AY227" s="25"/>
      <c r="AZ227" s="25"/>
      <c r="BA227" s="25"/>
    </row>
    <row r="228" spans="1:53" ht="12.75">
      <c r="A228" s="25"/>
      <c r="B228" s="25"/>
      <c r="C228" s="25"/>
      <c r="D228" s="25"/>
      <c r="E228" s="25"/>
      <c r="F228" s="25"/>
      <c r="G228" s="25"/>
      <c r="H228" s="25"/>
      <c r="I228" s="25"/>
      <c r="J228" s="25"/>
      <c r="K228" s="25"/>
      <c r="L228" s="25"/>
      <c r="M228" s="25"/>
      <c r="N228" s="25"/>
      <c r="O228" s="25"/>
      <c r="P228" s="25"/>
      <c r="Q228" s="25"/>
      <c r="R228" s="25"/>
      <c r="S228" s="25"/>
      <c r="T228" s="25"/>
      <c r="U228" s="25"/>
      <c r="V228" s="25"/>
      <c r="W228" s="25"/>
      <c r="X228" s="25"/>
      <c r="Y228" s="25"/>
      <c r="Z228" s="25"/>
      <c r="AA228" s="25"/>
      <c r="AB228" s="25"/>
      <c r="AC228" s="25"/>
      <c r="AD228" s="25"/>
      <c r="AE228" s="25"/>
      <c r="AF228" s="25"/>
      <c r="AG228" s="25"/>
      <c r="AH228" s="25"/>
      <c r="AI228" s="25"/>
      <c r="AJ228" s="25"/>
      <c r="AK228" s="25"/>
      <c r="AL228" s="25"/>
      <c r="AM228" s="25"/>
      <c r="AN228" s="25"/>
      <c r="AO228" s="25"/>
      <c r="AP228" s="25"/>
      <c r="AQ228" s="25"/>
      <c r="AR228" s="25"/>
      <c r="AS228" s="25"/>
      <c r="AT228" s="25"/>
      <c r="AU228" s="25"/>
      <c r="AV228" s="25"/>
      <c r="AW228" s="25"/>
      <c r="AX228" s="25"/>
      <c r="AY228" s="25"/>
      <c r="AZ228" s="25"/>
      <c r="BA228" s="25"/>
    </row>
    <row r="229" spans="1:53" ht="12.75">
      <c r="A229" s="25"/>
      <c r="B229" s="25"/>
      <c r="C229" s="25"/>
      <c r="D229" s="25"/>
      <c r="E229" s="25"/>
      <c r="F229" s="25"/>
      <c r="G229" s="25"/>
      <c r="H229" s="25"/>
      <c r="I229" s="25"/>
      <c r="J229" s="25"/>
      <c r="K229" s="25"/>
      <c r="L229" s="25"/>
      <c r="M229" s="25"/>
      <c r="N229" s="25"/>
      <c r="O229" s="25"/>
      <c r="P229" s="25"/>
      <c r="Q229" s="25"/>
      <c r="R229" s="25"/>
      <c r="S229" s="25"/>
      <c r="T229" s="25"/>
      <c r="U229" s="25"/>
      <c r="V229" s="25"/>
      <c r="W229" s="25"/>
      <c r="X229" s="25"/>
      <c r="Y229" s="25"/>
      <c r="Z229" s="25"/>
      <c r="AA229" s="25"/>
      <c r="AB229" s="25"/>
      <c r="AC229" s="25"/>
      <c r="AD229" s="25"/>
      <c r="AE229" s="25"/>
      <c r="AF229" s="25"/>
      <c r="AG229" s="25"/>
      <c r="AH229" s="25"/>
      <c r="AI229" s="25"/>
      <c r="AJ229" s="25"/>
      <c r="AK229" s="25"/>
      <c r="AL229" s="25"/>
      <c r="AM229" s="25"/>
      <c r="AN229" s="25"/>
      <c r="AO229" s="25"/>
      <c r="AP229" s="25"/>
      <c r="AQ229" s="25"/>
      <c r="AR229" s="25"/>
      <c r="AS229" s="25"/>
      <c r="AT229" s="25"/>
      <c r="AU229" s="25"/>
      <c r="AV229" s="25"/>
      <c r="AW229" s="25"/>
      <c r="AX229" s="25"/>
      <c r="AY229" s="25"/>
      <c r="AZ229" s="25"/>
      <c r="BA229" s="25"/>
    </row>
    <row r="230" spans="1:53" ht="12.75">
      <c r="A230" s="25"/>
      <c r="B230" s="25"/>
      <c r="C230" s="25"/>
      <c r="D230" s="25"/>
      <c r="E230" s="25"/>
      <c r="F230" s="25"/>
      <c r="G230" s="25"/>
      <c r="H230" s="25"/>
      <c r="I230" s="25"/>
      <c r="J230" s="25"/>
      <c r="K230" s="25"/>
      <c r="L230" s="25"/>
      <c r="M230" s="25"/>
      <c r="N230" s="25"/>
      <c r="O230" s="25"/>
      <c r="P230" s="25"/>
      <c r="Q230" s="25"/>
      <c r="R230" s="25"/>
      <c r="S230" s="25"/>
      <c r="T230" s="25"/>
      <c r="U230" s="25"/>
      <c r="V230" s="25"/>
      <c r="W230" s="25"/>
      <c r="X230" s="25"/>
      <c r="Y230" s="25"/>
      <c r="Z230" s="25"/>
      <c r="AA230" s="25"/>
      <c r="AB230" s="25"/>
      <c r="AC230" s="25"/>
      <c r="AD230" s="25"/>
      <c r="AE230" s="25"/>
      <c r="AF230" s="25"/>
      <c r="AG230" s="25"/>
      <c r="AH230" s="25"/>
      <c r="AI230" s="25"/>
      <c r="AJ230" s="25"/>
      <c r="AK230" s="25"/>
      <c r="AL230" s="25"/>
      <c r="AM230" s="25"/>
      <c r="AN230" s="25"/>
      <c r="AO230" s="25"/>
      <c r="AP230" s="25"/>
      <c r="AQ230" s="25"/>
      <c r="AR230" s="25"/>
      <c r="AS230" s="25"/>
      <c r="AT230" s="25"/>
      <c r="AU230" s="25"/>
      <c r="AV230" s="25"/>
      <c r="AW230" s="25"/>
      <c r="AX230" s="25"/>
      <c r="AY230" s="25"/>
      <c r="AZ230" s="25"/>
      <c r="BA230" s="25"/>
    </row>
    <row r="231" spans="1:53" ht="12.75">
      <c r="A231" s="25"/>
      <c r="B231" s="25"/>
      <c r="C231" s="25"/>
      <c r="D231" s="25"/>
      <c r="E231" s="25"/>
      <c r="F231" s="25"/>
      <c r="G231" s="25"/>
      <c r="H231" s="25"/>
      <c r="I231" s="25"/>
      <c r="J231" s="25"/>
      <c r="K231" s="25"/>
      <c r="L231" s="25"/>
      <c r="M231" s="25"/>
      <c r="N231" s="25"/>
      <c r="O231" s="25"/>
      <c r="P231" s="25"/>
      <c r="Q231" s="25"/>
      <c r="R231" s="25"/>
      <c r="S231" s="25"/>
      <c r="T231" s="25"/>
      <c r="U231" s="25"/>
      <c r="V231" s="25"/>
      <c r="W231" s="25"/>
      <c r="X231" s="25"/>
      <c r="Y231" s="25"/>
      <c r="Z231" s="25"/>
      <c r="AA231" s="25"/>
      <c r="AB231" s="25"/>
      <c r="AC231" s="25"/>
      <c r="AD231" s="25"/>
      <c r="AE231" s="25"/>
      <c r="AF231" s="25"/>
      <c r="AG231" s="25"/>
      <c r="AH231" s="25"/>
      <c r="AI231" s="25"/>
      <c r="AJ231" s="25"/>
      <c r="AK231" s="25"/>
      <c r="AL231" s="25"/>
      <c r="AM231" s="25"/>
      <c r="AN231" s="25"/>
      <c r="AO231" s="25"/>
      <c r="AP231" s="25"/>
      <c r="AQ231" s="25"/>
      <c r="AR231" s="25"/>
      <c r="AS231" s="25"/>
      <c r="AT231" s="25"/>
      <c r="AU231" s="25"/>
      <c r="AV231" s="25"/>
      <c r="AW231" s="25"/>
      <c r="AX231" s="25"/>
      <c r="AY231" s="25"/>
      <c r="AZ231" s="25"/>
      <c r="BA231" s="25"/>
    </row>
  </sheetData>
  <sheetProtection formatCells="0" selectLockedCells="1"/>
  <protectedRanges>
    <protectedRange sqref="Q13:Q14" name="weeks per year"/>
    <protectedRange sqref="I13:O14" name="daily hours"/>
  </protectedRanges>
  <mergeCells count="79">
    <mergeCell ref="E19:AE30"/>
    <mergeCell ref="E35:AE46"/>
    <mergeCell ref="AC51:AE51"/>
    <mergeCell ref="AC60:AE60"/>
    <mergeCell ref="AC68:AE68"/>
    <mergeCell ref="AC69:AE69"/>
    <mergeCell ref="AC61:AE61"/>
    <mergeCell ref="AC62:AE62"/>
    <mergeCell ref="AC63:AE63"/>
    <mergeCell ref="AC64:AE64"/>
    <mergeCell ref="AC65:AE65"/>
    <mergeCell ref="AC66:AE66"/>
    <mergeCell ref="AC67:AE67"/>
    <mergeCell ref="Z73:AB73"/>
    <mergeCell ref="T73:V73"/>
    <mergeCell ref="W73:Y73"/>
    <mergeCell ref="L71:AB71"/>
    <mergeCell ref="AC70:AE70"/>
    <mergeCell ref="AC71:AE71"/>
    <mergeCell ref="L65:AB65"/>
    <mergeCell ref="AC52:AE52"/>
    <mergeCell ref="F51:K51"/>
    <mergeCell ref="L51:AB51"/>
    <mergeCell ref="AC72:AE72"/>
    <mergeCell ref="AC73:AE73"/>
    <mergeCell ref="H73:J73"/>
    <mergeCell ref="K73:M73"/>
    <mergeCell ref="N73:P73"/>
    <mergeCell ref="Q73:S73"/>
    <mergeCell ref="L72:AB72"/>
    <mergeCell ref="AC59:AE59"/>
    <mergeCell ref="E74:AE75"/>
    <mergeCell ref="W5:AE7"/>
    <mergeCell ref="AC57:AE57"/>
    <mergeCell ref="AC58:AE58"/>
    <mergeCell ref="AC55:AE55"/>
    <mergeCell ref="AC56:AE56"/>
    <mergeCell ref="AC53:AE53"/>
    <mergeCell ref="AC54:AE54"/>
    <mergeCell ref="E11:AE14"/>
    <mergeCell ref="F52:K52"/>
    <mergeCell ref="F53:K53"/>
    <mergeCell ref="F54:K54"/>
    <mergeCell ref="F55:K55"/>
    <mergeCell ref="F56:K56"/>
    <mergeCell ref="F57:K57"/>
    <mergeCell ref="F69:K69"/>
    <mergeCell ref="F58:K58"/>
    <mergeCell ref="F59:K59"/>
    <mergeCell ref="F60:K60"/>
    <mergeCell ref="F61:K61"/>
    <mergeCell ref="F62:K62"/>
    <mergeCell ref="F63:K63"/>
    <mergeCell ref="L58:AB58"/>
    <mergeCell ref="F64:K64"/>
    <mergeCell ref="F65:K65"/>
    <mergeCell ref="F66:K66"/>
    <mergeCell ref="F67:K67"/>
    <mergeCell ref="F68:K68"/>
    <mergeCell ref="L64:AB64"/>
    <mergeCell ref="L67:AB67"/>
    <mergeCell ref="L68:AB68"/>
    <mergeCell ref="F70:K70"/>
    <mergeCell ref="F71:K71"/>
    <mergeCell ref="F72:K72"/>
    <mergeCell ref="L52:AB52"/>
    <mergeCell ref="L53:AB53"/>
    <mergeCell ref="L54:AB54"/>
    <mergeCell ref="L55:AB55"/>
    <mergeCell ref="L56:AB56"/>
    <mergeCell ref="L57:AB57"/>
    <mergeCell ref="L66:AB66"/>
    <mergeCell ref="L69:AB69"/>
    <mergeCell ref="L70:AB70"/>
    <mergeCell ref="L59:AB59"/>
    <mergeCell ref="L60:AB60"/>
    <mergeCell ref="L61:AB61"/>
    <mergeCell ref="L62:AB62"/>
    <mergeCell ref="L63:AB63"/>
  </mergeCells>
  <conditionalFormatting sqref="I5:I6">
    <cfRule type="cellIs" priority="3" dxfId="12" operator="equal" stopIfTrue="1">
      <formula>0</formula>
    </cfRule>
  </conditionalFormatting>
  <conditionalFormatting sqref="AC52:AE52">
    <cfRule type="cellIs" priority="2" dxfId="10" operator="lessThan" stopIfTrue="1">
      <formula>0</formula>
    </cfRule>
  </conditionalFormatting>
  <conditionalFormatting sqref="AC52:AE72">
    <cfRule type="cellIs" priority="1" dxfId="10" operator="lessThan" stopIfTrue="1">
      <formula>0</formula>
    </cfRule>
  </conditionalFormatting>
  <printOptions/>
  <pageMargins left="0.5" right="0.25" top="0.4" bottom="0.27" header="0.4" footer="0"/>
  <pageSetup fitToHeight="1" fitToWidth="1" horizontalDpi="600" verticalDpi="600" orientation="portrait" scale="81" r:id="rId1"/>
</worksheet>
</file>

<file path=xl/worksheets/sheet5.xml><?xml version="1.0" encoding="utf-8"?>
<worksheet xmlns="http://schemas.openxmlformats.org/spreadsheetml/2006/main" xmlns:r="http://schemas.openxmlformats.org/officeDocument/2006/relationships">
  <sheetPr codeName="Sheet3">
    <pageSetUpPr fitToPage="1"/>
  </sheetPr>
  <dimension ref="A1:AZ311"/>
  <sheetViews>
    <sheetView zoomScale="90" zoomScaleNormal="90" zoomScalePageLayoutView="0" workbookViewId="0" topLeftCell="A1">
      <selection activeCell="A285" sqref="A285"/>
    </sheetView>
  </sheetViews>
  <sheetFormatPr defaultColWidth="9.140625" defaultRowHeight="12.75"/>
  <cols>
    <col min="1" max="1" width="55.8515625" style="0" customWidth="1"/>
    <col min="2" max="2" width="24.421875" style="0" customWidth="1"/>
    <col min="3" max="3" width="25.8515625" style="0" customWidth="1"/>
    <col min="4" max="4" width="18.8515625" style="0" customWidth="1"/>
    <col min="5" max="5" width="27.8515625" style="0" customWidth="1"/>
    <col min="6" max="6" width="36.57421875" style="0" customWidth="1"/>
    <col min="7" max="7" width="90.00390625" style="0" bestFit="1" customWidth="1"/>
    <col min="8" max="8" width="11.57421875" style="0" customWidth="1"/>
    <col min="9" max="9" width="28.421875" style="0" customWidth="1"/>
    <col min="10" max="10" width="19.57421875" style="0" customWidth="1"/>
    <col min="11" max="11" width="58.140625" style="0" bestFit="1" customWidth="1"/>
    <col min="12" max="12" width="13.140625" style="0" customWidth="1"/>
    <col min="13" max="13" width="12.421875" style="0" customWidth="1"/>
    <col min="14" max="14" width="15.140625" style="0" customWidth="1"/>
    <col min="16" max="16" width="20.57421875" style="0" customWidth="1"/>
    <col min="17" max="17" width="19.57421875" style="0" customWidth="1"/>
    <col min="18" max="18" width="14.57421875" style="0" bestFit="1" customWidth="1"/>
    <col min="19" max="19" width="18.8515625" style="0" bestFit="1" customWidth="1"/>
    <col min="20" max="20" width="12.140625" style="0" customWidth="1"/>
  </cols>
  <sheetData>
    <row r="1" spans="1:19" ht="18">
      <c r="A1" s="146" t="s">
        <v>537</v>
      </c>
      <c r="B1" s="70"/>
      <c r="C1" s="70"/>
      <c r="D1" s="70"/>
      <c r="E1" s="70"/>
      <c r="F1" s="70"/>
      <c r="G1" s="70"/>
      <c r="H1" s="70"/>
      <c r="I1" s="70"/>
      <c r="J1" s="70"/>
      <c r="K1" s="70"/>
      <c r="L1" s="70"/>
      <c r="M1" s="70"/>
      <c r="N1" s="70"/>
      <c r="O1" s="70"/>
      <c r="P1" s="70"/>
      <c r="Q1" s="70"/>
      <c r="R1" s="70"/>
      <c r="S1" s="70"/>
    </row>
    <row r="2" spans="1:19" ht="30" customHeight="1">
      <c r="A2" s="81" t="s">
        <v>664</v>
      </c>
      <c r="B2" s="82" t="s">
        <v>928</v>
      </c>
      <c r="C2" s="82" t="s">
        <v>822</v>
      </c>
      <c r="D2" s="70"/>
      <c r="E2" s="70"/>
      <c r="F2" s="70"/>
      <c r="G2" s="70"/>
      <c r="H2" s="70"/>
      <c r="I2" s="70"/>
      <c r="J2" s="70"/>
      <c r="K2" s="858" t="s">
        <v>1128</v>
      </c>
      <c r="L2" s="70"/>
      <c r="M2" s="70"/>
      <c r="N2" s="70"/>
      <c r="O2" s="70"/>
      <c r="P2" s="70"/>
      <c r="Q2" s="70"/>
      <c r="R2" s="70"/>
      <c r="S2" s="70"/>
    </row>
    <row r="3" spans="1:19" ht="15">
      <c r="A3" s="83" t="s">
        <v>673</v>
      </c>
      <c r="B3" s="84">
        <f>IF('Customer Information'!D10=0,"",'Customer Information'!D10)</f>
      </c>
      <c r="C3" s="71" t="s">
        <v>802</v>
      </c>
      <c r="D3" s="852"/>
      <c r="E3" s="85" t="s">
        <v>925</v>
      </c>
      <c r="F3" s="70" t="s">
        <v>945</v>
      </c>
      <c r="G3" s="70"/>
      <c r="H3" s="70"/>
      <c r="I3" s="70"/>
      <c r="J3" s="70"/>
      <c r="K3" s="859" t="s">
        <v>1129</v>
      </c>
      <c r="L3" s="86">
        <v>1</v>
      </c>
      <c r="M3" s="70"/>
      <c r="N3" s="70"/>
      <c r="O3" s="114" t="s">
        <v>428</v>
      </c>
      <c r="P3" s="70"/>
      <c r="Q3" s="70"/>
      <c r="R3" s="70"/>
      <c r="S3" s="70"/>
    </row>
    <row r="4" spans="1:17" ht="12.75">
      <c r="A4" s="70" t="s">
        <v>927</v>
      </c>
      <c r="B4" s="87" t="e">
        <f>IF(ISERR(FIND(" ",ContactName,1+FIND(" ",ContactName))),MID(ContactName,FIND(" ",ContactName)+1,LEN(ContactName)),MID(ContactName,1+FIND(" ",ContactName,1+FIND(" ",ContactName)),LEN(ContactName)))</f>
        <v>#VALUE!</v>
      </c>
      <c r="C4" s="71" t="s">
        <v>836</v>
      </c>
      <c r="D4" s="853"/>
      <c r="E4" s="88" t="s">
        <v>926</v>
      </c>
      <c r="F4" s="70" t="s">
        <v>946</v>
      </c>
      <c r="G4" s="70"/>
      <c r="H4" s="70"/>
      <c r="I4" s="70"/>
      <c r="J4" s="70"/>
      <c r="K4" s="860" t="s">
        <v>1130</v>
      </c>
      <c r="L4" s="70"/>
      <c r="M4" s="70"/>
      <c r="N4" s="70"/>
      <c r="O4" s="70" t="s">
        <v>429</v>
      </c>
      <c r="P4" s="70"/>
      <c r="Q4" s="70" t="s">
        <v>430</v>
      </c>
    </row>
    <row r="5" spans="1:24" ht="12.75" customHeight="1">
      <c r="A5" s="70" t="s">
        <v>688</v>
      </c>
      <c r="B5" s="87" t="str">
        <f>IF($L$3=2,"Ms.","Mr.")</f>
        <v>Mr.</v>
      </c>
      <c r="C5" s="71" t="s">
        <v>837</v>
      </c>
      <c r="D5" s="853"/>
      <c r="E5" s="89" t="s">
        <v>933</v>
      </c>
      <c r="F5" s="70" t="s">
        <v>934</v>
      </c>
      <c r="G5" s="70"/>
      <c r="H5" s="70"/>
      <c r="I5" s="70"/>
      <c r="J5" s="70"/>
      <c r="K5" s="861" t="s">
        <v>1131</v>
      </c>
      <c r="L5" s="70"/>
      <c r="M5" s="70"/>
      <c r="N5" s="70"/>
      <c r="O5" s="70" t="s">
        <v>431</v>
      </c>
      <c r="P5" s="219">
        <v>39976</v>
      </c>
      <c r="Q5" s="302" t="s">
        <v>558</v>
      </c>
      <c r="W5" s="304"/>
      <c r="X5" s="304"/>
    </row>
    <row r="6" spans="1:24" ht="15">
      <c r="A6" s="83" t="s">
        <v>688</v>
      </c>
      <c r="B6" s="84">
        <f>IF('Customer Information'!R10=0,"",'Customer Information'!R10)</f>
      </c>
      <c r="C6" s="71" t="s">
        <v>803</v>
      </c>
      <c r="D6" s="853"/>
      <c r="E6" s="90" t="s">
        <v>944</v>
      </c>
      <c r="F6" s="70" t="s">
        <v>1033</v>
      </c>
      <c r="G6" s="70"/>
      <c r="H6" s="70"/>
      <c r="I6" s="70"/>
      <c r="J6" s="70"/>
      <c r="K6" s="861" t="s">
        <v>1132</v>
      </c>
      <c r="L6" s="70"/>
      <c r="M6" s="70"/>
      <c r="N6" s="70"/>
      <c r="O6" s="70" t="s">
        <v>431</v>
      </c>
      <c r="P6" s="219">
        <v>39976</v>
      </c>
      <c r="Q6" s="302" t="s">
        <v>556</v>
      </c>
      <c r="R6" s="303"/>
      <c r="S6" s="303"/>
      <c r="T6" s="304"/>
      <c r="U6" s="304"/>
      <c r="V6" s="304"/>
      <c r="W6" s="304"/>
      <c r="X6" s="304"/>
    </row>
    <row r="7" spans="1:24" ht="15">
      <c r="A7" s="70" t="s">
        <v>640</v>
      </c>
      <c r="B7" s="84">
        <f>IF('Customer Information'!D8=0,"",'Customer Information'!D8)</f>
      </c>
      <c r="C7" s="71" t="s">
        <v>804</v>
      </c>
      <c r="D7" s="50"/>
      <c r="E7" s="91" t="s">
        <v>925</v>
      </c>
      <c r="F7" s="70" t="s">
        <v>1034</v>
      </c>
      <c r="G7" s="70"/>
      <c r="H7" s="70"/>
      <c r="I7" s="70"/>
      <c r="J7" s="70"/>
      <c r="K7" s="861" t="s">
        <v>1133</v>
      </c>
      <c r="L7" s="70"/>
      <c r="M7" s="70"/>
      <c r="N7" s="70"/>
      <c r="O7" s="70" t="s">
        <v>431</v>
      </c>
      <c r="P7" s="219">
        <v>39976</v>
      </c>
      <c r="Q7" s="302" t="s">
        <v>557</v>
      </c>
      <c r="R7" s="303"/>
      <c r="S7" s="303"/>
      <c r="T7" s="304"/>
      <c r="U7" s="304"/>
      <c r="V7" s="304"/>
      <c r="W7" s="304"/>
      <c r="X7" s="304"/>
    </row>
    <row r="8" spans="1:19" ht="12.75">
      <c r="A8" s="70" t="s">
        <v>622</v>
      </c>
      <c r="B8" s="84">
        <f>IF('Customer Information'!D12=0,"",'Customer Information'!D12)</f>
      </c>
      <c r="C8" s="71" t="s">
        <v>805</v>
      </c>
      <c r="D8" s="70"/>
      <c r="E8" s="92" t="s">
        <v>1032</v>
      </c>
      <c r="F8" s="70" t="s">
        <v>1030</v>
      </c>
      <c r="G8" s="70"/>
      <c r="H8" s="70"/>
      <c r="I8" s="70"/>
      <c r="J8" s="70"/>
      <c r="K8" s="860" t="s">
        <v>1134</v>
      </c>
      <c r="L8" s="70"/>
      <c r="M8" s="70"/>
      <c r="N8" s="70"/>
      <c r="O8" s="70" t="s">
        <v>431</v>
      </c>
      <c r="P8" s="219">
        <v>39976</v>
      </c>
      <c r="Q8" s="70" t="s">
        <v>432</v>
      </c>
      <c r="R8" s="70"/>
      <c r="S8" s="70"/>
    </row>
    <row r="9" spans="1:19" ht="12.75">
      <c r="A9" s="70" t="s">
        <v>708</v>
      </c>
      <c r="B9" s="84">
        <f>IF('Customer Information'!R12=0,"",'Customer Information'!R12)</f>
      </c>
      <c r="C9" s="71" t="s">
        <v>806</v>
      </c>
      <c r="D9" s="93"/>
      <c r="E9" s="94" t="s">
        <v>1031</v>
      </c>
      <c r="F9" s="70" t="s">
        <v>1035</v>
      </c>
      <c r="G9" s="70"/>
      <c r="H9" s="70"/>
      <c r="I9" s="70"/>
      <c r="J9" s="70"/>
      <c r="K9" s="860" t="s">
        <v>1135</v>
      </c>
      <c r="L9" s="70"/>
      <c r="M9" s="70"/>
      <c r="N9" s="70"/>
      <c r="O9" s="70" t="s">
        <v>431</v>
      </c>
      <c r="P9" s="219">
        <v>39976</v>
      </c>
      <c r="Q9" s="70" t="s">
        <v>433</v>
      </c>
      <c r="R9" s="70"/>
      <c r="S9" s="70"/>
    </row>
    <row r="10" spans="1:19" ht="12.75">
      <c r="A10" s="70" t="s">
        <v>709</v>
      </c>
      <c r="B10" s="84">
        <f>IF('Customer Information'!Z12=0,"",'Customer Information'!Z12)</f>
      </c>
      <c r="C10" s="71" t="s">
        <v>807</v>
      </c>
      <c r="D10" s="93"/>
      <c r="E10" s="95" t="s">
        <v>947</v>
      </c>
      <c r="F10" s="70" t="s">
        <v>1029</v>
      </c>
      <c r="G10" s="70"/>
      <c r="H10" s="70"/>
      <c r="I10" s="70"/>
      <c r="J10" s="70"/>
      <c r="K10" s="860" t="s">
        <v>1136</v>
      </c>
      <c r="L10" s="70"/>
      <c r="M10" s="70"/>
      <c r="N10" s="70"/>
      <c r="O10" s="70" t="s">
        <v>431</v>
      </c>
      <c r="P10" s="219">
        <v>39980</v>
      </c>
      <c r="Q10" s="70" t="s">
        <v>434</v>
      </c>
      <c r="R10" s="70"/>
      <c r="S10" s="70"/>
    </row>
    <row r="11" spans="1:19" ht="15">
      <c r="A11" s="70" t="s">
        <v>710</v>
      </c>
      <c r="B11" s="96">
        <f>IF('Customer Information'!AC12=0,"",'Customer Information'!AC12)</f>
      </c>
      <c r="C11" s="71" t="s">
        <v>808</v>
      </c>
      <c r="D11" s="93"/>
      <c r="E11" s="97" t="s">
        <v>951</v>
      </c>
      <c r="F11" s="70" t="s">
        <v>952</v>
      </c>
      <c r="G11" s="70"/>
      <c r="H11" s="70"/>
      <c r="I11" s="70"/>
      <c r="J11" s="70"/>
      <c r="K11" s="862" t="s">
        <v>1137</v>
      </c>
      <c r="L11" s="70"/>
      <c r="M11" s="70"/>
      <c r="N11" s="70"/>
      <c r="O11" s="70" t="s">
        <v>431</v>
      </c>
      <c r="P11" s="219">
        <v>39980</v>
      </c>
      <c r="Q11" s="70" t="s">
        <v>435</v>
      </c>
      <c r="R11" s="70"/>
      <c r="S11" s="70"/>
    </row>
    <row r="12" spans="1:19" ht="12.75">
      <c r="A12" s="70" t="s">
        <v>623</v>
      </c>
      <c r="B12" s="98">
        <f>IF(IF(ISBLANK('Customer Information'!D25),'Customer Information'!D12,'Customer Information'!D25)=0,"",IF(ISBLANK('Customer Information'!D25),'Customer Information'!D12,'Customer Information'!D25))</f>
      </c>
      <c r="C12" s="71" t="s">
        <v>809</v>
      </c>
      <c r="D12" s="93"/>
      <c r="E12" s="99" t="s">
        <v>1026</v>
      </c>
      <c r="F12" s="70" t="s">
        <v>1028</v>
      </c>
      <c r="G12" s="70"/>
      <c r="H12" s="70"/>
      <c r="I12" s="70"/>
      <c r="J12" s="70"/>
      <c r="K12" s="860" t="s">
        <v>1138</v>
      </c>
      <c r="L12" s="70"/>
      <c r="M12" s="70"/>
      <c r="N12" s="70"/>
      <c r="O12" s="70" t="s">
        <v>436</v>
      </c>
      <c r="P12" s="123">
        <v>39989</v>
      </c>
      <c r="Q12" s="70" t="s">
        <v>437</v>
      </c>
      <c r="R12" s="70"/>
      <c r="S12" s="70"/>
    </row>
    <row r="13" spans="1:19" ht="12.75">
      <c r="A13" s="70" t="s">
        <v>715</v>
      </c>
      <c r="B13" s="98">
        <f>IF(IF(ISBLANK('Customer Information'!Q25),'Customer Information'!R12,'Customer Information'!Q25)=0,"",IF(ISBLANK('Customer Information'!Q25),'Customer Information'!R12,'Customer Information'!Q25))</f>
      </c>
      <c r="C13" s="71" t="s">
        <v>810</v>
      </c>
      <c r="D13" s="93"/>
      <c r="E13" s="93"/>
      <c r="F13" s="70"/>
      <c r="G13" s="70"/>
      <c r="H13" s="70"/>
      <c r="I13" s="70"/>
      <c r="J13" s="70"/>
      <c r="K13" s="860" t="s">
        <v>1139</v>
      </c>
      <c r="L13" s="70"/>
      <c r="M13" s="70"/>
      <c r="N13" s="70"/>
      <c r="O13" s="70" t="s">
        <v>436</v>
      </c>
      <c r="P13" s="123">
        <v>39989</v>
      </c>
      <c r="Q13" s="70" t="s">
        <v>438</v>
      </c>
      <c r="R13" s="70"/>
      <c r="S13" s="70"/>
    </row>
    <row r="14" spans="1:19" ht="12.75">
      <c r="A14" s="70" t="s">
        <v>732</v>
      </c>
      <c r="B14" s="61" t="s">
        <v>1321</v>
      </c>
      <c r="C14" s="71" t="s">
        <v>811</v>
      </c>
      <c r="D14" s="93"/>
      <c r="E14" s="93"/>
      <c r="F14" s="70"/>
      <c r="G14" s="70"/>
      <c r="H14" s="70"/>
      <c r="I14" s="70"/>
      <c r="J14" s="70"/>
      <c r="K14" s="860" t="s">
        <v>1140</v>
      </c>
      <c r="L14" s="70"/>
      <c r="M14" s="70"/>
      <c r="N14" s="70"/>
      <c r="O14" s="70" t="s">
        <v>436</v>
      </c>
      <c r="P14" s="123">
        <v>39989</v>
      </c>
      <c r="Q14" s="70" t="s">
        <v>439</v>
      </c>
      <c r="R14" s="70"/>
      <c r="S14" s="70"/>
    </row>
    <row r="15" spans="1:19" ht="15">
      <c r="A15" s="70" t="s">
        <v>733</v>
      </c>
      <c r="B15" s="98">
        <f>IF(IF(ISBLANK('Customer Information'!Z25),'Customer Information'!AC12,'Customer Information'!Z25)=0,"",IF(ISBLANK('Customer Information'!Z25),'Customer Information'!AC12,'Customer Information'!Z25))</f>
      </c>
      <c r="C15" s="71" t="s">
        <v>812</v>
      </c>
      <c r="D15" s="93"/>
      <c r="E15" s="70"/>
      <c r="F15" s="70"/>
      <c r="G15" s="70"/>
      <c r="H15" s="70"/>
      <c r="I15" s="70"/>
      <c r="J15" s="70"/>
      <c r="K15" s="859" t="s">
        <v>1141</v>
      </c>
      <c r="L15" s="70"/>
      <c r="M15" s="70"/>
      <c r="N15" s="70"/>
      <c r="O15" s="70" t="s">
        <v>440</v>
      </c>
      <c r="P15" s="123">
        <v>39993</v>
      </c>
      <c r="Q15" s="70" t="s">
        <v>441</v>
      </c>
      <c r="R15" s="70"/>
      <c r="S15" s="70"/>
    </row>
    <row r="16" spans="1:19" ht="12.75">
      <c r="A16" s="70" t="s">
        <v>689</v>
      </c>
      <c r="B16" s="98">
        <f>IF(ISBLANK('Customer Information'!D27),"",'Customer Information'!D27)</f>
      </c>
      <c r="C16" s="71" t="s">
        <v>813</v>
      </c>
      <c r="D16" s="93"/>
      <c r="E16" s="70"/>
      <c r="F16" s="70"/>
      <c r="G16" s="70"/>
      <c r="H16" s="70"/>
      <c r="I16" s="70"/>
      <c r="J16" s="70"/>
      <c r="K16" s="860" t="s">
        <v>1142</v>
      </c>
      <c r="L16" s="70"/>
      <c r="M16" s="70"/>
      <c r="N16" s="70"/>
      <c r="O16" s="70"/>
      <c r="P16" s="70"/>
      <c r="Q16" s="70" t="s">
        <v>442</v>
      </c>
      <c r="R16" s="70"/>
      <c r="S16" s="70"/>
    </row>
    <row r="17" spans="1:19" ht="12.75">
      <c r="A17" s="70" t="s">
        <v>829</v>
      </c>
      <c r="B17" s="100">
        <f>IF('Customer Information'!C14=0,"",'Customer Information'!C14)</f>
      </c>
      <c r="C17" s="71" t="s">
        <v>830</v>
      </c>
      <c r="D17" s="101"/>
      <c r="E17" s="70"/>
      <c r="F17" s="70"/>
      <c r="G17" s="70"/>
      <c r="H17" s="70"/>
      <c r="I17" s="70"/>
      <c r="J17" s="70"/>
      <c r="K17" s="860" t="s">
        <v>1143</v>
      </c>
      <c r="L17" s="70"/>
      <c r="M17" s="70"/>
      <c r="N17" s="70"/>
      <c r="O17" s="70" t="s">
        <v>510</v>
      </c>
      <c r="P17" s="123">
        <v>40224</v>
      </c>
      <c r="Q17" s="70" t="s">
        <v>511</v>
      </c>
      <c r="R17" s="70"/>
      <c r="S17" s="70"/>
    </row>
    <row r="18" spans="1:19" ht="12.75">
      <c r="A18" s="70" t="s">
        <v>641</v>
      </c>
      <c r="B18" s="100">
        <f>IF('Customer Information'!I14=0,"",'Customer Information'!I14)</f>
      </c>
      <c r="C18" s="71" t="s">
        <v>814</v>
      </c>
      <c r="D18" s="101"/>
      <c r="E18" s="102"/>
      <c r="F18" s="70"/>
      <c r="G18" s="70"/>
      <c r="H18" s="70"/>
      <c r="I18" s="70"/>
      <c r="J18" s="70"/>
      <c r="K18" s="860" t="s">
        <v>1144</v>
      </c>
      <c r="L18" s="70"/>
      <c r="M18" s="70"/>
      <c r="N18" s="70"/>
      <c r="O18" s="70"/>
      <c r="P18" s="70"/>
      <c r="Q18" s="70" t="s">
        <v>513</v>
      </c>
      <c r="R18" s="70"/>
      <c r="S18" s="70"/>
    </row>
    <row r="19" spans="1:19" ht="15">
      <c r="A19" s="70" t="s">
        <v>621</v>
      </c>
      <c r="B19" s="98">
        <f>IF('Customer Information'!O14=0,"",'Customer Information'!O14)</f>
      </c>
      <c r="C19" s="71" t="s">
        <v>815</v>
      </c>
      <c r="D19" s="93"/>
      <c r="E19" s="70"/>
      <c r="F19" s="70"/>
      <c r="G19" s="70"/>
      <c r="H19" s="70"/>
      <c r="I19" s="70"/>
      <c r="J19" s="70"/>
      <c r="K19" s="861" t="s">
        <v>1145</v>
      </c>
      <c r="L19" s="70"/>
      <c r="M19" s="70"/>
      <c r="N19" s="70"/>
      <c r="O19" s="70"/>
      <c r="P19" s="70"/>
      <c r="Q19" s="70" t="s">
        <v>512</v>
      </c>
      <c r="R19" s="70"/>
      <c r="S19" s="70"/>
    </row>
    <row r="20" spans="1:19" ht="15">
      <c r="A20" s="70" t="s">
        <v>544</v>
      </c>
      <c r="B20" s="103" t="str">
        <f ca="1">TEXT(NOW(),"mmmm d,yyyy")</f>
        <v>January 13,2023</v>
      </c>
      <c r="C20" s="71" t="s">
        <v>924</v>
      </c>
      <c r="D20" s="70"/>
      <c r="E20" s="70"/>
      <c r="F20" s="70"/>
      <c r="G20" s="70"/>
      <c r="H20" s="70"/>
      <c r="I20" s="70"/>
      <c r="J20" s="70"/>
      <c r="K20" s="861" t="s">
        <v>1146</v>
      </c>
      <c r="L20" s="70"/>
      <c r="M20" s="70"/>
      <c r="N20" s="70"/>
      <c r="O20" s="70" t="s">
        <v>553</v>
      </c>
      <c r="P20" s="123">
        <v>40256</v>
      </c>
      <c r="Q20" s="70" t="s">
        <v>552</v>
      </c>
      <c r="R20" s="70"/>
      <c r="S20" s="70"/>
    </row>
    <row r="21" spans="1:19" ht="15">
      <c r="A21" s="70"/>
      <c r="B21" s="70"/>
      <c r="C21" s="70"/>
      <c r="D21" s="70"/>
      <c r="E21" s="70"/>
      <c r="F21" s="70"/>
      <c r="G21" s="70"/>
      <c r="H21" s="70"/>
      <c r="I21" s="70"/>
      <c r="J21" s="70"/>
      <c r="K21" s="859" t="s">
        <v>1147</v>
      </c>
      <c r="L21" s="70"/>
      <c r="M21" s="70"/>
      <c r="N21" s="70"/>
      <c r="O21" s="70"/>
      <c r="P21" s="70"/>
      <c r="Q21" s="70" t="s">
        <v>555</v>
      </c>
      <c r="R21" s="70"/>
      <c r="S21" s="70"/>
    </row>
    <row r="22" spans="1:19" ht="12.75">
      <c r="A22" s="104" t="s">
        <v>642</v>
      </c>
      <c r="B22" s="105"/>
      <c r="C22" s="106"/>
      <c r="D22" s="70"/>
      <c r="E22" s="70"/>
      <c r="F22" s="70"/>
      <c r="G22" s="70"/>
      <c r="H22" s="70"/>
      <c r="I22" s="70"/>
      <c r="J22" s="70"/>
      <c r="K22" s="860" t="s">
        <v>1148</v>
      </c>
      <c r="L22" s="70"/>
      <c r="M22" s="70"/>
      <c r="N22" s="70"/>
      <c r="O22" s="70"/>
      <c r="P22" s="70"/>
      <c r="Q22" s="70" t="s">
        <v>554</v>
      </c>
      <c r="R22" s="70"/>
      <c r="S22" s="70"/>
    </row>
    <row r="23" spans="1:19" ht="12.75">
      <c r="A23" s="70" t="s">
        <v>643</v>
      </c>
      <c r="B23" s="61"/>
      <c r="C23" s="296" t="s">
        <v>816</v>
      </c>
      <c r="D23" s="297"/>
      <c r="E23" s="71" t="s">
        <v>1010</v>
      </c>
      <c r="F23" s="70"/>
      <c r="G23" s="70"/>
      <c r="H23" s="70"/>
      <c r="I23" s="70"/>
      <c r="J23" s="70"/>
      <c r="K23" s="860" t="s">
        <v>1149</v>
      </c>
      <c r="L23" s="70"/>
      <c r="M23" s="70"/>
      <c r="N23" s="70"/>
      <c r="O23" s="83" t="s">
        <v>594</v>
      </c>
      <c r="P23" s="70"/>
      <c r="Q23" s="83" t="s">
        <v>596</v>
      </c>
      <c r="R23" s="70"/>
      <c r="S23" s="70"/>
    </row>
    <row r="24" spans="1:19" ht="15">
      <c r="A24" s="70" t="s">
        <v>677</v>
      </c>
      <c r="B24" s="70"/>
      <c r="C24" s="70"/>
      <c r="D24" s="70"/>
      <c r="E24" s="93"/>
      <c r="F24" s="70"/>
      <c r="G24" s="70"/>
      <c r="H24" s="70"/>
      <c r="I24" s="70"/>
      <c r="J24" s="70"/>
      <c r="K24" s="861" t="s">
        <v>1150</v>
      </c>
      <c r="L24" s="70"/>
      <c r="M24" s="70"/>
      <c r="N24" s="70"/>
      <c r="O24" s="83" t="s">
        <v>595</v>
      </c>
      <c r="P24" s="70"/>
      <c r="Q24" s="83" t="s">
        <v>597</v>
      </c>
      <c r="R24" s="70"/>
      <c r="S24" s="70"/>
    </row>
    <row r="25" spans="1:19" ht="15">
      <c r="A25" s="70" t="s">
        <v>734</v>
      </c>
      <c r="B25" s="108">
        <f>IF(LEN(TEXT('Customer Information'!Q23,"#"))&gt;2,'Customer Information'!Q23,"")</f>
      </c>
      <c r="C25" s="71" t="s">
        <v>835</v>
      </c>
      <c r="D25" s="109"/>
      <c r="E25" s="70"/>
      <c r="F25" s="70"/>
      <c r="G25" s="70"/>
      <c r="H25" s="70"/>
      <c r="I25" s="70"/>
      <c r="J25" s="70"/>
      <c r="K25" s="861" t="s">
        <v>1151</v>
      </c>
      <c r="L25" s="70"/>
      <c r="M25" s="70"/>
      <c r="N25" s="70"/>
      <c r="O25" s="70"/>
      <c r="P25" s="70"/>
      <c r="Q25" s="83" t="s">
        <v>598</v>
      </c>
      <c r="R25" s="70"/>
      <c r="S25" s="70"/>
    </row>
    <row r="26" spans="1:19" ht="12.75">
      <c r="A26" s="70" t="s">
        <v>735</v>
      </c>
      <c r="B26" s="98">
        <f>IF('Customer Information'!M27=0,"",'Customer Information'!M27)</f>
      </c>
      <c r="C26" s="71" t="s">
        <v>817</v>
      </c>
      <c r="D26" s="70"/>
      <c r="E26" s="93"/>
      <c r="F26" s="70"/>
      <c r="G26" s="70"/>
      <c r="H26" s="70"/>
      <c r="I26" s="70"/>
      <c r="J26" s="70"/>
      <c r="K26" s="860" t="s">
        <v>1152</v>
      </c>
      <c r="L26" s="70"/>
      <c r="M26" s="70"/>
      <c r="N26" s="70"/>
      <c r="O26" s="70"/>
      <c r="P26" s="70"/>
      <c r="Q26" s="83" t="s">
        <v>599</v>
      </c>
      <c r="R26" s="70"/>
      <c r="S26" s="70"/>
    </row>
    <row r="27" spans="1:19" ht="12.75">
      <c r="A27" s="70" t="s">
        <v>736</v>
      </c>
      <c r="B27" s="98" t="str">
        <f>'Customer Information'!AT144</f>
        <v>Replace working compressor</v>
      </c>
      <c r="C27" s="71" t="s">
        <v>818</v>
      </c>
      <c r="D27" s="110"/>
      <c r="E27" s="93"/>
      <c r="F27" s="70"/>
      <c r="G27" s="70"/>
      <c r="H27" s="70"/>
      <c r="I27" s="70"/>
      <c r="J27" s="70"/>
      <c r="K27" s="860" t="s">
        <v>1153</v>
      </c>
      <c r="L27" s="70"/>
      <c r="M27" s="70"/>
      <c r="N27" s="70"/>
      <c r="O27" s="83"/>
      <c r="P27" s="70"/>
      <c r="Q27" s="83" t="s">
        <v>600</v>
      </c>
      <c r="R27" s="70"/>
      <c r="S27" s="70"/>
    </row>
    <row r="28" spans="1:19" ht="12.75">
      <c r="A28" s="70"/>
      <c r="B28" s="111"/>
      <c r="C28" s="112"/>
      <c r="D28" s="110"/>
      <c r="E28" s="70"/>
      <c r="F28" s="70"/>
      <c r="G28" s="70"/>
      <c r="H28" s="70"/>
      <c r="I28" s="70"/>
      <c r="J28" s="70"/>
      <c r="K28" s="860" t="s">
        <v>1154</v>
      </c>
      <c r="L28" s="70"/>
      <c r="M28" s="70"/>
      <c r="N28" s="70"/>
      <c r="O28" s="83" t="s">
        <v>601</v>
      </c>
      <c r="P28" s="746">
        <v>40870</v>
      </c>
      <c r="Q28" s="637" t="s">
        <v>957</v>
      </c>
      <c r="R28" s="70"/>
      <c r="S28" s="70"/>
    </row>
    <row r="29" spans="1:19" ht="12.75">
      <c r="A29" s="104" t="s">
        <v>741</v>
      </c>
      <c r="B29" s="113"/>
      <c r="C29" s="106"/>
      <c r="D29" s="110"/>
      <c r="E29" s="70"/>
      <c r="F29" s="70"/>
      <c r="G29" s="70"/>
      <c r="H29" s="70"/>
      <c r="I29" s="70"/>
      <c r="J29" s="70"/>
      <c r="K29" s="860" t="s">
        <v>1155</v>
      </c>
      <c r="L29" s="70"/>
      <c r="M29" s="70"/>
      <c r="N29" s="70"/>
      <c r="P29" s="745">
        <v>40505</v>
      </c>
      <c r="Q29" s="484" t="s">
        <v>1057</v>
      </c>
      <c r="R29" s="70"/>
      <c r="S29" s="70"/>
    </row>
    <row r="30" spans="1:19" ht="12.75">
      <c r="A30" s="83" t="s">
        <v>742</v>
      </c>
      <c r="B30" s="98">
        <f>IF('Customer Information'!D38=0,"",'Customer Information'!D38)</f>
      </c>
      <c r="C30" s="71" t="s">
        <v>819</v>
      </c>
      <c r="D30" s="110"/>
      <c r="E30" s="70"/>
      <c r="F30" s="70"/>
      <c r="G30" s="70"/>
      <c r="H30" s="70"/>
      <c r="I30" s="70"/>
      <c r="J30" s="70"/>
      <c r="K30" s="860" t="s">
        <v>1156</v>
      </c>
      <c r="L30" s="70"/>
      <c r="M30" s="70"/>
      <c r="N30" s="70"/>
      <c r="P30" s="745">
        <v>40511</v>
      </c>
      <c r="Q30" s="484" t="s">
        <v>1058</v>
      </c>
      <c r="R30" s="70"/>
      <c r="S30" s="70"/>
    </row>
    <row r="31" spans="1:19" ht="12.75">
      <c r="A31" s="70" t="s">
        <v>743</v>
      </c>
      <c r="B31" s="98">
        <f>IF('Customer Information'!P38=0,"",'Customer Information'!P38)</f>
      </c>
      <c r="C31" s="71" t="s">
        <v>820</v>
      </c>
      <c r="D31" s="110"/>
      <c r="E31" s="70"/>
      <c r="F31" s="70"/>
      <c r="G31" s="70"/>
      <c r="H31" s="70"/>
      <c r="I31" s="70"/>
      <c r="J31" s="70"/>
      <c r="K31" s="860" t="s">
        <v>1157</v>
      </c>
      <c r="L31" s="70"/>
      <c r="M31" s="70"/>
      <c r="N31" s="70"/>
      <c r="O31" s="70"/>
      <c r="Q31" s="70"/>
      <c r="R31" s="70"/>
      <c r="S31" s="70"/>
    </row>
    <row r="32" spans="1:21" ht="12.75">
      <c r="A32" s="70" t="s">
        <v>744</v>
      </c>
      <c r="B32" s="100">
        <f>IF('Customer Information'!Y38=0,"",'Customer Information'!Y38)</f>
      </c>
      <c r="C32" s="71" t="s">
        <v>821</v>
      </c>
      <c r="D32" s="109"/>
      <c r="E32" s="70"/>
      <c r="F32" s="70"/>
      <c r="G32" s="70"/>
      <c r="H32" s="70"/>
      <c r="I32" s="70"/>
      <c r="J32" s="70"/>
      <c r="K32" s="860" t="s">
        <v>1158</v>
      </c>
      <c r="L32" s="70"/>
      <c r="M32" s="70"/>
      <c r="N32" s="70"/>
      <c r="O32" s="349" t="s">
        <v>593</v>
      </c>
      <c r="P32" s="744">
        <v>40504</v>
      </c>
      <c r="Q32" s="388" t="s">
        <v>1054</v>
      </c>
      <c r="R32" s="35"/>
      <c r="S32" s="349"/>
      <c r="T32" s="349"/>
      <c r="U32" s="35"/>
    </row>
    <row r="33" spans="1:21" ht="12.75">
      <c r="A33" s="70"/>
      <c r="B33" s="111"/>
      <c r="C33" s="112"/>
      <c r="D33" s="110"/>
      <c r="E33" s="70"/>
      <c r="F33" s="70"/>
      <c r="G33" s="70"/>
      <c r="H33" s="70"/>
      <c r="I33" s="70"/>
      <c r="J33" s="70"/>
      <c r="K33" s="860" t="s">
        <v>1159</v>
      </c>
      <c r="L33" s="70"/>
      <c r="M33" s="70"/>
      <c r="N33" s="70"/>
      <c r="O33" s="349"/>
      <c r="P33" s="349"/>
      <c r="Q33" s="388" t="s">
        <v>1055</v>
      </c>
      <c r="R33" s="35"/>
      <c r="S33" s="349"/>
      <c r="T33" s="349"/>
      <c r="U33" s="35"/>
    </row>
    <row r="34" spans="1:21" ht="12.75">
      <c r="A34" s="114" t="s">
        <v>745</v>
      </c>
      <c r="B34" s="111"/>
      <c r="C34" s="112"/>
      <c r="D34" s="110"/>
      <c r="E34" s="70"/>
      <c r="F34" s="70"/>
      <c r="G34" s="70"/>
      <c r="H34" s="70"/>
      <c r="I34" s="70"/>
      <c r="J34" s="70"/>
      <c r="K34" s="860" t="s">
        <v>1160</v>
      </c>
      <c r="L34" s="70"/>
      <c r="M34" s="70"/>
      <c r="N34" s="70"/>
      <c r="O34" s="349"/>
      <c r="P34" s="484"/>
      <c r="Q34" s="637" t="s">
        <v>1056</v>
      </c>
      <c r="R34" s="35"/>
      <c r="S34" s="484"/>
      <c r="T34" s="484"/>
      <c r="U34" s="35"/>
    </row>
    <row r="35" spans="1:21" ht="12.75">
      <c r="A35" s="70" t="s">
        <v>964</v>
      </c>
      <c r="B35" s="115">
        <f>IncentiveRateCell</f>
        <v>0</v>
      </c>
      <c r="C35" s="71" t="s">
        <v>827</v>
      </c>
      <c r="D35" s="110"/>
      <c r="E35" s="93"/>
      <c r="F35" s="70"/>
      <c r="G35" s="70"/>
      <c r="H35" s="70"/>
      <c r="I35" s="70"/>
      <c r="J35" s="70"/>
      <c r="K35" s="860" t="s">
        <v>1161</v>
      </c>
      <c r="L35" s="70"/>
      <c r="M35" s="70"/>
      <c r="N35" s="70"/>
      <c r="O35" s="349"/>
      <c r="P35" s="745">
        <v>40511</v>
      </c>
      <c r="Q35" s="484" t="s">
        <v>1059</v>
      </c>
      <c r="R35" s="35"/>
      <c r="S35" s="484"/>
      <c r="T35" s="484"/>
      <c r="U35" s="35"/>
    </row>
    <row r="36" spans="1:21" ht="15">
      <c r="A36" s="70" t="s">
        <v>690</v>
      </c>
      <c r="B36" s="116">
        <f>IncentiveCapCell</f>
        <v>0</v>
      </c>
      <c r="C36" s="71" t="s">
        <v>828</v>
      </c>
      <c r="D36" s="110"/>
      <c r="E36" s="93"/>
      <c r="F36" s="70"/>
      <c r="G36" s="70"/>
      <c r="H36" s="70"/>
      <c r="I36" s="70"/>
      <c r="J36" s="70"/>
      <c r="K36" s="861" t="s">
        <v>1162</v>
      </c>
      <c r="L36" s="70"/>
      <c r="M36" s="70"/>
      <c r="N36" s="70"/>
      <c r="O36" s="349"/>
      <c r="P36" s="745">
        <v>40644</v>
      </c>
      <c r="Q36" s="637" t="s">
        <v>1060</v>
      </c>
      <c r="R36" s="35"/>
      <c r="S36" s="484"/>
      <c r="T36" s="484"/>
      <c r="U36" s="35"/>
    </row>
    <row r="37" spans="1:21" ht="15">
      <c r="A37" s="70" t="s">
        <v>929</v>
      </c>
      <c r="B37" s="117">
        <f>'Customer Information'!V33</f>
        <v>0</v>
      </c>
      <c r="C37" s="71" t="s">
        <v>930</v>
      </c>
      <c r="D37" s="110"/>
      <c r="E37" s="93"/>
      <c r="F37" s="70"/>
      <c r="G37" s="70"/>
      <c r="H37" s="70"/>
      <c r="I37" s="70"/>
      <c r="J37" s="70"/>
      <c r="K37" s="861" t="s">
        <v>1163</v>
      </c>
      <c r="L37" s="70"/>
      <c r="M37" s="70"/>
      <c r="N37" s="70"/>
      <c r="O37" s="349"/>
      <c r="P37" s="745">
        <v>40897</v>
      </c>
      <c r="Q37" s="484" t="s">
        <v>602</v>
      </c>
      <c r="R37" s="35"/>
      <c r="S37" s="484"/>
      <c r="T37" s="484"/>
      <c r="U37" s="35"/>
    </row>
    <row r="38" spans="1:21" ht="12.75">
      <c r="A38" s="70"/>
      <c r="B38" s="111"/>
      <c r="C38" s="70"/>
      <c r="D38" s="70"/>
      <c r="E38" s="70"/>
      <c r="F38" s="70"/>
      <c r="G38" s="70"/>
      <c r="H38" s="70"/>
      <c r="I38" s="70"/>
      <c r="J38" s="303"/>
      <c r="K38" s="860" t="s">
        <v>1164</v>
      </c>
      <c r="L38" s="70"/>
      <c r="M38" s="70"/>
      <c r="N38" s="70"/>
      <c r="O38" s="349"/>
      <c r="P38" s="745"/>
      <c r="Q38" s="484" t="s">
        <v>603</v>
      </c>
      <c r="R38" s="35"/>
      <c r="S38" s="484"/>
      <c r="T38" s="484"/>
      <c r="U38" s="35"/>
    </row>
    <row r="39" spans="1:21" ht="12.75">
      <c r="A39" s="114" t="s">
        <v>992</v>
      </c>
      <c r="B39" s="1235" t="s">
        <v>980</v>
      </c>
      <c r="C39" s="1235"/>
      <c r="D39" s="1235" t="s">
        <v>981</v>
      </c>
      <c r="E39" s="1235"/>
      <c r="F39" s="1235" t="s">
        <v>982</v>
      </c>
      <c r="G39" s="1235"/>
      <c r="H39" s="1235" t="s">
        <v>991</v>
      </c>
      <c r="I39" s="1235"/>
      <c r="J39" s="70"/>
      <c r="K39" s="860" t="s">
        <v>1165</v>
      </c>
      <c r="L39" s="70"/>
      <c r="M39" s="70"/>
      <c r="N39" s="70"/>
      <c r="O39" s="349"/>
      <c r="P39" s="745"/>
      <c r="Q39" s="484" t="s">
        <v>604</v>
      </c>
      <c r="R39" s="35"/>
      <c r="S39" s="484"/>
      <c r="T39" s="484"/>
      <c r="U39" s="35"/>
    </row>
    <row r="40" spans="1:21" ht="12.75">
      <c r="A40" s="70" t="s">
        <v>994</v>
      </c>
      <c r="B40" s="119" t="e">
        <f>SUM('Savings Calculations'!E68:H68)</f>
        <v>#N/A</v>
      </c>
      <c r="C40" s="71" t="s">
        <v>1013</v>
      </c>
      <c r="D40" s="120"/>
      <c r="E40" s="71" t="s">
        <v>932</v>
      </c>
      <c r="F40" s="107"/>
      <c r="G40" s="71" t="s">
        <v>983</v>
      </c>
      <c r="H40" s="121"/>
      <c r="I40" s="122"/>
      <c r="J40" s="70"/>
      <c r="K40" s="860" t="s">
        <v>1166</v>
      </c>
      <c r="L40" s="123"/>
      <c r="M40" s="124"/>
      <c r="N40" s="125"/>
      <c r="O40" s="349"/>
      <c r="P40" s="745"/>
      <c r="Q40" s="484" t="s">
        <v>605</v>
      </c>
      <c r="R40" s="35"/>
      <c r="S40" s="484"/>
      <c r="T40" s="484"/>
      <c r="U40" s="35"/>
    </row>
    <row r="41" spans="1:21" ht="12.75">
      <c r="A41" s="70" t="s">
        <v>995</v>
      </c>
      <c r="B41" s="126" t="e">
        <f>BaselineElectricityKwh*3413/1000000</f>
        <v>#N/A</v>
      </c>
      <c r="C41" s="71" t="s">
        <v>1014</v>
      </c>
      <c r="D41" s="127">
        <f>BaselineDieselGal*138800/1000000</f>
        <v>0</v>
      </c>
      <c r="E41" s="71" t="s">
        <v>974</v>
      </c>
      <c r="F41" s="128">
        <f>BaselineGasTherms*100000/1000000</f>
        <v>0</v>
      </c>
      <c r="G41" s="71" t="s">
        <v>984</v>
      </c>
      <c r="H41" s="129" t="e">
        <f>BetcBaselineElectricityMMBTU+BaselineDieselMMBTU+BetcBaselineGasMMBTU</f>
        <v>#N/A</v>
      </c>
      <c r="I41" s="71" t="s">
        <v>971</v>
      </c>
      <c r="J41" s="70"/>
      <c r="K41" s="860" t="s">
        <v>1167</v>
      </c>
      <c r="L41" s="123"/>
      <c r="M41" s="124"/>
      <c r="N41" s="125"/>
      <c r="O41" s="484"/>
      <c r="P41" s="745">
        <v>40914</v>
      </c>
      <c r="Q41" s="484" t="s">
        <v>606</v>
      </c>
      <c r="R41" s="35"/>
      <c r="S41" s="484"/>
      <c r="T41" s="484"/>
      <c r="U41" s="35"/>
    </row>
    <row r="42" spans="1:21" ht="12.75">
      <c r="A42" s="70" t="s">
        <v>996</v>
      </c>
      <c r="B42" s="119" t="e">
        <f>SUM('Savings Calculations'!E69:H69)</f>
        <v>#N/A</v>
      </c>
      <c r="C42" s="71" t="s">
        <v>1016</v>
      </c>
      <c r="D42" s="120"/>
      <c r="E42" s="71" t="s">
        <v>931</v>
      </c>
      <c r="F42" s="107"/>
      <c r="G42" s="71" t="s">
        <v>985</v>
      </c>
      <c r="H42" s="121"/>
      <c r="I42" s="130"/>
      <c r="J42" s="70"/>
      <c r="K42" s="860" t="s">
        <v>1168</v>
      </c>
      <c r="L42" s="123"/>
      <c r="M42" s="124"/>
      <c r="N42" s="125"/>
      <c r="O42" s="484" t="s">
        <v>290</v>
      </c>
      <c r="P42" s="745">
        <v>40973</v>
      </c>
      <c r="Q42" s="637" t="s">
        <v>291</v>
      </c>
      <c r="R42" s="35"/>
      <c r="S42" s="484"/>
      <c r="T42" s="484"/>
      <c r="U42" s="35"/>
    </row>
    <row r="43" spans="1:21" ht="12.75">
      <c r="A43" s="70" t="s">
        <v>997</v>
      </c>
      <c r="B43" s="131" t="e">
        <f>UpgradeElectricityKwh*3413/1000000</f>
        <v>#N/A</v>
      </c>
      <c r="C43" s="71" t="s">
        <v>1015</v>
      </c>
      <c r="D43" s="127">
        <f>UpgradeDieselGal*138800/1000000</f>
        <v>0</v>
      </c>
      <c r="E43" s="71" t="s">
        <v>973</v>
      </c>
      <c r="F43" s="128">
        <f>UpgradeGasTherms*100000/1000000</f>
        <v>0</v>
      </c>
      <c r="G43" s="71" t="s">
        <v>986</v>
      </c>
      <c r="H43" s="129" t="e">
        <f>BetcUpgradeElectricityMMBTU+BetcUpgradeDieselMMBTU+BetcUpgradeGasMMBTU</f>
        <v>#N/A</v>
      </c>
      <c r="I43" s="71" t="s">
        <v>972</v>
      </c>
      <c r="J43" s="70"/>
      <c r="K43" s="860" t="s">
        <v>1169</v>
      </c>
      <c r="L43" s="70"/>
      <c r="M43" s="70"/>
      <c r="N43" s="70"/>
      <c r="O43" s="93"/>
      <c r="P43" s="93"/>
      <c r="Q43" s="148" t="s">
        <v>292</v>
      </c>
      <c r="R43" s="93"/>
      <c r="S43" s="93"/>
      <c r="T43" s="35"/>
      <c r="U43" s="35"/>
    </row>
    <row r="44" spans="1:19" ht="12.75">
      <c r="A44" s="70" t="s">
        <v>998</v>
      </c>
      <c r="B44" s="131" t="e">
        <f>BaselineElectricityKwh-UpgradeElectricityKwh</f>
        <v>#N/A</v>
      </c>
      <c r="C44" s="71" t="s">
        <v>551</v>
      </c>
      <c r="D44" s="127">
        <f>BaselineDieselGal-UpgradeDieselGal</f>
        <v>0</v>
      </c>
      <c r="E44" s="71" t="s">
        <v>969</v>
      </c>
      <c r="F44" s="127">
        <f>BaselineGasTherms-UpgradeGasTherms</f>
        <v>0</v>
      </c>
      <c r="G44" s="71" t="s">
        <v>987</v>
      </c>
      <c r="H44" s="121"/>
      <c r="I44" s="130"/>
      <c r="J44" s="70"/>
      <c r="K44" s="860" t="s">
        <v>1170</v>
      </c>
      <c r="L44" s="70"/>
      <c r="M44" s="70"/>
      <c r="N44" s="70"/>
      <c r="O44" s="70"/>
      <c r="P44" s="70"/>
      <c r="Q44" s="83" t="s">
        <v>293</v>
      </c>
      <c r="R44" s="70"/>
      <c r="S44" s="70"/>
    </row>
    <row r="45" spans="1:19" ht="15">
      <c r="A45" s="70" t="s">
        <v>999</v>
      </c>
      <c r="B45" s="131" t="e">
        <f>BetcBaselineElectricityMMBTU-BetcUpgradeElectricityMMBTU</f>
        <v>#N/A</v>
      </c>
      <c r="C45" s="71" t="s">
        <v>1017</v>
      </c>
      <c r="D45" s="127">
        <f>BetcBaselineDieselMMBTU-BetcUpgradeDieselMMBTU</f>
        <v>0</v>
      </c>
      <c r="E45" s="71" t="s">
        <v>968</v>
      </c>
      <c r="F45" s="128">
        <f>BetcGasSavedTherms*100000/1000000</f>
        <v>0</v>
      </c>
      <c r="G45" s="71" t="s">
        <v>988</v>
      </c>
      <c r="H45" s="127" t="e">
        <f>BetcElectricitySavedMMBTU+BetcDieselSavedMMBTU+BetcGasSavedMMBTU</f>
        <v>#N/A</v>
      </c>
      <c r="I45" s="71" t="s">
        <v>970</v>
      </c>
      <c r="J45" s="70"/>
      <c r="K45" s="859" t="s">
        <v>1171</v>
      </c>
      <c r="L45" s="70"/>
      <c r="M45" s="70"/>
      <c r="N45" s="816" t="s">
        <v>331</v>
      </c>
      <c r="O45" s="83" t="s">
        <v>305</v>
      </c>
      <c r="P45" s="123">
        <v>40990</v>
      </c>
      <c r="Q45" s="83" t="s">
        <v>306</v>
      </c>
      <c r="R45" s="70"/>
      <c r="S45" s="70"/>
    </row>
    <row r="46" spans="1:19" ht="15">
      <c r="A46" s="70" t="s">
        <v>446</v>
      </c>
      <c r="B46" s="131" t="e">
        <f>(BaselineElectricityKwh-UpgradeElectricityKwh)*B50</f>
        <v>#N/A</v>
      </c>
      <c r="C46" s="71" t="s">
        <v>529</v>
      </c>
      <c r="D46" s="220"/>
      <c r="E46" s="106"/>
      <c r="F46" s="221"/>
      <c r="G46" s="106"/>
      <c r="H46" s="220"/>
      <c r="I46" s="106"/>
      <c r="J46" s="93"/>
      <c r="K46" s="859" t="s">
        <v>1172</v>
      </c>
      <c r="L46" s="70"/>
      <c r="M46" s="70"/>
      <c r="N46" s="70"/>
      <c r="O46" s="70"/>
      <c r="P46" s="70"/>
      <c r="Q46" s="83" t="s">
        <v>307</v>
      </c>
      <c r="R46" s="70"/>
      <c r="S46" s="70"/>
    </row>
    <row r="47" spans="1:19" ht="15">
      <c r="A47" s="70" t="s">
        <v>1000</v>
      </c>
      <c r="B47" s="598">
        <f>ElectricRate</f>
        <v>0.045</v>
      </c>
      <c r="C47" s="71" t="s">
        <v>1019</v>
      </c>
      <c r="D47" s="336">
        <v>2.5</v>
      </c>
      <c r="E47" s="71" t="s">
        <v>953</v>
      </c>
      <c r="F47" s="336">
        <v>1.15</v>
      </c>
      <c r="G47" s="71" t="s">
        <v>989</v>
      </c>
      <c r="H47" s="121"/>
      <c r="I47" s="122"/>
      <c r="J47" s="70"/>
      <c r="K47" s="859" t="s">
        <v>1173</v>
      </c>
      <c r="L47" s="70"/>
      <c r="M47" s="70"/>
      <c r="N47" s="70"/>
      <c r="O47" s="70"/>
      <c r="P47" s="70"/>
      <c r="Q47" s="83" t="s">
        <v>308</v>
      </c>
      <c r="R47" s="70"/>
      <c r="S47" s="70"/>
    </row>
    <row r="48" spans="1:19" ht="12.75">
      <c r="A48" s="70" t="s">
        <v>1001</v>
      </c>
      <c r="B48" s="334" t="e">
        <f>(BaselineElectricityKwh-UpgradeElectricityKwh)*ElectricityRate</f>
        <v>#N/A</v>
      </c>
      <c r="C48" s="71" t="s">
        <v>1018</v>
      </c>
      <c r="D48" s="338">
        <f>BetcDieselSavedGal*DieselPrice</f>
        <v>0</v>
      </c>
      <c r="E48" s="71" t="s">
        <v>976</v>
      </c>
      <c r="F48" s="337">
        <f>BetcGasSavedTherms*GasPrice</f>
        <v>0</v>
      </c>
      <c r="G48" s="71" t="s">
        <v>990</v>
      </c>
      <c r="H48" s="335" t="e">
        <f>ElectricityCostSavings+BetcValueDieselSavings+BetcValueGasSavings</f>
        <v>#N/A</v>
      </c>
      <c r="I48" s="71" t="s">
        <v>977</v>
      </c>
      <c r="J48" s="70"/>
      <c r="K48" s="860" t="s">
        <v>1174</v>
      </c>
      <c r="L48" s="70"/>
      <c r="M48" s="70"/>
      <c r="N48" s="70"/>
      <c r="O48" s="70"/>
      <c r="P48" s="70"/>
      <c r="Q48" s="83" t="s">
        <v>309</v>
      </c>
      <c r="R48" s="70"/>
      <c r="S48" s="70"/>
    </row>
    <row r="49" spans="1:19" ht="12.75">
      <c r="A49" s="70" t="s">
        <v>427</v>
      </c>
      <c r="B49" s="334" t="e">
        <f>ElectricityCostSavings+BetcValueGasSavings</f>
        <v>#N/A</v>
      </c>
      <c r="C49" s="71" t="s">
        <v>528</v>
      </c>
      <c r="D49" s="133"/>
      <c r="E49" s="71"/>
      <c r="F49" s="134"/>
      <c r="G49" s="71"/>
      <c r="H49" s="132"/>
      <c r="I49" s="71"/>
      <c r="J49" s="70"/>
      <c r="K49" s="860" t="s">
        <v>1175</v>
      </c>
      <c r="L49" s="70"/>
      <c r="M49" s="70"/>
      <c r="N49" s="70"/>
      <c r="O49" s="70"/>
      <c r="P49" s="70"/>
      <c r="Q49" s="83" t="s">
        <v>310</v>
      </c>
      <c r="R49" s="70"/>
      <c r="S49" s="70"/>
    </row>
    <row r="50" spans="1:19" ht="12.75">
      <c r="A50" s="70" t="s">
        <v>447</v>
      </c>
      <c r="B50" s="317">
        <v>1.09056</v>
      </c>
      <c r="C50" s="71" t="s">
        <v>527</v>
      </c>
      <c r="D50" s="135"/>
      <c r="E50" s="106"/>
      <c r="F50" s="70"/>
      <c r="G50" s="70"/>
      <c r="H50" s="136"/>
      <c r="I50" s="106"/>
      <c r="J50" s="70"/>
      <c r="K50" s="70"/>
      <c r="L50" s="70"/>
      <c r="M50" s="70"/>
      <c r="N50" s="70"/>
      <c r="O50" s="70"/>
      <c r="P50" s="70"/>
      <c r="Q50" s="83" t="s">
        <v>311</v>
      </c>
      <c r="R50" s="70"/>
      <c r="S50" s="70"/>
    </row>
    <row r="51" spans="1:19" ht="12.75">
      <c r="A51" s="341" t="s">
        <v>1045</v>
      </c>
      <c r="B51" s="342" t="e">
        <f>IF(BETCElectricitySavedkWh=0,CONCATENATE(TEXT(BetcGasSavedTherms,"#,###")," "," therms"),CONCATENATE(TEXT(BETCElectricitySavedkWh,"#,###"),""," kWh"))</f>
        <v>#N/A</v>
      </c>
      <c r="C51" s="343" t="s">
        <v>1046</v>
      </c>
      <c r="D51" s="135"/>
      <c r="E51" s="106"/>
      <c r="F51" s="70"/>
      <c r="G51" s="70"/>
      <c r="H51" s="136"/>
      <c r="I51" s="106"/>
      <c r="J51" s="70"/>
      <c r="K51" s="70"/>
      <c r="L51" s="70"/>
      <c r="M51" s="70"/>
      <c r="N51" s="70"/>
      <c r="O51" s="83" t="s">
        <v>330</v>
      </c>
      <c r="P51" s="123">
        <v>41023</v>
      </c>
      <c r="Q51" s="83" t="s">
        <v>313</v>
      </c>
      <c r="R51" s="70"/>
      <c r="S51" s="70"/>
    </row>
    <row r="52" spans="1:19" ht="12.75">
      <c r="A52" s="70"/>
      <c r="B52" s="301"/>
      <c r="C52" s="106"/>
      <c r="D52" s="135"/>
      <c r="E52" s="106"/>
      <c r="F52" s="70"/>
      <c r="G52" s="70"/>
      <c r="H52" s="136"/>
      <c r="I52" s="106"/>
      <c r="J52" s="70"/>
      <c r="K52" s="70"/>
      <c r="L52" s="70"/>
      <c r="M52" s="70"/>
      <c r="N52" s="70"/>
      <c r="O52" s="70"/>
      <c r="P52" s="123">
        <v>41092</v>
      </c>
      <c r="Q52" s="83" t="s">
        <v>314</v>
      </c>
      <c r="R52" s="70"/>
      <c r="S52" s="70"/>
    </row>
    <row r="53" spans="1:19" ht="12.75">
      <c r="A53" s="114" t="s">
        <v>993</v>
      </c>
      <c r="B53" s="137"/>
      <c r="C53" s="106"/>
      <c r="D53" s="138"/>
      <c r="E53" s="106"/>
      <c r="F53" s="139"/>
      <c r="G53" s="106"/>
      <c r="H53" s="93"/>
      <c r="I53" s="93"/>
      <c r="J53" s="70"/>
      <c r="K53" s="70"/>
      <c r="L53" s="70"/>
      <c r="M53" s="70"/>
      <c r="N53" s="70"/>
      <c r="O53" s="70"/>
      <c r="P53" s="70"/>
      <c r="Q53" s="774" t="s">
        <v>315</v>
      </c>
      <c r="R53" s="70"/>
      <c r="S53" s="70"/>
    </row>
    <row r="54" spans="1:19" ht="12.75">
      <c r="A54" s="70" t="s">
        <v>1002</v>
      </c>
      <c r="B54" s="140">
        <f>'Savings Calculations'!J26</f>
        <v>0</v>
      </c>
      <c r="C54" s="71" t="s">
        <v>1011</v>
      </c>
      <c r="D54" s="70"/>
      <c r="E54" s="70"/>
      <c r="F54" s="70"/>
      <c r="G54" s="106"/>
      <c r="H54" s="70"/>
      <c r="I54" s="70"/>
      <c r="J54" s="70"/>
      <c r="K54" s="70"/>
      <c r="L54" s="70"/>
      <c r="M54" s="70"/>
      <c r="N54" s="70"/>
      <c r="O54" s="70"/>
      <c r="P54" s="70"/>
      <c r="Q54" s="775" t="s">
        <v>316</v>
      </c>
      <c r="R54" s="70"/>
      <c r="S54" s="70"/>
    </row>
    <row r="55" spans="1:19" ht="12.75">
      <c r="A55" s="70" t="s">
        <v>839</v>
      </c>
      <c r="B55" s="140">
        <f>'Savings Calculations'!J27</f>
        <v>0</v>
      </c>
      <c r="C55" s="71" t="s">
        <v>823</v>
      </c>
      <c r="D55" s="70"/>
      <c r="E55" s="70"/>
      <c r="F55" s="70"/>
      <c r="G55" s="106"/>
      <c r="H55" s="70"/>
      <c r="I55" s="70"/>
      <c r="J55" s="70"/>
      <c r="K55" s="70"/>
      <c r="L55" s="70"/>
      <c r="M55" s="70"/>
      <c r="N55" s="70"/>
      <c r="O55" s="70"/>
      <c r="P55" s="70"/>
      <c r="Q55" s="775" t="s">
        <v>317</v>
      </c>
      <c r="R55" s="70"/>
      <c r="S55" s="70"/>
    </row>
    <row r="56" spans="1:19" ht="12.75">
      <c r="A56" s="70" t="s">
        <v>1020</v>
      </c>
      <c r="B56" s="141">
        <f>BaselineEquipmentCost+BaselineLaborCost</f>
        <v>0</v>
      </c>
      <c r="C56" s="71" t="s">
        <v>1021</v>
      </c>
      <c r="D56" s="70"/>
      <c r="E56" s="70"/>
      <c r="F56" s="83" t="s">
        <v>272</v>
      </c>
      <c r="G56" s="106"/>
      <c r="H56" s="70"/>
      <c r="I56" s="70"/>
      <c r="J56" s="70"/>
      <c r="K56" s="70"/>
      <c r="L56" s="70"/>
      <c r="M56" s="70"/>
      <c r="N56" s="70"/>
      <c r="O56" s="70"/>
      <c r="P56" s="70"/>
      <c r="Q56" s="775" t="s">
        <v>318</v>
      </c>
      <c r="R56" s="70"/>
      <c r="S56" s="70"/>
    </row>
    <row r="57" spans="1:19" ht="12.75">
      <c r="A57" s="70" t="s">
        <v>1012</v>
      </c>
      <c r="B57" s="140">
        <f>'Savings Calculations'!P26</f>
        <v>0</v>
      </c>
      <c r="C57" s="71" t="s">
        <v>1003</v>
      </c>
      <c r="D57" s="70"/>
      <c r="E57" s="70"/>
      <c r="F57" s="700" t="b">
        <f>ShowDryer</f>
        <v>0</v>
      </c>
      <c r="G57" s="700" t="s">
        <v>273</v>
      </c>
      <c r="H57" s="188" t="s">
        <v>275</v>
      </c>
      <c r="I57" s="70"/>
      <c r="J57" s="70"/>
      <c r="K57" s="70"/>
      <c r="L57" s="70"/>
      <c r="M57" s="70"/>
      <c r="N57" s="70"/>
      <c r="O57" s="70"/>
      <c r="P57" s="70"/>
      <c r="Q57" s="83" t="s">
        <v>323</v>
      </c>
      <c r="R57" s="70"/>
      <c r="S57" s="70"/>
    </row>
    <row r="58" spans="1:19" ht="12.75">
      <c r="A58" s="70" t="s">
        <v>1004</v>
      </c>
      <c r="B58" s="140">
        <f>'Savings Calculations'!P27</f>
        <v>0</v>
      </c>
      <c r="C58" s="71" t="s">
        <v>824</v>
      </c>
      <c r="D58" s="70"/>
      <c r="E58" s="70"/>
      <c r="F58" s="701" t="b">
        <f>InstallFanVFD</f>
        <v>0</v>
      </c>
      <c r="G58" s="701" t="s">
        <v>270</v>
      </c>
      <c r="H58" s="188" t="s">
        <v>276</v>
      </c>
      <c r="I58" s="70"/>
      <c r="J58" s="70"/>
      <c r="K58" s="70"/>
      <c r="L58" s="70"/>
      <c r="M58" s="70"/>
      <c r="N58" s="70"/>
      <c r="O58" s="70"/>
      <c r="P58" s="70"/>
      <c r="Q58" s="811" t="s">
        <v>324</v>
      </c>
      <c r="R58" s="70"/>
      <c r="S58" s="70"/>
    </row>
    <row r="59" spans="1:19" ht="12.75">
      <c r="A59" s="70" t="s">
        <v>374</v>
      </c>
      <c r="B59" s="140">
        <f>(UpgradeEquipmentCost+UpgradeLaborCost)-(BaselineEquipmentCost+BaselineLaborCost)</f>
        <v>0</v>
      </c>
      <c r="C59" s="71" t="s">
        <v>375</v>
      </c>
      <c r="D59" s="93"/>
      <c r="E59" s="70"/>
      <c r="F59" s="704" t="b">
        <f>FlowReductionEEM</f>
        <v>0</v>
      </c>
      <c r="G59" s="704" t="s">
        <v>271</v>
      </c>
      <c r="H59" s="188" t="s">
        <v>277</v>
      </c>
      <c r="I59" s="70"/>
      <c r="J59" s="70"/>
      <c r="K59" s="70"/>
      <c r="L59" s="70"/>
      <c r="M59" s="70"/>
      <c r="N59" s="70"/>
      <c r="O59" s="70"/>
      <c r="P59" s="70"/>
      <c r="Q59" s="811" t="s">
        <v>325</v>
      </c>
      <c r="R59" s="70"/>
      <c r="S59" s="70"/>
    </row>
    <row r="60" spans="1:19" ht="12.75">
      <c r="A60" s="70" t="s">
        <v>1022</v>
      </c>
      <c r="B60" s="142"/>
      <c r="C60" s="71" t="s">
        <v>1023</v>
      </c>
      <c r="D60" s="70"/>
      <c r="E60" s="70"/>
      <c r="F60" s="603"/>
      <c r="G60" s="702"/>
      <c r="H60" s="70"/>
      <c r="I60" s="70"/>
      <c r="J60" s="70"/>
      <c r="K60" s="70"/>
      <c r="L60" s="70"/>
      <c r="M60" s="70"/>
      <c r="N60" s="70"/>
      <c r="O60" s="83" t="s">
        <v>1103</v>
      </c>
      <c r="P60" s="123">
        <v>41702</v>
      </c>
      <c r="Q60" s="83" t="s">
        <v>1099</v>
      </c>
      <c r="R60" s="70"/>
      <c r="S60" s="70"/>
    </row>
    <row r="61" spans="1:19" ht="12.75">
      <c r="A61" s="70" t="s">
        <v>1024</v>
      </c>
      <c r="B61" s="142"/>
      <c r="C61" s="705" t="s">
        <v>1025</v>
      </c>
      <c r="D61" s="70"/>
      <c r="E61" s="70"/>
      <c r="F61" s="706">
        <f>IF(AND(F57:F59),", "&amp;G57&amp;", "&amp;G58&amp;", and "&amp;G59,F62)</f>
      </c>
      <c r="G61" s="1236" t="s">
        <v>274</v>
      </c>
      <c r="H61" s="70">
        <f>F61</f>
      </c>
      <c r="I61" s="70"/>
      <c r="J61" s="70"/>
      <c r="K61" s="70"/>
      <c r="L61" s="70"/>
      <c r="M61" s="70"/>
      <c r="N61" s="70"/>
      <c r="O61" s="70"/>
      <c r="P61" s="70"/>
      <c r="Q61" s="850" t="s">
        <v>1100</v>
      </c>
      <c r="R61" s="70"/>
      <c r="S61" s="70"/>
    </row>
    <row r="62" spans="1:19" ht="12.75">
      <c r="A62" s="70" t="s">
        <v>1006</v>
      </c>
      <c r="B62" s="340">
        <f>UpgradeEquipmentCost+UpgradeLaborCost+BetcEngineeringCost+BetcOtherCost</f>
        <v>0</v>
      </c>
      <c r="C62" s="71" t="s">
        <v>840</v>
      </c>
      <c r="D62" s="70"/>
      <c r="E62" s="70"/>
      <c r="F62" s="703">
        <f>IF(AND(F57:F58),", "&amp;G57&amp;", and "&amp;G58,F63)</f>
      </c>
      <c r="G62" s="1237"/>
      <c r="H62" s="70">
        <f aca="true" t="shared" si="0" ref="H62:H67">F62</f>
      </c>
      <c r="I62" s="70"/>
      <c r="J62" s="70"/>
      <c r="K62" s="70"/>
      <c r="L62" s="70"/>
      <c r="M62" s="70"/>
      <c r="N62" s="70"/>
      <c r="O62" s="70"/>
      <c r="P62" s="70"/>
      <c r="Q62" s="83" t="s">
        <v>1101</v>
      </c>
      <c r="R62" s="70"/>
      <c r="S62" s="70"/>
    </row>
    <row r="63" spans="1:19" ht="12.75">
      <c r="A63" s="70" t="s">
        <v>1005</v>
      </c>
      <c r="B63" s="340">
        <f>BetcTotalEstCost-FederalFunding-BetcTotalBaselineCost</f>
        <v>0</v>
      </c>
      <c r="C63" s="71" t="s">
        <v>841</v>
      </c>
      <c r="D63" s="70"/>
      <c r="F63" s="703">
        <f>IF(AND(F58:F59),", "&amp;G58&amp;", and "&amp;G59,F64)</f>
      </c>
      <c r="G63" s="1237"/>
      <c r="H63" s="70">
        <f t="shared" si="0"/>
      </c>
      <c r="I63" s="70"/>
      <c r="J63" s="70"/>
      <c r="K63" s="70"/>
      <c r="L63" s="70"/>
      <c r="M63" s="70"/>
      <c r="N63" s="70"/>
      <c r="O63" s="70"/>
      <c r="P63" s="70"/>
      <c r="Q63" s="83" t="s">
        <v>1102</v>
      </c>
      <c r="R63" s="70"/>
      <c r="S63" s="70"/>
    </row>
    <row r="64" spans="1:19" ht="12.75">
      <c r="A64" s="70" t="s">
        <v>1007</v>
      </c>
      <c r="B64" s="143" t="e">
        <f>(BetcTotalEnergySavedMMBTU/BetcTotalEnergyUsedMMBTU)*100</f>
        <v>#N/A</v>
      </c>
      <c r="C64" s="71" t="s">
        <v>975</v>
      </c>
      <c r="D64" s="70"/>
      <c r="F64" s="703">
        <f>IF(AND(F57,F59),", "&amp;G57&amp;", and "&amp;G59,F65)</f>
      </c>
      <c r="G64" s="1237"/>
      <c r="H64" s="70">
        <f t="shared" si="0"/>
      </c>
      <c r="I64" s="70"/>
      <c r="J64" s="70"/>
      <c r="K64" s="70"/>
      <c r="L64" s="70"/>
      <c r="M64" s="70"/>
      <c r="N64" s="70"/>
      <c r="O64" s="70"/>
      <c r="P64" s="70"/>
      <c r="Q64" s="83" t="s">
        <v>1106</v>
      </c>
      <c r="R64" s="70"/>
      <c r="S64" s="70"/>
    </row>
    <row r="65" spans="1:19" ht="12.75">
      <c r="A65" s="70" t="s">
        <v>1008</v>
      </c>
      <c r="B65" s="143" t="e">
        <f>BetcTotalProjectCost/BetcValueTotalSavings</f>
        <v>#N/A</v>
      </c>
      <c r="C65" s="71" t="s">
        <v>978</v>
      </c>
      <c r="D65" s="70"/>
      <c r="F65" s="701">
        <f>IF(F57," and "&amp;G57,F66)</f>
      </c>
      <c r="G65" s="1237"/>
      <c r="H65" s="70">
        <f t="shared" si="0"/>
      </c>
      <c r="I65" s="70"/>
      <c r="J65" s="70"/>
      <c r="K65" s="70"/>
      <c r="L65" s="70"/>
      <c r="M65" s="70"/>
      <c r="N65" s="70"/>
      <c r="O65" s="70"/>
      <c r="P65" s="70"/>
      <c r="Q65" s="83" t="s">
        <v>1107</v>
      </c>
      <c r="R65" s="70"/>
      <c r="S65" s="70"/>
    </row>
    <row r="66" spans="1:19" ht="12.75">
      <c r="A66" s="70" t="s">
        <v>1009</v>
      </c>
      <c r="B66" s="131">
        <f>BetcTotalProjectCost*0.006</f>
        <v>0</v>
      </c>
      <c r="C66" s="71" t="s">
        <v>979</v>
      </c>
      <c r="D66" s="70"/>
      <c r="F66" s="701">
        <f>IF(F58," and "&amp;G58,F67)</f>
      </c>
      <c r="G66" s="1237"/>
      <c r="H66" s="70">
        <f t="shared" si="0"/>
      </c>
      <c r="I66" s="70"/>
      <c r="J66" s="70"/>
      <c r="K66" s="70"/>
      <c r="L66" s="70"/>
      <c r="M66" s="70"/>
      <c r="N66" s="70"/>
      <c r="O66" s="70"/>
      <c r="P66" s="70"/>
      <c r="Q66" s="83" t="s">
        <v>1110</v>
      </c>
      <c r="R66" s="70"/>
      <c r="S66" s="70"/>
    </row>
    <row r="67" spans="1:19" ht="12.75">
      <c r="A67" s="70"/>
      <c r="B67" s="599"/>
      <c r="C67" s="71"/>
      <c r="D67" s="70"/>
      <c r="F67" s="704">
        <f>IF(F59," and "&amp;G59,"")</f>
      </c>
      <c r="G67" s="1238"/>
      <c r="H67" s="70">
        <f t="shared" si="0"/>
      </c>
      <c r="I67" s="70"/>
      <c r="J67" s="70"/>
      <c r="K67" s="70"/>
      <c r="L67" s="70"/>
      <c r="M67" s="70"/>
      <c r="N67" s="70"/>
      <c r="O67" s="70"/>
      <c r="P67" s="70"/>
      <c r="Q67" s="83" t="s">
        <v>1111</v>
      </c>
      <c r="R67" s="70"/>
      <c r="S67" s="70"/>
    </row>
    <row r="68" spans="1:19" ht="12.75">
      <c r="A68" s="341" t="s">
        <v>250</v>
      </c>
      <c r="B68" s="600" t="e">
        <f>ETOUpTo50PercentIncentive+FederalFunding</f>
        <v>#N/A</v>
      </c>
      <c r="C68" s="601" t="s">
        <v>251</v>
      </c>
      <c r="D68" s="70"/>
      <c r="H68" s="70"/>
      <c r="I68" s="70"/>
      <c r="J68" s="70"/>
      <c r="K68" s="70"/>
      <c r="L68" s="70"/>
      <c r="M68" s="70"/>
      <c r="N68" s="70"/>
      <c r="O68" s="70"/>
      <c r="P68" s="70"/>
      <c r="Q68" s="83" t="s">
        <v>1112</v>
      </c>
      <c r="R68" s="70"/>
      <c r="S68" s="70"/>
    </row>
    <row r="69" spans="1:19" ht="12.75">
      <c r="A69" s="341" t="s">
        <v>252</v>
      </c>
      <c r="B69" s="600" t="e">
        <f>IncentiveSubTotal+EstTaxCredit</f>
        <v>#N/A</v>
      </c>
      <c r="C69" s="601" t="s">
        <v>253</v>
      </c>
      <c r="D69" s="70"/>
      <c r="G69" s="70"/>
      <c r="H69" s="70"/>
      <c r="I69" s="70"/>
      <c r="J69" s="70"/>
      <c r="K69" s="70"/>
      <c r="L69" s="70"/>
      <c r="M69" s="70"/>
      <c r="N69" s="70"/>
      <c r="O69" s="83" t="s">
        <v>1103</v>
      </c>
      <c r="P69" s="123">
        <v>41788</v>
      </c>
      <c r="Q69" s="83" t="s">
        <v>1113</v>
      </c>
      <c r="R69" s="70"/>
      <c r="S69" s="70"/>
    </row>
    <row r="70" spans="1:19" ht="12.75">
      <c r="A70" s="70"/>
      <c r="B70" s="70"/>
      <c r="C70" s="70"/>
      <c r="D70" s="70"/>
      <c r="E70" s="70"/>
      <c r="F70" s="70"/>
      <c r="H70" s="70"/>
      <c r="I70" s="70"/>
      <c r="J70" s="70"/>
      <c r="K70" s="70"/>
      <c r="L70" s="70"/>
      <c r="M70" s="70"/>
      <c r="N70" s="70"/>
      <c r="O70" s="70"/>
      <c r="P70" s="70"/>
      <c r="Q70" s="83" t="s">
        <v>1114</v>
      </c>
      <c r="R70" s="70"/>
      <c r="S70" s="70"/>
    </row>
    <row r="71" spans="1:19" ht="12.75">
      <c r="A71" s="70" t="s">
        <v>748</v>
      </c>
      <c r="B71" s="140">
        <f>'Savings Calculations'!$P$30</f>
        <v>0</v>
      </c>
      <c r="C71" s="71" t="s">
        <v>825</v>
      </c>
      <c r="D71" s="70"/>
      <c r="E71" s="70"/>
      <c r="F71" s="70"/>
      <c r="G71" s="70"/>
      <c r="H71" s="70"/>
      <c r="I71" s="70"/>
      <c r="J71" s="70"/>
      <c r="K71" s="70"/>
      <c r="L71" s="70"/>
      <c r="M71" s="70"/>
      <c r="N71" s="70"/>
      <c r="O71" s="70"/>
      <c r="P71" s="70"/>
      <c r="Q71" s="83" t="s">
        <v>1115</v>
      </c>
      <c r="R71" s="70"/>
      <c r="S71" s="70"/>
    </row>
    <row r="72" spans="1:19" ht="12.75">
      <c r="A72" s="70" t="s">
        <v>540</v>
      </c>
      <c r="B72" s="140">
        <f>'Savings Calculations'!$P$29</f>
        <v>0</v>
      </c>
      <c r="C72" s="71" t="s">
        <v>541</v>
      </c>
      <c r="D72" s="70"/>
      <c r="E72" s="70"/>
      <c r="F72" s="70"/>
      <c r="G72" s="70"/>
      <c r="H72" s="70"/>
      <c r="I72" s="70"/>
      <c r="J72" s="70"/>
      <c r="K72" s="70"/>
      <c r="L72" s="70"/>
      <c r="M72" s="70"/>
      <c r="N72" s="70"/>
      <c r="O72" s="70" t="s">
        <v>1122</v>
      </c>
      <c r="P72" s="123">
        <v>41858</v>
      </c>
      <c r="Q72" s="70" t="s">
        <v>1123</v>
      </c>
      <c r="R72" s="70"/>
      <c r="S72" s="70"/>
    </row>
    <row r="73" spans="1:19" ht="12.75">
      <c r="A73" s="70" t="s">
        <v>750</v>
      </c>
      <c r="B73" s="298">
        <v>0.05</v>
      </c>
      <c r="C73" s="296" t="s">
        <v>826</v>
      </c>
      <c r="D73" s="122" t="s">
        <v>938</v>
      </c>
      <c r="E73" s="70"/>
      <c r="F73" s="70"/>
      <c r="G73" s="70"/>
      <c r="H73" s="70"/>
      <c r="I73" s="70"/>
      <c r="J73" s="70"/>
      <c r="K73" s="70"/>
      <c r="L73" s="70"/>
      <c r="M73" s="70"/>
      <c r="N73" s="70"/>
      <c r="O73" s="70" t="s">
        <v>1126</v>
      </c>
      <c r="P73" s="123">
        <v>42003</v>
      </c>
      <c r="Q73" s="83" t="s">
        <v>1127</v>
      </c>
      <c r="R73" s="70"/>
      <c r="S73" s="70"/>
    </row>
    <row r="74" spans="1:19" ht="12.75">
      <c r="A74" s="70" t="s">
        <v>939</v>
      </c>
      <c r="B74" s="299" t="str">
        <f>IF(AND(F57:F59),"Compressed Air Upgrades","Air Compressor"&amp;F61&amp;" Upgrade")</f>
        <v>Air Compressor Upgrade</v>
      </c>
      <c r="C74" s="296" t="s">
        <v>832</v>
      </c>
      <c r="D74" s="122"/>
      <c r="E74" s="70"/>
      <c r="F74" s="70"/>
      <c r="G74" s="70"/>
      <c r="H74" s="70"/>
      <c r="I74" s="70"/>
      <c r="J74" s="70"/>
      <c r="K74" s="70"/>
      <c r="L74" s="70"/>
      <c r="M74" s="70"/>
      <c r="N74" s="70"/>
      <c r="O74" s="83" t="s">
        <v>1176</v>
      </c>
      <c r="P74" s="123">
        <v>42212</v>
      </c>
      <c r="Q74" s="83" t="s">
        <v>1203</v>
      </c>
      <c r="R74" s="70"/>
      <c r="S74" s="70"/>
    </row>
    <row r="75" spans="1:19" ht="12.75">
      <c r="A75" s="70" t="s">
        <v>644</v>
      </c>
      <c r="B75" s="299" t="s">
        <v>1324</v>
      </c>
      <c r="C75" s="296" t="s">
        <v>833</v>
      </c>
      <c r="D75" s="122" t="s">
        <v>938</v>
      </c>
      <c r="E75" s="70"/>
      <c r="F75" s="70"/>
      <c r="G75" s="70"/>
      <c r="H75" s="70"/>
      <c r="I75" s="70"/>
      <c r="J75" s="70"/>
      <c r="K75" s="70"/>
      <c r="L75" s="70"/>
      <c r="M75" s="70"/>
      <c r="N75" s="70"/>
      <c r="O75" s="83" t="s">
        <v>1205</v>
      </c>
      <c r="P75" s="123">
        <v>42251</v>
      </c>
      <c r="Q75" s="83" t="s">
        <v>1206</v>
      </c>
      <c r="R75" s="70"/>
      <c r="S75" s="70"/>
    </row>
    <row r="76" spans="1:19" ht="12.75">
      <c r="A76" s="70" t="s">
        <v>936</v>
      </c>
      <c r="B76" s="1012" t="s">
        <v>1336</v>
      </c>
      <c r="C76" s="296" t="s">
        <v>937</v>
      </c>
      <c r="D76" s="122" t="s">
        <v>938</v>
      </c>
      <c r="E76" s="70"/>
      <c r="F76" s="70"/>
      <c r="G76" s="70"/>
      <c r="H76" s="70"/>
      <c r="I76" s="70"/>
      <c r="J76" s="70"/>
      <c r="K76" s="70"/>
      <c r="L76" s="70"/>
      <c r="M76" s="70"/>
      <c r="N76" s="70"/>
      <c r="O76" s="83" t="s">
        <v>1318</v>
      </c>
      <c r="P76" s="123">
        <v>42010</v>
      </c>
      <c r="Q76" s="1009" t="s">
        <v>1317</v>
      </c>
      <c r="R76" s="70"/>
      <c r="S76" s="70"/>
    </row>
    <row r="77" spans="1:19" ht="12.75">
      <c r="A77" s="70" t="s">
        <v>935</v>
      </c>
      <c r="B77" s="144" t="str">
        <f>'Savings Calculations'!P18&amp;" hp "&amp;VLOOKUP('Savings Calculations'!Q15,'Savings Calculations'!$CF$93:$CG$97,2)&amp;" air compressor"</f>
        <v> hp VFD air compressor</v>
      </c>
      <c r="C77" s="296" t="s">
        <v>831</v>
      </c>
      <c r="D77" s="122"/>
      <c r="E77" s="70"/>
      <c r="F77" s="70"/>
      <c r="G77" s="70"/>
      <c r="H77" s="70"/>
      <c r="I77" s="70"/>
      <c r="J77" s="70"/>
      <c r="K77" s="70"/>
      <c r="L77" s="70"/>
      <c r="M77" s="70"/>
      <c r="N77" s="70"/>
      <c r="O77" s="83" t="s">
        <v>1319</v>
      </c>
      <c r="P77" s="123">
        <v>42440</v>
      </c>
      <c r="Q77" s="83" t="s">
        <v>1320</v>
      </c>
      <c r="R77" s="70"/>
      <c r="S77" s="70"/>
    </row>
    <row r="78" spans="1:19" ht="12.75">
      <c r="A78" s="114"/>
      <c r="B78" s="111"/>
      <c r="C78" s="70"/>
      <c r="D78" s="70"/>
      <c r="E78" s="70"/>
      <c r="F78" s="70"/>
      <c r="G78" s="70"/>
      <c r="H78" s="70"/>
      <c r="I78" s="70"/>
      <c r="J78" s="70"/>
      <c r="K78" s="70"/>
      <c r="L78" s="70"/>
      <c r="M78" s="70"/>
      <c r="N78" s="70"/>
      <c r="O78" s="70" t="s">
        <v>1326</v>
      </c>
      <c r="P78" s="123">
        <v>43671</v>
      </c>
      <c r="Q78" s="70" t="s">
        <v>1327</v>
      </c>
      <c r="R78" s="70"/>
      <c r="S78" s="70"/>
    </row>
    <row r="79" spans="1:19" ht="13.5" thickBot="1">
      <c r="A79" s="114" t="s">
        <v>645</v>
      </c>
      <c r="B79" s="83"/>
      <c r="C79" s="70"/>
      <c r="D79" s="70"/>
      <c r="E79" s="70"/>
      <c r="F79" s="70"/>
      <c r="G79" s="70"/>
      <c r="H79" s="70"/>
      <c r="I79" s="70"/>
      <c r="J79" s="70"/>
      <c r="K79" s="70"/>
      <c r="L79" s="70"/>
      <c r="M79" s="70"/>
      <c r="N79" s="70"/>
      <c r="O79" s="83" t="s">
        <v>1338</v>
      </c>
      <c r="P79" s="1025">
        <v>44823</v>
      </c>
      <c r="Q79" s="83" t="s">
        <v>1339</v>
      </c>
      <c r="R79" s="70"/>
      <c r="S79" s="70"/>
    </row>
    <row r="80" spans="1:19" ht="12.75">
      <c r="A80" s="70" t="s">
        <v>646</v>
      </c>
      <c r="B80" s="287" t="str">
        <f>"The new "&amp;'Savings Calculations'!P18&amp;" hp "&amp;VLOOKUP('Savings Calculations'!Q15,'Savings Calculations'!$CF$93:$CG$97,2)&amp;" controlled air compressor"&amp;IF(ShowDryer," and cycling air dryer","")&amp;" has been installed and is operational."</f>
        <v>The new  hp VFD controlled air compressor has been installed and is operational.</v>
      </c>
      <c r="C80" s="288"/>
      <c r="D80" s="288"/>
      <c r="E80" s="289"/>
      <c r="F80" s="71" t="s">
        <v>940</v>
      </c>
      <c r="G80" s="70"/>
      <c r="H80" s="70"/>
      <c r="I80" s="70"/>
      <c r="J80" s="70"/>
      <c r="K80" s="70"/>
      <c r="L80" s="70"/>
      <c r="M80" s="70"/>
      <c r="N80" s="70"/>
      <c r="O80" s="70"/>
      <c r="P80" s="70"/>
      <c r="Q80" s="70"/>
      <c r="R80" s="70"/>
      <c r="S80" s="70"/>
    </row>
    <row r="81" spans="1:19" ht="12.75">
      <c r="A81" s="70" t="s">
        <v>647</v>
      </c>
      <c r="B81" s="290" t="s">
        <v>675</v>
      </c>
      <c r="C81" s="291"/>
      <c r="D81" s="291"/>
      <c r="E81" s="292"/>
      <c r="F81" s="71" t="s">
        <v>941</v>
      </c>
      <c r="G81" s="70"/>
      <c r="H81" s="70"/>
      <c r="I81" s="70"/>
      <c r="J81" s="70"/>
      <c r="K81" s="70"/>
      <c r="L81" s="70"/>
      <c r="M81" s="70"/>
      <c r="N81" s="70"/>
      <c r="O81" s="70"/>
      <c r="P81" s="70"/>
      <c r="Q81" s="70"/>
      <c r="R81" s="70"/>
      <c r="S81" s="70"/>
    </row>
    <row r="82" spans="1:19" ht="12.75">
      <c r="A82" s="70" t="s">
        <v>648</v>
      </c>
      <c r="B82" s="290" t="str">
        <f>"The new compressor is set to control to an average pressure of "&amp;'Savings Calculations'!H37&amp;" psig or less."</f>
        <v>The new compressor is set to control to an average pressure of  psig or less.</v>
      </c>
      <c r="C82" s="291"/>
      <c r="D82" s="291"/>
      <c r="E82" s="292"/>
      <c r="F82" s="71" t="s">
        <v>942</v>
      </c>
      <c r="G82" s="70"/>
      <c r="H82" s="70"/>
      <c r="I82" s="70"/>
      <c r="J82" s="70"/>
      <c r="K82" s="70"/>
      <c r="L82" s="70"/>
      <c r="M82" s="70"/>
      <c r="N82" s="70"/>
      <c r="O82" s="70"/>
      <c r="P82" s="70"/>
      <c r="Q82" s="70"/>
      <c r="R82" s="70"/>
      <c r="S82" s="70"/>
    </row>
    <row r="83" spans="1:19" ht="13.5" thickBot="1">
      <c r="A83" s="70" t="s">
        <v>649</v>
      </c>
      <c r="B83" s="293" t="s">
        <v>676</v>
      </c>
      <c r="C83" s="294"/>
      <c r="D83" s="294"/>
      <c r="E83" s="295"/>
      <c r="F83" s="71" t="s">
        <v>943</v>
      </c>
      <c r="G83" s="70"/>
      <c r="H83" s="70"/>
      <c r="I83" s="70"/>
      <c r="J83" s="70"/>
      <c r="K83" s="70"/>
      <c r="L83" s="70"/>
      <c r="M83" s="70"/>
      <c r="N83" s="70"/>
      <c r="O83" s="70"/>
      <c r="P83" s="70"/>
      <c r="Q83" s="70"/>
      <c r="R83" s="70"/>
      <c r="S83" s="70"/>
    </row>
    <row r="84" spans="1:19" ht="13.5" thickBot="1">
      <c r="A84" s="70"/>
      <c r="B84" s="70"/>
      <c r="C84" s="70"/>
      <c r="D84" s="70"/>
      <c r="E84" s="93"/>
      <c r="F84" s="93"/>
      <c r="G84" s="70"/>
      <c r="H84" s="70"/>
      <c r="I84" s="70"/>
      <c r="J84" s="70"/>
      <c r="K84" s="70"/>
      <c r="L84" s="70"/>
      <c r="M84" s="70"/>
      <c r="N84" s="70"/>
      <c r="O84" s="70"/>
      <c r="P84" s="70"/>
      <c r="Q84" s="70"/>
      <c r="R84" s="70"/>
      <c r="S84" s="70"/>
    </row>
    <row r="85" spans="1:19" ht="12.75" customHeight="1">
      <c r="A85" s="114" t="s">
        <v>1027</v>
      </c>
      <c r="B85" s="1226" t="str">
        <f>"The existing "&amp;VLOOKUP('Savings Calculations'!L15,'Savings Calculations'!$CF$93:$CG$97,2)&amp;" controlled air compressor will be replaced with a new "&amp;'Savings Calculations'!P18&amp;" hp "&amp;VLOOKUP('Savings Calculations'!Q15,'Savings Calculations'!$CF$93:$CG$97,2)&amp;" controlled machine.  The existing compressor is less efficient during part-load operation than the proposed new machine, and energy will be saved by the plant when operating at air demand levels below the maximum capacity of the machine."&amp;IF(ShowDryer," Additionally, the non-cycling air dryer will be replaced with a cycling air dryer, which is more efficient when the plant is not operating at maximum capacity","")&amp;"  Details of expected plant operation and system ratings are included in the attached calculations from Energy Trust of Oregon.  More specific details on the proposed compressor make and model are included in the attached quote."</f>
        <v>The existing Inlet Modulation controlled air compressor will be replaced with a new  hp VFD controlled machine.  The existing compressor is less efficient during part-load operation than the proposed new machine, and energy will be saved by the plant when operating at air demand levels below the maximum capacity of the machine.  Details of expected plant operation and system ratings are included in the attached calculations from Energy Trust of Oregon.  More specific details on the proposed compressor make and model are included in the attached quote.</v>
      </c>
      <c r="C85" s="1227"/>
      <c r="D85" s="1227"/>
      <c r="E85" s="1227"/>
      <c r="F85" s="1228"/>
      <c r="G85" s="71" t="s">
        <v>838</v>
      </c>
      <c r="H85" s="70"/>
      <c r="I85" s="70"/>
      <c r="J85" s="70"/>
      <c r="K85" s="70"/>
      <c r="L85" s="70"/>
      <c r="M85" s="70"/>
      <c r="N85" s="70"/>
      <c r="O85" s="70"/>
      <c r="P85" s="70"/>
      <c r="Q85" s="70"/>
      <c r="R85" s="70"/>
      <c r="S85" s="70"/>
    </row>
    <row r="86" spans="1:19" ht="12.75">
      <c r="A86" s="70"/>
      <c r="B86" s="1229"/>
      <c r="C86" s="1230"/>
      <c r="D86" s="1230"/>
      <c r="E86" s="1230"/>
      <c r="F86" s="1231"/>
      <c r="G86" s="145"/>
      <c r="H86" s="70"/>
      <c r="I86" s="70"/>
      <c r="J86" s="70"/>
      <c r="K86" s="70"/>
      <c r="L86" s="70"/>
      <c r="M86" s="70"/>
      <c r="N86" s="70"/>
      <c r="O86" s="70"/>
      <c r="P86" s="70"/>
      <c r="Q86" s="70"/>
      <c r="R86" s="70">
        <f>InputBusinessType</f>
      </c>
      <c r="S86" s="70"/>
    </row>
    <row r="87" spans="1:19" ht="12.75">
      <c r="A87" s="114"/>
      <c r="B87" s="1229"/>
      <c r="C87" s="1230"/>
      <c r="D87" s="1230"/>
      <c r="E87" s="1230"/>
      <c r="F87" s="1231"/>
      <c r="G87" s="145"/>
      <c r="H87" s="70"/>
      <c r="I87" s="70"/>
      <c r="J87" s="70"/>
      <c r="K87" s="70"/>
      <c r="L87" s="70"/>
      <c r="M87" s="70"/>
      <c r="N87" s="70"/>
      <c r="O87" s="70"/>
      <c r="P87" s="70"/>
      <c r="Q87" s="70"/>
      <c r="R87" s="70"/>
      <c r="S87" s="70"/>
    </row>
    <row r="88" spans="1:19" ht="12.75">
      <c r="A88" s="70"/>
      <c r="B88" s="1229"/>
      <c r="C88" s="1230"/>
      <c r="D88" s="1230"/>
      <c r="E88" s="1230"/>
      <c r="F88" s="1231"/>
      <c r="G88" s="145"/>
      <c r="H88" s="70"/>
      <c r="I88" s="70"/>
      <c r="J88" s="70"/>
      <c r="K88" s="70"/>
      <c r="L88" s="70"/>
      <c r="M88" s="70"/>
      <c r="N88" s="70"/>
      <c r="O88" s="70"/>
      <c r="P88" s="70"/>
      <c r="Q88" s="70"/>
      <c r="R88" s="70"/>
      <c r="S88" s="70"/>
    </row>
    <row r="89" spans="1:19" ht="12.75">
      <c r="A89" s="70"/>
      <c r="B89" s="1229"/>
      <c r="C89" s="1230"/>
      <c r="D89" s="1230"/>
      <c r="E89" s="1230"/>
      <c r="F89" s="1231"/>
      <c r="G89" s="145"/>
      <c r="H89" s="70"/>
      <c r="I89" s="70"/>
      <c r="J89" s="70"/>
      <c r="K89" s="70"/>
      <c r="L89" s="70"/>
      <c r="M89" s="70"/>
      <c r="N89" s="70"/>
      <c r="O89" s="70"/>
      <c r="P89" s="70"/>
      <c r="Q89" s="70"/>
      <c r="R89" s="70"/>
      <c r="S89" s="70"/>
    </row>
    <row r="90" spans="1:19" ht="12.75">
      <c r="A90" s="70"/>
      <c r="B90" s="1229"/>
      <c r="C90" s="1230"/>
      <c r="D90" s="1230"/>
      <c r="E90" s="1230"/>
      <c r="F90" s="1231"/>
      <c r="G90" s="145"/>
      <c r="H90" s="70"/>
      <c r="I90" s="70"/>
      <c r="J90" s="70"/>
      <c r="K90" s="70"/>
      <c r="L90" s="70"/>
      <c r="M90" s="70"/>
      <c r="N90" s="70"/>
      <c r="O90" s="70"/>
      <c r="P90" s="70"/>
      <c r="Q90" s="70"/>
      <c r="R90" s="70"/>
      <c r="S90" s="70"/>
    </row>
    <row r="91" spans="1:19" ht="12.75">
      <c r="A91" s="70"/>
      <c r="B91" s="1229"/>
      <c r="C91" s="1230"/>
      <c r="D91" s="1230"/>
      <c r="E91" s="1230"/>
      <c r="F91" s="1231"/>
      <c r="G91" s="145"/>
      <c r="H91" s="70"/>
      <c r="I91" s="70"/>
      <c r="J91" s="70"/>
      <c r="K91" s="70"/>
      <c r="L91" s="70"/>
      <c r="M91" s="70"/>
      <c r="N91" s="70"/>
      <c r="O91" s="70"/>
      <c r="P91" s="70"/>
      <c r="Q91" s="70"/>
      <c r="R91" s="70"/>
      <c r="S91" s="70"/>
    </row>
    <row r="92" spans="1:19" ht="12.75">
      <c r="A92" s="70"/>
      <c r="B92" s="1229"/>
      <c r="C92" s="1230"/>
      <c r="D92" s="1230"/>
      <c r="E92" s="1230"/>
      <c r="F92" s="1231"/>
      <c r="G92" s="145"/>
      <c r="H92" s="70"/>
      <c r="I92" s="70"/>
      <c r="J92" s="70"/>
      <c r="K92" s="70"/>
      <c r="L92" s="70"/>
      <c r="M92" s="70"/>
      <c r="N92" s="70"/>
      <c r="O92" s="70"/>
      <c r="P92" s="70"/>
      <c r="Q92" s="70"/>
      <c r="R92" s="70"/>
      <c r="S92" s="70"/>
    </row>
    <row r="93" spans="1:19" ht="12.75">
      <c r="A93" s="70"/>
      <c r="B93" s="1229"/>
      <c r="C93" s="1230"/>
      <c r="D93" s="1230"/>
      <c r="E93" s="1230"/>
      <c r="F93" s="1231"/>
      <c r="G93" s="145"/>
      <c r="H93" s="70"/>
      <c r="I93" s="70"/>
      <c r="J93" s="70"/>
      <c r="K93" s="70"/>
      <c r="L93" s="70"/>
      <c r="M93" s="70"/>
      <c r="N93" s="70"/>
      <c r="O93" s="70"/>
      <c r="P93" s="70"/>
      <c r="Q93" s="70"/>
      <c r="R93" s="70"/>
      <c r="S93" s="70"/>
    </row>
    <row r="94" spans="1:19" ht="13.5" thickBot="1">
      <c r="A94" s="70"/>
      <c r="B94" s="1232"/>
      <c r="C94" s="1233"/>
      <c r="D94" s="1233"/>
      <c r="E94" s="1233"/>
      <c r="F94" s="1234"/>
      <c r="G94" s="145"/>
      <c r="H94" s="70"/>
      <c r="I94" s="70"/>
      <c r="J94" s="70"/>
      <c r="K94" s="70"/>
      <c r="L94" s="70"/>
      <c r="M94" s="70"/>
      <c r="N94" s="70"/>
      <c r="O94" s="70"/>
      <c r="P94" s="70"/>
      <c r="Q94" s="70"/>
      <c r="R94" s="70"/>
      <c r="S94" s="70"/>
    </row>
    <row r="95" spans="1:19" ht="12.75">
      <c r="A95" s="70"/>
      <c r="B95" s="110"/>
      <c r="C95" s="70"/>
      <c r="D95" s="70"/>
      <c r="E95" s="70"/>
      <c r="F95" s="70"/>
      <c r="G95" s="70"/>
      <c r="H95" s="70"/>
      <c r="I95" s="70"/>
      <c r="J95" s="70"/>
      <c r="K95" s="70"/>
      <c r="L95" s="70"/>
      <c r="M95" s="70"/>
      <c r="N95" s="70"/>
      <c r="O95" s="70"/>
      <c r="P95" s="70"/>
      <c r="Q95" s="70"/>
      <c r="R95" s="70"/>
      <c r="S95" s="70"/>
    </row>
    <row r="96" spans="1:19" ht="12.75">
      <c r="A96" s="209"/>
      <c r="B96" s="281"/>
      <c r="C96" s="209"/>
      <c r="D96" s="209"/>
      <c r="E96" s="209"/>
      <c r="F96" s="209"/>
      <c r="G96" s="209"/>
      <c r="H96" s="209"/>
      <c r="I96" s="209"/>
      <c r="J96" s="209"/>
      <c r="K96" s="209"/>
      <c r="L96" s="209"/>
      <c r="M96" s="209"/>
      <c r="N96" s="70"/>
      <c r="O96" s="70"/>
      <c r="P96" s="70"/>
      <c r="Q96" s="70"/>
      <c r="R96" s="70"/>
      <c r="S96" s="70"/>
    </row>
    <row r="97" spans="1:19" ht="18">
      <c r="A97" s="146" t="s">
        <v>536</v>
      </c>
      <c r="B97" s="110"/>
      <c r="C97" s="70"/>
      <c r="D97" s="70"/>
      <c r="E97" s="70"/>
      <c r="F97" s="70"/>
      <c r="G97" s="70"/>
      <c r="H97" s="70"/>
      <c r="I97" s="70"/>
      <c r="J97" s="70"/>
      <c r="K97" s="70"/>
      <c r="L97" s="70"/>
      <c r="M97" s="70"/>
      <c r="N97" s="70"/>
      <c r="O97" s="70"/>
      <c r="P97" s="70"/>
      <c r="Q97" s="70"/>
      <c r="R97" s="70"/>
      <c r="S97" s="70"/>
    </row>
    <row r="98" spans="1:19" ht="12.75">
      <c r="A98" s="114" t="s">
        <v>747</v>
      </c>
      <c r="B98" s="70"/>
      <c r="C98" s="70"/>
      <c r="D98" s="70"/>
      <c r="E98" s="70"/>
      <c r="F98" s="70"/>
      <c r="G98" s="70"/>
      <c r="H98" s="70"/>
      <c r="I98" s="70"/>
      <c r="J98" s="70"/>
      <c r="K98" s="70"/>
      <c r="L98" s="70"/>
      <c r="M98" s="70"/>
      <c r="N98" s="70"/>
      <c r="O98" s="70"/>
      <c r="P98" s="70"/>
      <c r="Q98" s="70"/>
      <c r="R98" s="70"/>
      <c r="S98" s="70"/>
    </row>
    <row r="99" spans="1:19" ht="12.75">
      <c r="A99" s="83" t="s">
        <v>949</v>
      </c>
      <c r="B99" s="64" t="str">
        <f>IF(SiteState="OR",IF(OR(UtilityName="Pacific Power",UtilityName="PGE"),"YES","NO"),"NO")</f>
        <v>NO</v>
      </c>
      <c r="C99" s="70"/>
      <c r="D99" s="70"/>
      <c r="E99" s="147"/>
      <c r="F99" s="70"/>
      <c r="G99" s="148"/>
      <c r="H99" s="70"/>
      <c r="I99" s="70"/>
      <c r="J99" s="70"/>
      <c r="K99" s="70"/>
      <c r="L99" s="70"/>
      <c r="M99" s="70"/>
      <c r="N99" s="70"/>
      <c r="O99" s="70"/>
      <c r="P99" s="70"/>
      <c r="Q99" s="70"/>
      <c r="R99" s="70"/>
      <c r="S99" s="70"/>
    </row>
    <row r="100" spans="1:19" ht="13.5" customHeight="1">
      <c r="A100" s="83" t="s">
        <v>875</v>
      </c>
      <c r="B100" s="63" t="b">
        <v>0</v>
      </c>
      <c r="C100" s="71" t="s">
        <v>865</v>
      </c>
      <c r="D100" s="70"/>
      <c r="E100" s="70"/>
      <c r="F100" s="70"/>
      <c r="G100" s="148"/>
      <c r="H100" s="70"/>
      <c r="I100" s="70"/>
      <c r="J100" s="70"/>
      <c r="K100" s="70"/>
      <c r="L100" s="70"/>
      <c r="M100" s="70"/>
      <c r="N100" s="70"/>
      <c r="O100" s="70"/>
      <c r="P100" s="70"/>
      <c r="Q100" s="70"/>
      <c r="R100" s="70"/>
      <c r="S100" s="70"/>
    </row>
    <row r="101" spans="1:52" s="19" customFormat="1" ht="13.5" customHeight="1">
      <c r="A101" s="149" t="s">
        <v>545</v>
      </c>
      <c r="B101" s="72" t="s">
        <v>950</v>
      </c>
      <c r="C101" s="72" t="s">
        <v>650</v>
      </c>
      <c r="D101" s="72" t="s">
        <v>962</v>
      </c>
      <c r="E101" s="70"/>
      <c r="F101" s="70"/>
      <c r="G101" s="70"/>
      <c r="H101" s="70"/>
      <c r="I101" s="70"/>
      <c r="J101" s="70"/>
      <c r="K101" s="70"/>
      <c r="L101" s="70"/>
      <c r="M101" s="70"/>
      <c r="N101" s="70"/>
      <c r="O101" s="70"/>
      <c r="P101" s="70"/>
      <c r="Q101" s="70"/>
      <c r="R101" s="70"/>
      <c r="S101" s="70"/>
      <c r="T101"/>
      <c r="U101"/>
      <c r="V101"/>
      <c r="W101"/>
      <c r="X101"/>
      <c r="Y101"/>
      <c r="Z101"/>
      <c r="AA101"/>
      <c r="AB101"/>
      <c r="AC101"/>
      <c r="AD101"/>
      <c r="AE101"/>
      <c r="AF101"/>
      <c r="AG101"/>
      <c r="AH101"/>
      <c r="AI101"/>
      <c r="AJ101"/>
      <c r="AK101"/>
      <c r="AL101"/>
      <c r="AM101"/>
      <c r="AN101"/>
      <c r="AO101"/>
      <c r="AP101"/>
      <c r="AQ101"/>
      <c r="AR101"/>
      <c r="AS101"/>
      <c r="AT101"/>
      <c r="AU101"/>
      <c r="AV101"/>
      <c r="AW101"/>
      <c r="AX101"/>
      <c r="AY101"/>
      <c r="AZ101"/>
    </row>
    <row r="102" spans="1:52" s="19" customFormat="1" ht="13.5" customHeight="1">
      <c r="A102" s="151" t="s">
        <v>959</v>
      </c>
      <c r="B102" s="73" t="e">
        <f>IF(B200="OK","YES","NO")</f>
        <v>#N/A</v>
      </c>
      <c r="C102" s="74">
        <f>EstUtilEligibleCost</f>
        <v>0</v>
      </c>
      <c r="D102" s="74" t="e">
        <f>ETOUpTo50PercentIncentive</f>
        <v>#N/A</v>
      </c>
      <c r="E102" s="150"/>
      <c r="F102" s="150"/>
      <c r="G102" s="70">
        <f>TEXT(G101,"#")</f>
      </c>
      <c r="H102" s="70"/>
      <c r="I102" s="70"/>
      <c r="J102" s="70"/>
      <c r="K102" s="70"/>
      <c r="L102" s="110"/>
      <c r="M102" s="70"/>
      <c r="N102" s="70"/>
      <c r="O102" s="70"/>
      <c r="P102" s="70"/>
      <c r="Q102" s="70"/>
      <c r="R102" s="70"/>
      <c r="S102" s="70"/>
      <c r="T102"/>
      <c r="U102"/>
      <c r="V102"/>
      <c r="W102"/>
      <c r="X102"/>
      <c r="Y102"/>
      <c r="Z102"/>
      <c r="AA102"/>
      <c r="AB102"/>
      <c r="AC102"/>
      <c r="AD102"/>
      <c r="AE102"/>
      <c r="AF102"/>
      <c r="AG102"/>
      <c r="AH102"/>
      <c r="AI102"/>
      <c r="AJ102"/>
      <c r="AK102"/>
      <c r="AL102"/>
      <c r="AM102"/>
      <c r="AN102"/>
      <c r="AO102"/>
      <c r="AP102"/>
      <c r="AQ102"/>
      <c r="AR102"/>
      <c r="AS102"/>
      <c r="AT102"/>
      <c r="AU102"/>
      <c r="AV102"/>
      <c r="AW102"/>
      <c r="AX102"/>
      <c r="AY102"/>
      <c r="AZ102"/>
    </row>
    <row r="103" spans="1:19" s="19" customFormat="1" ht="12.75" customHeight="1">
      <c r="A103" s="151" t="s">
        <v>960</v>
      </c>
      <c r="B103" s="73" t="e">
        <f>IF(AND((B40-B42)/B40&gt;10%,B192&gt;1),"YES","NO")</f>
        <v>#N/A</v>
      </c>
      <c r="C103" s="74" t="e">
        <f>MIN((EstUtilEligibleCost)-FederalFunding,15*BetcValueTotalSavings)</f>
        <v>#N/A</v>
      </c>
      <c r="D103" s="75">
        <f>IF(B100=TRUE,IF(B103="YES",C103*0.35,0),0)</f>
        <v>0</v>
      </c>
      <c r="E103" s="151"/>
      <c r="F103" s="151"/>
      <c r="G103" s="70"/>
      <c r="H103" s="70"/>
      <c r="I103" s="70"/>
      <c r="J103" s="70"/>
      <c r="K103" s="70"/>
      <c r="L103" s="79"/>
      <c r="M103" s="79"/>
      <c r="N103" s="79"/>
      <c r="O103" s="79"/>
      <c r="P103" s="79"/>
      <c r="Q103" s="79"/>
      <c r="R103" s="79"/>
      <c r="S103" s="79"/>
    </row>
    <row r="104" spans="1:52" ht="12.75" customHeight="1">
      <c r="A104" s="300" t="s">
        <v>547</v>
      </c>
      <c r="B104" s="73" t="e">
        <f>IF(TRCBenefit_Cost_Ratio&gt;=1,"YES","NO")</f>
        <v>#N/A</v>
      </c>
      <c r="C104" s="74">
        <f>EstUtilEligibleCost</f>
        <v>0</v>
      </c>
      <c r="D104" s="75" t="e">
        <f>B260</f>
        <v>#N/A</v>
      </c>
      <c r="E104" s="70"/>
      <c r="F104" s="70"/>
      <c r="G104" s="104" t="s">
        <v>372</v>
      </c>
      <c r="H104" s="70"/>
      <c r="I104" s="70"/>
      <c r="J104" s="70"/>
      <c r="K104" s="70"/>
      <c r="L104" s="79"/>
      <c r="M104" s="79"/>
      <c r="N104" s="79"/>
      <c r="O104" s="79"/>
      <c r="P104" s="79"/>
      <c r="Q104" s="79"/>
      <c r="R104" s="79"/>
      <c r="S104" s="79"/>
      <c r="T104" s="19"/>
      <c r="U104" s="19"/>
      <c r="V104" s="19"/>
      <c r="W104" s="19"/>
      <c r="X104" s="19"/>
      <c r="Y104" s="19"/>
      <c r="Z104" s="19"/>
      <c r="AA104" s="19"/>
      <c r="AB104" s="19"/>
      <c r="AC104" s="19"/>
      <c r="AD104" s="19"/>
      <c r="AE104" s="19"/>
      <c r="AF104" s="19"/>
      <c r="AG104" s="19"/>
      <c r="AH104" s="19"/>
      <c r="AI104" s="19"/>
      <c r="AJ104" s="19"/>
      <c r="AK104" s="19"/>
      <c r="AL104" s="19"/>
      <c r="AM104" s="19"/>
      <c r="AN104" s="19"/>
      <c r="AO104" s="19"/>
      <c r="AP104" s="19"/>
      <c r="AQ104" s="19"/>
      <c r="AR104" s="19"/>
      <c r="AS104" s="19"/>
      <c r="AT104" s="19"/>
      <c r="AU104" s="19"/>
      <c r="AV104" s="19"/>
      <c r="AW104" s="19"/>
      <c r="AX104" s="19"/>
      <c r="AY104" s="19"/>
      <c r="AZ104" s="19"/>
    </row>
    <row r="105" spans="1:52" ht="12.75" customHeight="1">
      <c r="A105" s="300" t="s">
        <v>546</v>
      </c>
      <c r="B105" s="114" t="b">
        <f>'Customer Information'!$AR$146</f>
        <v>0</v>
      </c>
      <c r="C105" s="74">
        <f>EstUtilEligibleCost</f>
        <v>0</v>
      </c>
      <c r="D105" s="75" t="e">
        <f>MIN(UtilityIncentiveRate*kWhSaved,UtilityIncentiveCap*EstUtilEligibleCost)</f>
        <v>#N/A</v>
      </c>
      <c r="E105" s="79"/>
      <c r="F105" s="79"/>
      <c r="G105" s="152"/>
      <c r="H105" s="153" t="s">
        <v>373</v>
      </c>
      <c r="I105" s="72" t="s">
        <v>367</v>
      </c>
      <c r="J105" s="72" t="s">
        <v>368</v>
      </c>
      <c r="K105" s="72" t="s">
        <v>369</v>
      </c>
      <c r="L105" s="154" t="s">
        <v>370</v>
      </c>
      <c r="M105" s="154" t="s">
        <v>371</v>
      </c>
      <c r="N105" s="79"/>
      <c r="O105" s="79"/>
      <c r="P105" s="79"/>
      <c r="Q105" s="79"/>
      <c r="R105" s="79"/>
      <c r="S105" s="79"/>
      <c r="T105" s="19"/>
      <c r="U105" s="19"/>
      <c r="V105" s="19"/>
      <c r="W105" s="19"/>
      <c r="X105" s="19"/>
      <c r="Y105" s="19"/>
      <c r="Z105" s="19"/>
      <c r="AA105" s="19"/>
      <c r="AB105" s="19"/>
      <c r="AC105" s="19"/>
      <c r="AD105" s="19"/>
      <c r="AE105" s="19"/>
      <c r="AF105" s="19"/>
      <c r="AG105" s="19"/>
      <c r="AH105" s="19"/>
      <c r="AI105" s="19"/>
      <c r="AJ105" s="19"/>
      <c r="AK105" s="19"/>
      <c r="AL105" s="19"/>
      <c r="AM105" s="19"/>
      <c r="AN105" s="19"/>
      <c r="AO105" s="19"/>
      <c r="AP105" s="19"/>
      <c r="AQ105" s="19"/>
      <c r="AR105" s="19"/>
      <c r="AS105" s="19"/>
      <c r="AT105" s="19"/>
      <c r="AU105" s="19"/>
      <c r="AV105" s="19"/>
      <c r="AW105" s="19"/>
      <c r="AX105" s="19"/>
      <c r="AY105" s="19"/>
      <c r="AZ105" s="19"/>
    </row>
    <row r="106" spans="1:52" s="19" customFormat="1" ht="12.75" customHeight="1">
      <c r="A106" s="151" t="s">
        <v>549</v>
      </c>
      <c r="B106" s="77" t="e">
        <f>IF(kWhSaved=0,CONCATENATE(TEXT(BetcGasSavedTherms,"#,###")," ","therms"),CONCATENATE(TEXT(kWhSaved,"#,###")," ","kWh"))</f>
        <v>#N/A</v>
      </c>
      <c r="C106" s="71" t="s">
        <v>834</v>
      </c>
      <c r="D106" s="70"/>
      <c r="E106" s="155"/>
      <c r="F106" s="70"/>
      <c r="G106" s="151" t="s">
        <v>364</v>
      </c>
      <c r="H106" s="156">
        <f>SUM(I106:M106)</f>
        <v>0.9999999999999998</v>
      </c>
      <c r="I106" s="157">
        <f>10/35</f>
        <v>0.2857142857142857</v>
      </c>
      <c r="J106" s="157">
        <f>10/35</f>
        <v>0.2857142857142857</v>
      </c>
      <c r="K106" s="157">
        <f>5/35</f>
        <v>0.14285714285714285</v>
      </c>
      <c r="L106" s="157">
        <f>5/35</f>
        <v>0.14285714285714285</v>
      </c>
      <c r="M106" s="157">
        <f>5/35</f>
        <v>0.14285714285714285</v>
      </c>
      <c r="N106" s="158"/>
      <c r="R106" s="70"/>
      <c r="S106" s="70"/>
      <c r="T106"/>
      <c r="U106"/>
      <c r="V106"/>
      <c r="W106"/>
      <c r="X106"/>
      <c r="Y106"/>
      <c r="Z106"/>
      <c r="AA106"/>
      <c r="AB106"/>
      <c r="AC106"/>
      <c r="AD106"/>
      <c r="AE106"/>
      <c r="AF106"/>
      <c r="AG106"/>
      <c r="AH106"/>
      <c r="AI106"/>
      <c r="AJ106"/>
      <c r="AK106"/>
      <c r="AL106"/>
      <c r="AM106"/>
      <c r="AN106"/>
      <c r="AO106"/>
      <c r="AP106"/>
      <c r="AQ106"/>
      <c r="AR106"/>
      <c r="AS106"/>
      <c r="AT106"/>
      <c r="AU106"/>
      <c r="AV106"/>
      <c r="AW106"/>
      <c r="AX106"/>
      <c r="AY106"/>
      <c r="AZ106"/>
    </row>
    <row r="107" spans="1:52" s="19" customFormat="1" ht="12.75" customHeight="1">
      <c r="A107" s="79" t="s">
        <v>966</v>
      </c>
      <c r="B107" s="78">
        <f>D103</f>
        <v>0</v>
      </c>
      <c r="C107" s="71" t="s">
        <v>965</v>
      </c>
      <c r="D107" s="79"/>
      <c r="E107" s="159"/>
      <c r="F107" s="79"/>
      <c r="G107" s="79" t="s">
        <v>365</v>
      </c>
      <c r="H107" s="160">
        <f>SUM(I107:M107)</f>
        <v>0</v>
      </c>
      <c r="I107" s="159">
        <f>I106*EstTaxCredit</f>
        <v>0</v>
      </c>
      <c r="J107" s="159">
        <f>J106*EstTaxCredit</f>
        <v>0</v>
      </c>
      <c r="K107" s="159">
        <f>K106*EstTaxCredit</f>
        <v>0</v>
      </c>
      <c r="L107" s="159">
        <f>L106*EstTaxCredit</f>
        <v>0</v>
      </c>
      <c r="M107" s="159">
        <f>M106*EstTaxCredit</f>
        <v>0</v>
      </c>
      <c r="N107" s="79"/>
      <c r="R107" s="79"/>
      <c r="S107" s="79"/>
      <c r="V107"/>
      <c r="W107"/>
      <c r="X107"/>
      <c r="Y107"/>
      <c r="Z107"/>
      <c r="AA107"/>
      <c r="AB107"/>
      <c r="AC107"/>
      <c r="AD107"/>
      <c r="AE107"/>
      <c r="AF107"/>
      <c r="AG107"/>
      <c r="AH107"/>
      <c r="AI107"/>
      <c r="AJ107"/>
      <c r="AK107"/>
      <c r="AL107"/>
      <c r="AM107"/>
      <c r="AN107"/>
      <c r="AO107"/>
      <c r="AP107"/>
      <c r="AQ107"/>
      <c r="AR107"/>
      <c r="AS107"/>
      <c r="AT107"/>
      <c r="AU107"/>
      <c r="AV107"/>
      <c r="AW107"/>
      <c r="AX107"/>
      <c r="AY107"/>
      <c r="AZ107"/>
    </row>
    <row r="108" spans="1:19" s="19" customFormat="1" ht="12.75" customHeight="1">
      <c r="A108" s="79" t="s">
        <v>1037</v>
      </c>
      <c r="B108" s="80">
        <f>H108</f>
        <v>0</v>
      </c>
      <c r="C108" s="71" t="s">
        <v>1038</v>
      </c>
      <c r="D108" s="79"/>
      <c r="E108" s="159"/>
      <c r="F108" s="79"/>
      <c r="G108" s="79" t="s">
        <v>366</v>
      </c>
      <c r="H108" s="160">
        <f>SUM(I108:M108)</f>
        <v>0</v>
      </c>
      <c r="I108" s="159">
        <f>I107/(1+DiscountRate)^1</f>
        <v>0</v>
      </c>
      <c r="J108" s="159">
        <f>J107/(1+DiscountRate)^2</f>
        <v>0</v>
      </c>
      <c r="K108" s="159">
        <f>K107/(1+DiscountRate)^3</f>
        <v>0</v>
      </c>
      <c r="L108" s="159">
        <f>L107/(1+DiscountRate)^4</f>
        <v>0</v>
      </c>
      <c r="M108" s="159">
        <f>M107/(1+DiscountRate)^5</f>
        <v>0</v>
      </c>
      <c r="N108" s="79"/>
      <c r="R108" s="79"/>
      <c r="S108" s="79"/>
    </row>
    <row r="109" spans="1:21" s="19" customFormat="1" ht="12.75" customHeight="1">
      <c r="A109" s="83"/>
      <c r="B109" s="70"/>
      <c r="C109" s="70"/>
      <c r="D109" s="70"/>
      <c r="E109" s="70"/>
      <c r="F109" s="70"/>
      <c r="G109" s="151"/>
      <c r="H109" s="106"/>
      <c r="I109" s="151"/>
      <c r="J109" s="161"/>
      <c r="K109" s="79"/>
      <c r="L109" s="79"/>
      <c r="M109" s="79"/>
      <c r="N109" s="151"/>
      <c r="R109" s="70"/>
      <c r="S109" s="70"/>
      <c r="T109"/>
      <c r="U109"/>
    </row>
    <row r="110" spans="1:19" s="19" customFormat="1" ht="12.75" customHeight="1">
      <c r="A110" s="79"/>
      <c r="B110" s="79"/>
      <c r="C110" s="79"/>
      <c r="D110" s="79"/>
      <c r="E110" s="79"/>
      <c r="F110" s="79"/>
      <c r="G110" s="79"/>
      <c r="H110" s="79"/>
      <c r="I110" s="79"/>
      <c r="J110" s="162"/>
      <c r="K110" s="79"/>
      <c r="L110" s="79"/>
      <c r="M110" s="79"/>
      <c r="N110" s="151"/>
      <c r="O110" s="151"/>
      <c r="P110" s="151"/>
      <c r="Q110" s="151"/>
      <c r="R110" s="79"/>
      <c r="S110" s="79"/>
    </row>
    <row r="111" spans="1:19" s="19" customFormat="1" ht="12.75" customHeight="1">
      <c r="A111" s="76" t="s">
        <v>543</v>
      </c>
      <c r="B111" s="163" t="str">
        <f>"Estimated "&amp;J141&amp;" incentive:  "</f>
        <v>Estimated utility incentive:  </v>
      </c>
      <c r="C111" s="164"/>
      <c r="D111" s="65" t="e">
        <f>$D$102</f>
        <v>#N/A</v>
      </c>
      <c r="E111" s="76" t="s">
        <v>361</v>
      </c>
      <c r="F111" s="79"/>
      <c r="G111" s="151"/>
      <c r="H111" s="151"/>
      <c r="I111" s="151"/>
      <c r="J111" s="151"/>
      <c r="K111" s="151"/>
      <c r="L111" s="151"/>
      <c r="M111" s="151"/>
      <c r="N111" s="151"/>
      <c r="O111" s="151"/>
      <c r="P111" s="151"/>
      <c r="Q111" s="151"/>
      <c r="R111" s="79"/>
      <c r="S111" s="79"/>
    </row>
    <row r="112" spans="1:19" s="19" customFormat="1" ht="12.75" customHeight="1">
      <c r="A112" s="79"/>
      <c r="B112" s="165" t="s">
        <v>783</v>
      </c>
      <c r="C112" s="166"/>
      <c r="D112" s="66">
        <f>$D$103</f>
        <v>0</v>
      </c>
      <c r="E112" s="79"/>
      <c r="F112" s="79"/>
      <c r="G112" s="151"/>
      <c r="H112" s="151"/>
      <c r="I112" s="151"/>
      <c r="J112" s="167" t="s">
        <v>755</v>
      </c>
      <c r="K112" s="167" t="s">
        <v>760</v>
      </c>
      <c r="L112" s="151"/>
      <c r="M112" s="167" t="s">
        <v>762</v>
      </c>
      <c r="N112" s="151"/>
      <c r="O112" s="151"/>
      <c r="P112" s="151"/>
      <c r="Q112" s="151"/>
      <c r="R112" s="79"/>
      <c r="S112" s="79"/>
    </row>
    <row r="113" spans="1:19" s="19" customFormat="1" ht="12.75" customHeight="1">
      <c r="A113" s="79"/>
      <c r="B113" s="165" t="s">
        <v>782</v>
      </c>
      <c r="C113" s="166"/>
      <c r="D113" s="67" t="e">
        <f>'Savings Calculations'!$T$69-D111-D112</f>
        <v>#N/A</v>
      </c>
      <c r="E113" s="79"/>
      <c r="F113" s="79"/>
      <c r="G113" s="151"/>
      <c r="H113" s="151"/>
      <c r="I113" s="154" t="s">
        <v>757</v>
      </c>
      <c r="J113" s="154" t="s">
        <v>756</v>
      </c>
      <c r="K113" s="154" t="s">
        <v>761</v>
      </c>
      <c r="L113" s="154" t="s">
        <v>763</v>
      </c>
      <c r="M113" s="154" t="s">
        <v>764</v>
      </c>
      <c r="N113" s="151"/>
      <c r="O113" s="151"/>
      <c r="P113" s="151"/>
      <c r="Q113" s="151"/>
      <c r="R113" s="79"/>
      <c r="S113" s="79"/>
    </row>
    <row r="114" spans="1:19" s="19" customFormat="1" ht="12.75" customHeight="1">
      <c r="A114" s="79"/>
      <c r="B114" s="699"/>
      <c r="C114" s="611"/>
      <c r="D114" s="612"/>
      <c r="E114" s="79"/>
      <c r="F114" s="79"/>
      <c r="G114" s="151"/>
      <c r="H114" s="151"/>
      <c r="I114" s="169">
        <v>1</v>
      </c>
      <c r="J114" s="170" t="s">
        <v>758</v>
      </c>
      <c r="K114" s="171" t="s">
        <v>758</v>
      </c>
      <c r="L114" s="171" t="b">
        <v>1</v>
      </c>
      <c r="M114" s="172" t="s">
        <v>759</v>
      </c>
      <c r="N114" s="151"/>
      <c r="O114" s="151"/>
      <c r="P114" s="151"/>
      <c r="Q114" s="151"/>
      <c r="R114" s="79"/>
      <c r="S114" s="79"/>
    </row>
    <row r="115" spans="1:19" s="19" customFormat="1" ht="12.75" customHeight="1">
      <c r="A115" s="79"/>
      <c r="B115" s="165" t="s">
        <v>788</v>
      </c>
      <c r="C115" s="166"/>
      <c r="D115" s="68" t="e">
        <f>D113/(ElectricityCostSavings+NonEnergyBenefits+OandMReduction)</f>
        <v>#N/A</v>
      </c>
      <c r="E115" s="79"/>
      <c r="F115" s="79"/>
      <c r="G115" s="151"/>
      <c r="H115" s="151"/>
      <c r="I115" s="173">
        <v>2</v>
      </c>
      <c r="J115" s="174" t="s">
        <v>758</v>
      </c>
      <c r="K115" s="175" t="s">
        <v>758</v>
      </c>
      <c r="L115" s="175" t="b">
        <v>0</v>
      </c>
      <c r="M115" s="176" t="s">
        <v>759</v>
      </c>
      <c r="N115" s="151"/>
      <c r="O115" s="151"/>
      <c r="P115" s="151"/>
      <c r="Q115" s="151"/>
      <c r="R115" s="79"/>
      <c r="S115" s="79"/>
    </row>
    <row r="116" spans="1:19" s="19" customFormat="1" ht="12.75" customHeight="1">
      <c r="A116" s="76"/>
      <c r="B116" s="168" t="s">
        <v>789</v>
      </c>
      <c r="C116" s="166"/>
      <c r="D116" s="66" t="e">
        <f>PV(DiscountRate,10,-ElectricityCostSavings-NonEnergyBenefits-OandMReduction)-'Savings Calculations'!$T$69+D111+TaxCreditNPV</f>
        <v>#N/A</v>
      </c>
      <c r="E116" s="79"/>
      <c r="F116" s="79"/>
      <c r="G116" s="151"/>
      <c r="H116" s="151"/>
      <c r="I116" s="173">
        <v>3</v>
      </c>
      <c r="J116" s="174" t="s">
        <v>758</v>
      </c>
      <c r="K116" s="175" t="s">
        <v>758</v>
      </c>
      <c r="L116" s="175" t="b">
        <v>1</v>
      </c>
      <c r="M116" s="176" t="s">
        <v>758</v>
      </c>
      <c r="N116" s="151"/>
      <c r="O116" s="151"/>
      <c r="P116" s="151"/>
      <c r="Q116" s="151"/>
      <c r="R116" s="79"/>
      <c r="S116" s="79"/>
    </row>
    <row r="117" spans="1:19" s="19" customFormat="1" ht="12.75" customHeight="1">
      <c r="A117" s="76" t="s">
        <v>751</v>
      </c>
      <c r="B117" s="163" t="str">
        <f>"Estimated "&amp;J141&amp;" incentive:  "</f>
        <v>Estimated utility incentive:  </v>
      </c>
      <c r="C117" s="164"/>
      <c r="D117" s="65" t="e">
        <f>$D$102</f>
        <v>#N/A</v>
      </c>
      <c r="E117" s="747"/>
      <c r="F117" s="184"/>
      <c r="G117" s="300"/>
      <c r="H117" s="151"/>
      <c r="I117" s="173">
        <v>4</v>
      </c>
      <c r="J117" s="174" t="s">
        <v>758</v>
      </c>
      <c r="K117" s="175" t="s">
        <v>758</v>
      </c>
      <c r="L117" s="175" t="b">
        <v>0</v>
      </c>
      <c r="M117" s="176" t="s">
        <v>758</v>
      </c>
      <c r="N117" s="151"/>
      <c r="O117" s="151"/>
      <c r="P117" s="151"/>
      <c r="Q117" s="151"/>
      <c r="R117" s="79"/>
      <c r="S117" s="79"/>
    </row>
    <row r="118" spans="1:19" s="19" customFormat="1" ht="12.75" customHeight="1">
      <c r="A118" s="708"/>
      <c r="B118" s="750">
        <f>IF(ETOBonus,"Estimated bonus incentive:  ","")</f>
      </c>
      <c r="C118" s="748"/>
      <c r="D118" s="749" t="e">
        <f>ETOBonusIncentive</f>
        <v>#N/A</v>
      </c>
      <c r="H118" s="151"/>
      <c r="I118" s="173">
        <v>5</v>
      </c>
      <c r="J118" s="174" t="s">
        <v>759</v>
      </c>
      <c r="K118" s="175" t="s">
        <v>759</v>
      </c>
      <c r="L118" s="175" t="b">
        <v>0</v>
      </c>
      <c r="M118" s="176" t="s">
        <v>759</v>
      </c>
      <c r="N118" s="151"/>
      <c r="O118" s="151"/>
      <c r="P118" s="151"/>
      <c r="Q118" s="151"/>
      <c r="R118" s="79"/>
      <c r="S118" s="79"/>
    </row>
    <row r="119" spans="1:19" s="19" customFormat="1" ht="12.75" customHeight="1">
      <c r="A119" s="76"/>
      <c r="B119" s="165" t="s">
        <v>782</v>
      </c>
      <c r="C119" s="166"/>
      <c r="D119" s="67" t="e">
        <f>'Savings Calculations'!$T$69-D117-D118</f>
        <v>#N/A</v>
      </c>
      <c r="E119" s="79"/>
      <c r="F119" s="79"/>
      <c r="G119" s="151"/>
      <c r="H119" s="151"/>
      <c r="I119" s="173">
        <v>6</v>
      </c>
      <c r="J119" s="174" t="s">
        <v>759</v>
      </c>
      <c r="K119" s="175" t="s">
        <v>759</v>
      </c>
      <c r="L119" s="175" t="b">
        <v>0</v>
      </c>
      <c r="M119" s="176" t="s">
        <v>758</v>
      </c>
      <c r="N119" s="151"/>
      <c r="O119" s="151"/>
      <c r="P119" s="151"/>
      <c r="Q119" s="151"/>
      <c r="R119" s="79"/>
      <c r="S119" s="79"/>
    </row>
    <row r="120" spans="1:19" s="19" customFormat="1" ht="12.75" customHeight="1">
      <c r="A120" s="76"/>
      <c r="B120" s="699"/>
      <c r="C120" s="611"/>
      <c r="D120" s="612"/>
      <c r="E120" s="79"/>
      <c r="F120" s="79"/>
      <c r="G120" s="151"/>
      <c r="H120" s="151"/>
      <c r="I120" s="173">
        <v>7</v>
      </c>
      <c r="J120" s="174" t="s">
        <v>759</v>
      </c>
      <c r="K120" s="175" t="s">
        <v>758</v>
      </c>
      <c r="L120" s="175" t="b">
        <v>1</v>
      </c>
      <c r="M120" s="176" t="s">
        <v>759</v>
      </c>
      <c r="N120" s="151"/>
      <c r="O120" s="151"/>
      <c r="P120" s="151"/>
      <c r="Q120" s="151"/>
      <c r="R120" s="79"/>
      <c r="S120" s="79"/>
    </row>
    <row r="121" spans="1:19" s="19" customFormat="1" ht="12.75" customHeight="1">
      <c r="A121" s="76"/>
      <c r="B121" s="165" t="s">
        <v>788</v>
      </c>
      <c r="C121" s="166"/>
      <c r="D121" s="68" t="e">
        <f>D119/(ElectricityCostSavings+NonEnergyBenefits+OandMReduction)</f>
        <v>#N/A</v>
      </c>
      <c r="E121" s="79"/>
      <c r="F121" s="79"/>
      <c r="G121" s="151"/>
      <c r="H121" s="151"/>
      <c r="I121" s="173">
        <v>8</v>
      </c>
      <c r="J121" s="174" t="s">
        <v>759</v>
      </c>
      <c r="K121" s="175" t="s">
        <v>758</v>
      </c>
      <c r="L121" s="175" t="b">
        <v>0</v>
      </c>
      <c r="M121" s="176" t="s">
        <v>759</v>
      </c>
      <c r="N121" s="151"/>
      <c r="O121" s="151"/>
      <c r="P121" s="151"/>
      <c r="Q121" s="151"/>
      <c r="R121" s="79"/>
      <c r="S121" s="79"/>
    </row>
    <row r="122" spans="1:19" s="19" customFormat="1" ht="12.75" customHeight="1">
      <c r="A122" s="76"/>
      <c r="B122" s="181" t="s">
        <v>789</v>
      </c>
      <c r="C122" s="182"/>
      <c r="D122" s="69" t="e">
        <f>PV(DiscountRate,10,-ElectricityCostSavings-NonEnergyBenefits-OandMReduction)-'Savings Calculations'!$T$69+D117</f>
        <v>#N/A</v>
      </c>
      <c r="E122" s="79"/>
      <c r="F122" s="79"/>
      <c r="G122" s="151"/>
      <c r="H122" s="151"/>
      <c r="I122" s="173">
        <v>9</v>
      </c>
      <c r="J122" s="174" t="s">
        <v>759</v>
      </c>
      <c r="K122" s="175" t="s">
        <v>758</v>
      </c>
      <c r="L122" s="175" t="b">
        <v>1</v>
      </c>
      <c r="M122" s="176" t="s">
        <v>758</v>
      </c>
      <c r="N122" s="151"/>
      <c r="O122" s="151"/>
      <c r="P122" s="151"/>
      <c r="Q122" s="151"/>
      <c r="R122" s="79"/>
      <c r="S122" s="79"/>
    </row>
    <row r="123" spans="1:19" s="19" customFormat="1" ht="12.75" customHeight="1">
      <c r="A123" s="76" t="s">
        <v>542</v>
      </c>
      <c r="B123" s="163" t="str">
        <f>"Estimated "&amp;J141&amp;" incentive:  "</f>
        <v>Estimated utility incentive:  </v>
      </c>
      <c r="C123" s="164"/>
      <c r="D123" s="65" t="e">
        <f>$D$102</f>
        <v>#N/A</v>
      </c>
      <c r="E123" s="79"/>
      <c r="F123" s="79"/>
      <c r="G123" s="151"/>
      <c r="H123" s="151"/>
      <c r="I123" s="177">
        <v>10</v>
      </c>
      <c r="J123" s="178" t="s">
        <v>759</v>
      </c>
      <c r="K123" s="154" t="s">
        <v>758</v>
      </c>
      <c r="L123" s="154" t="b">
        <v>0</v>
      </c>
      <c r="M123" s="179" t="s">
        <v>758</v>
      </c>
      <c r="N123" s="151"/>
      <c r="O123" s="151"/>
      <c r="P123" s="151"/>
      <c r="Q123" s="151"/>
      <c r="R123" s="79"/>
      <c r="S123" s="79"/>
    </row>
    <row r="124" spans="1:19" s="19" customFormat="1" ht="12.75" customHeight="1">
      <c r="A124" s="76" t="s">
        <v>753</v>
      </c>
      <c r="B124" s="165" t="s">
        <v>783</v>
      </c>
      <c r="C124" s="166"/>
      <c r="D124" s="66">
        <f>$D$103</f>
        <v>0</v>
      </c>
      <c r="E124" s="79"/>
      <c r="F124" s="79"/>
      <c r="G124" s="151"/>
      <c r="H124" s="151"/>
      <c r="I124" s="151"/>
      <c r="J124" s="151"/>
      <c r="K124" s="167"/>
      <c r="L124" s="167"/>
      <c r="M124" s="151"/>
      <c r="N124" s="151"/>
      <c r="O124" s="151"/>
      <c r="P124" s="151"/>
      <c r="Q124" s="151"/>
      <c r="R124" s="79"/>
      <c r="S124" s="79"/>
    </row>
    <row r="125" spans="1:19" s="19" customFormat="1" ht="12.75" customHeight="1">
      <c r="A125" s="76"/>
      <c r="B125" s="168" t="s">
        <v>963</v>
      </c>
      <c r="C125" s="166"/>
      <c r="D125" s="66">
        <f>$B$37</f>
        <v>0</v>
      </c>
      <c r="E125" s="79"/>
      <c r="F125" s="79"/>
      <c r="G125" s="151"/>
      <c r="H125" s="151"/>
      <c r="I125" s="167" t="s">
        <v>765</v>
      </c>
      <c r="J125" s="180" t="str">
        <f>B99</f>
        <v>NO</v>
      </c>
      <c r="K125" s="180" t="str">
        <f>IF(SiteState="OR","YES","NO")</f>
        <v>NO</v>
      </c>
      <c r="L125" s="180" t="b">
        <f>BETCAppStatus</f>
        <v>0</v>
      </c>
      <c r="M125" s="180" t="str">
        <f>IF(FederalFunding&gt;0,"YES","NO")</f>
        <v>NO</v>
      </c>
      <c r="N125" s="151"/>
      <c r="O125" s="151"/>
      <c r="P125" s="151"/>
      <c r="Q125" s="151"/>
      <c r="R125" s="79"/>
      <c r="S125" s="79"/>
    </row>
    <row r="126" spans="1:19" s="19" customFormat="1" ht="12.75" customHeight="1">
      <c r="A126" s="76"/>
      <c r="B126" s="165" t="s">
        <v>782</v>
      </c>
      <c r="C126" s="166"/>
      <c r="D126" s="67" t="e">
        <f>'Savings Calculations'!$T$69-D123-D124-D125</f>
        <v>#N/A</v>
      </c>
      <c r="E126" s="79"/>
      <c r="F126" s="79"/>
      <c r="G126" s="151"/>
      <c r="H126" s="151"/>
      <c r="I126" s="151"/>
      <c r="J126" s="151"/>
      <c r="K126" s="151"/>
      <c r="L126" s="151"/>
      <c r="M126" s="151"/>
      <c r="N126" s="151"/>
      <c r="O126" s="151"/>
      <c r="P126" s="151"/>
      <c r="Q126" s="151"/>
      <c r="R126" s="79"/>
      <c r="S126" s="79"/>
    </row>
    <row r="127" spans="1:19" s="19" customFormat="1" ht="12.75" customHeight="1">
      <c r="A127" s="76"/>
      <c r="B127" s="165" t="s">
        <v>788</v>
      </c>
      <c r="C127" s="166"/>
      <c r="D127" s="68" t="e">
        <f>D126/(ElectricityCostSavings+NonEnergyBenefits+OandMReduction)</f>
        <v>#N/A</v>
      </c>
      <c r="E127" s="79"/>
      <c r="F127" s="79"/>
      <c r="G127" s="151"/>
      <c r="H127" s="151"/>
      <c r="I127" s="169">
        <f>IF(SUM($J$127:$M$127)=4,$I$114,"")</f>
      </c>
      <c r="J127" s="170">
        <f aca="true" t="shared" si="1" ref="J127:M136">IF(J$125=J114,1,"")</f>
      </c>
      <c r="K127" s="171">
        <f t="shared" si="1"/>
      </c>
      <c r="L127" s="171">
        <f t="shared" si="1"/>
      </c>
      <c r="M127" s="172">
        <f t="shared" si="1"/>
        <v>1</v>
      </c>
      <c r="N127" s="151"/>
      <c r="O127" s="151"/>
      <c r="P127" s="151"/>
      <c r="Q127" s="151"/>
      <c r="R127" s="79"/>
      <c r="S127" s="79"/>
    </row>
    <row r="128" spans="1:19" s="19" customFormat="1" ht="12.75" customHeight="1">
      <c r="A128" s="76"/>
      <c r="B128" s="168" t="s">
        <v>789</v>
      </c>
      <c r="C128" s="166"/>
      <c r="D128" s="66" t="e">
        <f>PV(DiscountRate,10,-ElectricityCostSavings-NonEnergyBenefits-OandMReduction)-'Savings Calculations'!$T$69+D123+TaxCreditNPV+D125</f>
        <v>#N/A</v>
      </c>
      <c r="E128" s="79"/>
      <c r="F128" s="79"/>
      <c r="G128" s="151"/>
      <c r="H128" s="151"/>
      <c r="I128" s="173">
        <f aca="true" t="shared" si="2" ref="I128:I136">IF(SUM($J128:$M128)=4,$I115,"")</f>
      </c>
      <c r="J128" s="174">
        <f t="shared" si="1"/>
      </c>
      <c r="K128" s="175">
        <f t="shared" si="1"/>
      </c>
      <c r="L128" s="175">
        <f t="shared" si="1"/>
        <v>1</v>
      </c>
      <c r="M128" s="176">
        <f t="shared" si="1"/>
        <v>1</v>
      </c>
      <c r="N128" s="151"/>
      <c r="O128" s="151"/>
      <c r="P128" s="151"/>
      <c r="Q128" s="151"/>
      <c r="R128" s="79"/>
      <c r="S128" s="79"/>
    </row>
    <row r="129" spans="1:19" s="19" customFormat="1" ht="12.75" customHeight="1">
      <c r="A129" s="76" t="s">
        <v>769</v>
      </c>
      <c r="B129" s="163" t="str">
        <f>"Estimated "&amp;J141&amp;" incentive:  "</f>
        <v>Estimated utility incentive:  </v>
      </c>
      <c r="C129" s="164"/>
      <c r="D129" s="65" t="e">
        <f>$D$102</f>
        <v>#N/A</v>
      </c>
      <c r="E129" s="747"/>
      <c r="F129" s="184"/>
      <c r="G129" s="300"/>
      <c r="H129" s="151"/>
      <c r="I129" s="173">
        <f t="shared" si="2"/>
      </c>
      <c r="J129" s="174">
        <f t="shared" si="1"/>
      </c>
      <c r="K129" s="175">
        <f t="shared" si="1"/>
      </c>
      <c r="L129" s="175">
        <f t="shared" si="1"/>
      </c>
      <c r="M129" s="176">
        <f t="shared" si="1"/>
      </c>
      <c r="N129" s="151"/>
      <c r="O129" s="151"/>
      <c r="P129" s="151"/>
      <c r="Q129" s="151"/>
      <c r="R129" s="79"/>
      <c r="S129" s="79"/>
    </row>
    <row r="130" spans="1:19" s="19" customFormat="1" ht="12.75" customHeight="1">
      <c r="A130" s="76" t="s">
        <v>753</v>
      </c>
      <c r="B130" s="168" t="s">
        <v>963</v>
      </c>
      <c r="C130" s="166"/>
      <c r="D130" s="66">
        <f>$B$37</f>
        <v>0</v>
      </c>
      <c r="H130" s="151"/>
      <c r="I130" s="173">
        <f t="shared" si="2"/>
      </c>
      <c r="J130" s="174">
        <f t="shared" si="1"/>
      </c>
      <c r="K130" s="175">
        <f t="shared" si="1"/>
      </c>
      <c r="L130" s="175">
        <f t="shared" si="1"/>
        <v>1</v>
      </c>
      <c r="M130" s="176">
        <f t="shared" si="1"/>
      </c>
      <c r="N130" s="151"/>
      <c r="O130" s="151"/>
      <c r="P130" s="151"/>
      <c r="Q130" s="151"/>
      <c r="R130" s="79"/>
      <c r="S130" s="79"/>
    </row>
    <row r="131" spans="1:19" s="19" customFormat="1" ht="12.75" customHeight="1">
      <c r="A131" s="76"/>
      <c r="B131" s="750">
        <f>IF(ETOBonus,"Estimated bonus incentive:  ","")</f>
      </c>
      <c r="C131" s="748"/>
      <c r="D131" s="749" t="e">
        <f>ETOBonusIncentive</f>
        <v>#N/A</v>
      </c>
      <c r="E131" s="79"/>
      <c r="F131" s="79"/>
      <c r="G131" s="151"/>
      <c r="H131" s="151"/>
      <c r="I131" s="173">
        <f>IF(SUM($J131:$M131)=4,$I118,"")</f>
        <v>5</v>
      </c>
      <c r="J131" s="174">
        <f t="shared" si="1"/>
        <v>1</v>
      </c>
      <c r="K131" s="175">
        <f t="shared" si="1"/>
        <v>1</v>
      </c>
      <c r="L131" s="175">
        <f t="shared" si="1"/>
        <v>1</v>
      </c>
      <c r="M131" s="176">
        <f t="shared" si="1"/>
        <v>1</v>
      </c>
      <c r="N131" s="151"/>
      <c r="O131" s="151"/>
      <c r="P131" s="151"/>
      <c r="Q131" s="151"/>
      <c r="R131" s="79"/>
      <c r="S131" s="79"/>
    </row>
    <row r="132" spans="1:19" s="19" customFormat="1" ht="12.75" customHeight="1">
      <c r="A132" s="76"/>
      <c r="B132" s="165" t="s">
        <v>782</v>
      </c>
      <c r="C132" s="166"/>
      <c r="D132" s="67" t="e">
        <f>'Savings Calculations'!$T$69-D129-D131-D130</f>
        <v>#N/A</v>
      </c>
      <c r="E132" s="79"/>
      <c r="F132" s="79"/>
      <c r="G132" s="151"/>
      <c r="H132" s="151"/>
      <c r="I132" s="173">
        <f t="shared" si="2"/>
      </c>
      <c r="J132" s="174">
        <f t="shared" si="1"/>
        <v>1</v>
      </c>
      <c r="K132" s="175">
        <f t="shared" si="1"/>
        <v>1</v>
      </c>
      <c r="L132" s="175">
        <f t="shared" si="1"/>
        <v>1</v>
      </c>
      <c r="M132" s="176">
        <f t="shared" si="1"/>
      </c>
      <c r="N132" s="151"/>
      <c r="O132" s="151"/>
      <c r="P132" s="151"/>
      <c r="Q132" s="151"/>
      <c r="R132" s="79"/>
      <c r="S132" s="79"/>
    </row>
    <row r="133" spans="1:19" s="19" customFormat="1" ht="12.75" customHeight="1">
      <c r="A133" s="76"/>
      <c r="B133" s="165" t="s">
        <v>788</v>
      </c>
      <c r="C133" s="166"/>
      <c r="D133" s="68" t="e">
        <f>D132/(ElectricityCostSavings+NonEnergyBenefits+OandMReduction)</f>
        <v>#N/A</v>
      </c>
      <c r="E133" s="79"/>
      <c r="F133" s="79"/>
      <c r="G133" s="151"/>
      <c r="H133" s="151"/>
      <c r="I133" s="173">
        <f t="shared" si="2"/>
      </c>
      <c r="J133" s="174">
        <f t="shared" si="1"/>
        <v>1</v>
      </c>
      <c r="K133" s="175">
        <f t="shared" si="1"/>
      </c>
      <c r="L133" s="175">
        <f t="shared" si="1"/>
      </c>
      <c r="M133" s="176">
        <f t="shared" si="1"/>
        <v>1</v>
      </c>
      <c r="N133" s="151"/>
      <c r="O133" s="151"/>
      <c r="P133" s="151"/>
      <c r="Q133" s="151"/>
      <c r="R133" s="79"/>
      <c r="S133" s="79"/>
    </row>
    <row r="134" spans="1:19" s="19" customFormat="1" ht="12.75" customHeight="1">
      <c r="A134" s="76"/>
      <c r="B134" s="181" t="s">
        <v>789</v>
      </c>
      <c r="C134" s="182"/>
      <c r="D134" s="69" t="e">
        <f>PV(DiscountRate,10,-ElectricityCostSavings-NonEnergyBenefits-OandMReduction)-'Savings Calculations'!$T$69+D129+D130</f>
        <v>#N/A</v>
      </c>
      <c r="E134" s="79"/>
      <c r="F134" s="79"/>
      <c r="G134" s="151"/>
      <c r="H134" s="151"/>
      <c r="I134" s="173">
        <f t="shared" si="2"/>
      </c>
      <c r="J134" s="174">
        <f t="shared" si="1"/>
        <v>1</v>
      </c>
      <c r="K134" s="175">
        <f t="shared" si="1"/>
      </c>
      <c r="L134" s="175">
        <f t="shared" si="1"/>
        <v>1</v>
      </c>
      <c r="M134" s="176">
        <f t="shared" si="1"/>
        <v>1</v>
      </c>
      <c r="N134" s="151"/>
      <c r="O134" s="151"/>
      <c r="P134" s="151"/>
      <c r="Q134" s="151"/>
      <c r="R134" s="79"/>
      <c r="S134" s="79"/>
    </row>
    <row r="135" spans="1:19" s="19" customFormat="1" ht="12.75" customHeight="1">
      <c r="A135" s="76" t="s">
        <v>770</v>
      </c>
      <c r="B135" s="165" t="str">
        <f>"Estimated "&amp;J141&amp;" incentive:  "</f>
        <v>Estimated utility incentive:  </v>
      </c>
      <c r="C135" s="166"/>
      <c r="D135" s="66" t="e">
        <f>IF(IsBPAProject,$D$104,IF(F135="YES",MIN($D$105,F136),$D$105))</f>
        <v>#N/A</v>
      </c>
      <c r="E135" s="76" t="s">
        <v>1108</v>
      </c>
      <c r="F135" s="79" t="str">
        <f>IF(OR(UtilityName="Pacific Power",UtilityName="Rocky Mountain Power"),"YES","NO")</f>
        <v>NO</v>
      </c>
      <c r="G135" s="151"/>
      <c r="H135" s="151"/>
      <c r="I135" s="173">
        <f t="shared" si="2"/>
      </c>
      <c r="J135" s="174">
        <f t="shared" si="1"/>
        <v>1</v>
      </c>
      <c r="K135" s="175">
        <f t="shared" si="1"/>
      </c>
      <c r="L135" s="175">
        <f t="shared" si="1"/>
      </c>
      <c r="M135" s="176">
        <f t="shared" si="1"/>
      </c>
      <c r="N135" s="151"/>
      <c r="O135" s="151"/>
      <c r="P135" s="151"/>
      <c r="Q135" s="151"/>
      <c r="R135" s="79"/>
      <c r="S135" s="79"/>
    </row>
    <row r="136" spans="1:19" s="19" customFormat="1" ht="12.75" customHeight="1">
      <c r="A136" s="76"/>
      <c r="B136" s="165" t="s">
        <v>782</v>
      </c>
      <c r="C136" s="166"/>
      <c r="D136" s="67" t="e">
        <f>'Savings Calculations'!$T$69-D135</f>
        <v>#N/A</v>
      </c>
      <c r="E136" s="76" t="s">
        <v>1109</v>
      </c>
      <c r="F136" s="854" t="e">
        <f>IF(EstUtilEligibleCost-ElectricityCostSavings&lt;0,0,EstUtilEligibleCost-ElectricityCostSavings)</f>
        <v>#N/A</v>
      </c>
      <c r="G136" s="151"/>
      <c r="H136" s="151"/>
      <c r="I136" s="177">
        <f t="shared" si="2"/>
      </c>
      <c r="J136" s="178">
        <f t="shared" si="1"/>
        <v>1</v>
      </c>
      <c r="K136" s="154">
        <f t="shared" si="1"/>
      </c>
      <c r="L136" s="154">
        <f t="shared" si="1"/>
        <v>1</v>
      </c>
      <c r="M136" s="179">
        <f t="shared" si="1"/>
      </c>
      <c r="N136" s="151"/>
      <c r="O136" s="151"/>
      <c r="P136" s="151"/>
      <c r="Q136" s="151"/>
      <c r="R136" s="79"/>
      <c r="S136" s="79"/>
    </row>
    <row r="137" spans="1:19" s="19" customFormat="1" ht="12.75" customHeight="1">
      <c r="A137" s="76"/>
      <c r="B137" s="699"/>
      <c r="C137" s="611"/>
      <c r="D137" s="612"/>
      <c r="E137" s="79"/>
      <c r="F137" s="79"/>
      <c r="G137" s="151"/>
      <c r="H137" s="151"/>
      <c r="I137" s="79"/>
      <c r="J137" s="162"/>
      <c r="K137" s="79"/>
      <c r="L137" s="79"/>
      <c r="M137" s="79"/>
      <c r="N137" s="79"/>
      <c r="O137" s="79"/>
      <c r="P137" s="79"/>
      <c r="Q137" s="79"/>
      <c r="R137" s="79"/>
      <c r="S137" s="79"/>
    </row>
    <row r="138" spans="1:19" s="19" customFormat="1" ht="12.75" customHeight="1">
      <c r="A138" s="76"/>
      <c r="B138" s="699"/>
      <c r="C138" s="611"/>
      <c r="D138" s="612"/>
      <c r="E138" s="79"/>
      <c r="F138" s="79"/>
      <c r="G138" s="151"/>
      <c r="H138" s="151"/>
      <c r="I138" s="79" t="s">
        <v>766</v>
      </c>
      <c r="J138" s="180">
        <f>MAX(I127:I136)</f>
        <v>5</v>
      </c>
      <c r="K138" s="79"/>
      <c r="L138" s="118"/>
      <c r="M138" s="70"/>
      <c r="N138" s="79"/>
      <c r="O138" s="79"/>
      <c r="P138" s="79"/>
      <c r="Q138" s="79"/>
      <c r="R138" s="79"/>
      <c r="S138" s="79"/>
    </row>
    <row r="139" spans="1:19" s="19" customFormat="1" ht="12.75" customHeight="1">
      <c r="A139" s="76"/>
      <c r="B139" s="165" t="s">
        <v>788</v>
      </c>
      <c r="C139" s="166"/>
      <c r="D139" s="68" t="e">
        <f>D136/(ElectricityCostSavings+NonEnergyBenefits+OandMReduction)</f>
        <v>#N/A</v>
      </c>
      <c r="E139" s="79"/>
      <c r="F139" s="79"/>
      <c r="G139" s="151"/>
      <c r="H139" s="151"/>
      <c r="I139" s="79" t="s">
        <v>767</v>
      </c>
      <c r="J139" s="118">
        <f>ROW(BeginFirstCase)+($J$138-1)*6</f>
        <v>135</v>
      </c>
      <c r="K139" s="118"/>
      <c r="L139" s="118"/>
      <c r="M139" s="70"/>
      <c r="N139" s="79"/>
      <c r="O139" s="79"/>
      <c r="P139" s="79"/>
      <c r="Q139" s="79"/>
      <c r="R139" s="79"/>
      <c r="S139" s="79"/>
    </row>
    <row r="140" spans="1:19" s="19" customFormat="1" ht="12.75" customHeight="1">
      <c r="A140" s="76"/>
      <c r="B140" s="168" t="s">
        <v>789</v>
      </c>
      <c r="C140" s="166"/>
      <c r="D140" s="66" t="e">
        <f>PV(DiscountRate,10,-ElectricityCostSavings-NonEnergyBenefits-OandMReduction)-'Savings Calculations'!$T$69+D135</f>
        <v>#N/A</v>
      </c>
      <c r="E140" s="79"/>
      <c r="F140" s="79"/>
      <c r="G140" s="79"/>
      <c r="H140" s="79"/>
      <c r="I140" s="79" t="s">
        <v>768</v>
      </c>
      <c r="J140" s="118">
        <f>$J$139+5</f>
        <v>140</v>
      </c>
      <c r="K140" s="118"/>
      <c r="L140" s="118"/>
      <c r="M140" s="70"/>
      <c r="N140" s="79"/>
      <c r="O140" s="79"/>
      <c r="P140" s="79"/>
      <c r="Q140" s="79"/>
      <c r="R140" s="79"/>
      <c r="S140" s="79"/>
    </row>
    <row r="141" spans="1:19" s="19" customFormat="1" ht="12.75" customHeight="1">
      <c r="A141" s="76" t="s">
        <v>771</v>
      </c>
      <c r="B141" s="163" t="str">
        <f>"Estimated "&amp;J141&amp;" incentive:  "</f>
        <v>Estimated utility incentive:  </v>
      </c>
      <c r="C141" s="164"/>
      <c r="D141" s="65" t="e">
        <f>IF(IsBPAProject,$D$104,IF(F141="YES",MIN($D$105,F142),$D$105))</f>
        <v>#N/A</v>
      </c>
      <c r="E141" s="76" t="s">
        <v>1108</v>
      </c>
      <c r="F141" s="79" t="str">
        <f>IF(OR(UtilityName="Pacific Power",UtilityName="Rocky Mountain Power"),"YES","NO")</f>
        <v>NO</v>
      </c>
      <c r="G141" s="79"/>
      <c r="H141" s="79"/>
      <c r="I141" s="79" t="s">
        <v>1036</v>
      </c>
      <c r="J141" s="70" t="str">
        <f>IF(J125="YES","Energy Trust","utility")</f>
        <v>utility</v>
      </c>
      <c r="K141" s="70"/>
      <c r="L141" s="70"/>
      <c r="M141" s="70"/>
      <c r="N141" s="79"/>
      <c r="O141" s="79"/>
      <c r="P141" s="79"/>
      <c r="Q141" s="79"/>
      <c r="R141" s="79"/>
      <c r="S141" s="79"/>
    </row>
    <row r="142" spans="1:19" s="19" customFormat="1" ht="12.75" customHeight="1">
      <c r="A142" s="76"/>
      <c r="B142" s="168" t="s">
        <v>963</v>
      </c>
      <c r="C142" s="166"/>
      <c r="D142" s="66">
        <f>$B$37</f>
        <v>0</v>
      </c>
      <c r="E142" s="76" t="s">
        <v>1109</v>
      </c>
      <c r="F142" s="854" t="e">
        <f>IF(EstUtilEligibleCost-ElectricityCostSavings&lt;0,0,EstUtilEligibleCost-ElectricityCostSavings)</f>
        <v>#N/A</v>
      </c>
      <c r="G142" s="79"/>
      <c r="H142" s="79"/>
      <c r="I142" s="183" t="s">
        <v>961</v>
      </c>
      <c r="J142" s="60"/>
      <c r="K142" s="60"/>
      <c r="L142" s="60"/>
      <c r="M142" s="60"/>
      <c r="N142" s="79"/>
      <c r="O142" s="79"/>
      <c r="P142" s="79"/>
      <c r="Q142" s="79"/>
      <c r="R142" s="79"/>
      <c r="S142" s="79"/>
    </row>
    <row r="143" spans="1:19" s="19" customFormat="1" ht="12.75" customHeight="1">
      <c r="A143" s="76"/>
      <c r="B143" s="165" t="s">
        <v>782</v>
      </c>
      <c r="C143" s="166"/>
      <c r="D143" s="67" t="e">
        <f>'Savings Calculations'!$T$69-D141-D142</f>
        <v>#N/A</v>
      </c>
      <c r="E143" s="79"/>
      <c r="F143" s="79"/>
      <c r="G143" s="79"/>
      <c r="H143" s="79"/>
      <c r="I143" s="333" t="str">
        <f ca="1">INDIRECT("b"&amp;TEXT($J$139+0,"#"))</f>
        <v>Estimated utility incentive:  </v>
      </c>
      <c r="J143" s="70"/>
      <c r="K143" s="70"/>
      <c r="L143" s="339" t="e">
        <f ca="1">INDIRECT("d"&amp;TEXT($J$139+0,"#"))</f>
        <v>#N/A</v>
      </c>
      <c r="M143" s="71" t="s">
        <v>1044</v>
      </c>
      <c r="N143" s="79"/>
      <c r="O143" s="79"/>
      <c r="P143" s="79"/>
      <c r="Q143" s="79"/>
      <c r="R143" s="79"/>
      <c r="S143" s="79"/>
    </row>
    <row r="144" spans="1:19" s="19" customFormat="1" ht="12.75" customHeight="1">
      <c r="A144" s="76"/>
      <c r="B144" s="699"/>
      <c r="C144" s="611"/>
      <c r="D144" s="612"/>
      <c r="E144" s="79"/>
      <c r="F144" s="79"/>
      <c r="G144" s="79"/>
      <c r="H144" s="79"/>
      <c r="I144" s="333" t="str">
        <f ca="1">INDIRECT("b"&amp;TEXT($J$139+1,"#"))</f>
        <v>Net cost after incentives:  </v>
      </c>
      <c r="J144" s="70"/>
      <c r="K144" s="70"/>
      <c r="L144" s="339" t="e">
        <f ca="1">INDIRECT("d"&amp;TEXT($J$139+1,"#"))</f>
        <v>#N/A</v>
      </c>
      <c r="M144" s="106"/>
      <c r="N144" s="79"/>
      <c r="O144" s="79"/>
      <c r="P144" s="79"/>
      <c r="Q144" s="79"/>
      <c r="R144" s="79"/>
      <c r="S144" s="79"/>
    </row>
    <row r="145" spans="1:19" s="19" customFormat="1" ht="12.75" customHeight="1">
      <c r="A145" s="76"/>
      <c r="B145" s="165" t="s">
        <v>788</v>
      </c>
      <c r="C145" s="166"/>
      <c r="D145" s="68" t="e">
        <f>D143/(ElectricityCostSavings+NonEnergyBenefits+OandMReduction)</f>
        <v>#N/A</v>
      </c>
      <c r="E145" s="79"/>
      <c r="F145" s="79"/>
      <c r="G145" s="79"/>
      <c r="H145" s="79"/>
      <c r="I145" s="333">
        <f ca="1">INDIRECT("b"&amp;TEXT($J$139+2,"#"))</f>
        <v>0</v>
      </c>
      <c r="J145" s="70"/>
      <c r="K145" s="70"/>
      <c r="L145" s="339">
        <f ca="1">INDIRECT("d"&amp;TEXT($J$139+2,"#"))</f>
        <v>0</v>
      </c>
      <c r="M145" s="106"/>
      <c r="N145" s="79"/>
      <c r="O145" s="79"/>
      <c r="P145" s="79"/>
      <c r="Q145" s="79"/>
      <c r="R145" s="79"/>
      <c r="S145" s="79"/>
    </row>
    <row r="146" spans="1:19" s="19" customFormat="1" ht="12.75" customHeight="1">
      <c r="A146" s="76"/>
      <c r="B146" s="168" t="s">
        <v>789</v>
      </c>
      <c r="C146" s="166"/>
      <c r="D146" s="66" t="e">
        <f>PV(DiscountRate,10,-ElectricityCostSavings-NonEnergyBenefits-OandMReduction)-'Savings Calculations'!$T$69+D141+D142</f>
        <v>#N/A</v>
      </c>
      <c r="E146" s="79"/>
      <c r="F146" s="79"/>
      <c r="G146" s="79"/>
      <c r="H146" s="79"/>
      <c r="I146" s="150">
        <f ca="1">INDIRECT("b"&amp;TEXT($J$139+3,"#"))</f>
        <v>0</v>
      </c>
      <c r="J146" s="70"/>
      <c r="K146" s="70"/>
      <c r="L146" s="339">
        <f ca="1">INDIRECT("d"&amp;TEXT($J$139+3,"#"))</f>
        <v>0</v>
      </c>
      <c r="M146" s="93"/>
      <c r="N146" s="79"/>
      <c r="O146" s="345"/>
      <c r="P146" s="79"/>
      <c r="Q146" s="79"/>
      <c r="R146" s="79"/>
      <c r="S146" s="79"/>
    </row>
    <row r="147" spans="1:19" s="19" customFormat="1" ht="12.75" customHeight="1">
      <c r="A147" s="76" t="s">
        <v>752</v>
      </c>
      <c r="B147" s="163" t="str">
        <f>"Estimated "&amp;J141&amp;" incentive:  "</f>
        <v>Estimated utility incentive:  </v>
      </c>
      <c r="C147" s="164"/>
      <c r="D147" s="65" t="e">
        <f>IF(IsBPAProject,$D$104,$D$105)</f>
        <v>#N/A</v>
      </c>
      <c r="E147" s="79"/>
      <c r="F147" s="79"/>
      <c r="G147" s="79"/>
      <c r="H147" s="79"/>
      <c r="I147" s="150" t="str">
        <f ca="1">INDIRECT("b"&amp;TEXT($J$139+4,"#"))</f>
        <v>Simple payback:  </v>
      </c>
      <c r="J147" s="70"/>
      <c r="K147" s="70"/>
      <c r="L147" s="344" t="e">
        <f ca="1">INDIRECT("d"&amp;TEXT($J$139+4,"#"))</f>
        <v>#N/A</v>
      </c>
      <c r="M147" s="71" t="s">
        <v>1048</v>
      </c>
      <c r="N147" s="79"/>
      <c r="O147" s="79"/>
      <c r="P147" s="79"/>
      <c r="Q147" s="79"/>
      <c r="R147" s="79"/>
      <c r="S147" s="79"/>
    </row>
    <row r="148" spans="1:19" s="19" customFormat="1" ht="12.75" customHeight="1">
      <c r="A148" s="76"/>
      <c r="B148" s="165" t="s">
        <v>783</v>
      </c>
      <c r="C148" s="166"/>
      <c r="D148" s="66">
        <f>$D$103</f>
        <v>0</v>
      </c>
      <c r="E148" s="79"/>
      <c r="F148" s="79"/>
      <c r="G148" s="79"/>
      <c r="H148" s="79"/>
      <c r="I148" s="150" t="str">
        <f ca="1">INDIRECT("b"&amp;TEXT($J$139+5,"#"))</f>
        <v>NPV over 10 years:  </v>
      </c>
      <c r="J148" s="70"/>
      <c r="K148" s="70"/>
      <c r="L148" s="339" t="e">
        <f ca="1">INDIRECT("d"&amp;TEXT($J$139+5,"#"))</f>
        <v>#N/A</v>
      </c>
      <c r="M148" s="106"/>
      <c r="N148" s="79"/>
      <c r="O148" s="79"/>
      <c r="P148" s="79"/>
      <c r="Q148" s="79"/>
      <c r="R148" s="79"/>
      <c r="S148" s="79"/>
    </row>
    <row r="149" spans="1:19" s="19" customFormat="1" ht="12.75" customHeight="1">
      <c r="A149" s="76"/>
      <c r="B149" s="165" t="s">
        <v>782</v>
      </c>
      <c r="C149" s="166"/>
      <c r="D149" s="67" t="e">
        <f>'Savings Calculations'!$T$69-D147-D148</f>
        <v>#N/A</v>
      </c>
      <c r="E149" s="79"/>
      <c r="F149" s="79"/>
      <c r="G149" s="79"/>
      <c r="H149" s="79"/>
      <c r="I149" s="150"/>
      <c r="J149" s="162"/>
      <c r="K149" s="79"/>
      <c r="L149" s="79"/>
      <c r="M149" s="184"/>
      <c r="N149" s="70"/>
      <c r="O149" s="79"/>
      <c r="P149" s="79"/>
      <c r="Q149" s="79"/>
      <c r="R149" s="79"/>
      <c r="S149" s="79"/>
    </row>
    <row r="150" spans="1:19" s="19" customFormat="1" ht="12.75" customHeight="1">
      <c r="A150" s="76"/>
      <c r="B150" s="699"/>
      <c r="C150" s="611"/>
      <c r="D150" s="612"/>
      <c r="E150" s="79"/>
      <c r="F150" s="79"/>
      <c r="G150" s="79"/>
      <c r="H150" s="79"/>
      <c r="I150" s="150"/>
      <c r="J150" s="162"/>
      <c r="K150" s="79"/>
      <c r="L150" s="79"/>
      <c r="M150" s="184"/>
      <c r="N150" s="70"/>
      <c r="O150" s="79"/>
      <c r="P150" s="79"/>
      <c r="Q150" s="79"/>
      <c r="R150" s="79"/>
      <c r="S150" s="79"/>
    </row>
    <row r="151" spans="1:19" s="19" customFormat="1" ht="12.75" customHeight="1">
      <c r="A151" s="76"/>
      <c r="B151" s="165" t="s">
        <v>788</v>
      </c>
      <c r="C151" s="166"/>
      <c r="D151" s="68" t="e">
        <f>D149/(ElectricityCostSavings+NonEnergyBenefits+OandMReduction)</f>
        <v>#N/A</v>
      </c>
      <c r="E151" s="79"/>
      <c r="I151" s="79"/>
      <c r="J151" s="162"/>
      <c r="K151" s="79"/>
      <c r="L151" s="79"/>
      <c r="M151" s="184"/>
      <c r="N151" s="70"/>
      <c r="O151" s="79"/>
      <c r="P151" s="79"/>
      <c r="Q151" s="79"/>
      <c r="R151" s="79"/>
      <c r="S151" s="79"/>
    </row>
    <row r="152" spans="1:19" s="19" customFormat="1" ht="12.75" customHeight="1">
      <c r="A152" s="76"/>
      <c r="B152" s="168" t="s">
        <v>789</v>
      </c>
      <c r="C152" s="166"/>
      <c r="D152" s="66" t="e">
        <f>PV(DiscountRate,10,-ElectricityCostSavings-NonEnergyBenefits-OandMReduction)-'Savings Calculations'!$T$69+D147+TaxCreditNPV</f>
        <v>#N/A</v>
      </c>
      <c r="E152" s="79"/>
      <c r="I152" s="79"/>
      <c r="J152" s="162"/>
      <c r="K152" s="79"/>
      <c r="L152" s="79"/>
      <c r="M152" s="79"/>
      <c r="N152" s="70"/>
      <c r="O152" s="79"/>
      <c r="P152" s="79"/>
      <c r="Q152" s="79"/>
      <c r="R152" s="79"/>
      <c r="S152" s="79"/>
    </row>
    <row r="153" spans="1:19" s="19" customFormat="1" ht="12.75" customHeight="1">
      <c r="A153" s="76" t="s">
        <v>754</v>
      </c>
      <c r="B153" s="163" t="str">
        <f>"Estimated "&amp;J141&amp;" incentive:  "</f>
        <v>Estimated utility incentive:  </v>
      </c>
      <c r="C153" s="164"/>
      <c r="D153" s="65" t="e">
        <f>IF(IsBPAProject,$D$104,$D$105)</f>
        <v>#N/A</v>
      </c>
      <c r="E153" s="79"/>
      <c r="I153" s="79"/>
      <c r="J153" s="162"/>
      <c r="K153" s="79"/>
      <c r="L153" s="79"/>
      <c r="M153" s="79"/>
      <c r="N153" s="70"/>
      <c r="O153" s="79"/>
      <c r="P153" s="79"/>
      <c r="Q153" s="79"/>
      <c r="R153" s="79"/>
      <c r="S153" s="79"/>
    </row>
    <row r="154" spans="1:19" s="19" customFormat="1" ht="12.75" customHeight="1">
      <c r="A154" s="76"/>
      <c r="B154" s="165" t="s">
        <v>782</v>
      </c>
      <c r="C154" s="166"/>
      <c r="D154" s="67" t="e">
        <f>'Savings Calculations'!$T$69-D153</f>
        <v>#N/A</v>
      </c>
      <c r="E154" s="79"/>
      <c r="I154" s="79"/>
      <c r="J154" s="162"/>
      <c r="K154" s="79"/>
      <c r="L154" s="79"/>
      <c r="M154" s="79"/>
      <c r="N154" s="79"/>
      <c r="O154" s="79"/>
      <c r="P154" s="79"/>
      <c r="Q154" s="79"/>
      <c r="R154" s="79"/>
      <c r="S154" s="79"/>
    </row>
    <row r="155" spans="1:19" s="19" customFormat="1" ht="12.75" customHeight="1">
      <c r="A155" s="76"/>
      <c r="B155" s="699"/>
      <c r="C155" s="611"/>
      <c r="D155" s="612"/>
      <c r="E155" s="79"/>
      <c r="I155" s="79"/>
      <c r="J155" s="162"/>
      <c r="K155" s="79"/>
      <c r="L155" s="79"/>
      <c r="M155" s="79"/>
      <c r="N155" s="79"/>
      <c r="O155" s="79"/>
      <c r="P155" s="79"/>
      <c r="Q155" s="79"/>
      <c r="R155" s="79"/>
      <c r="S155" s="79"/>
    </row>
    <row r="156" spans="1:19" s="19" customFormat="1" ht="12.75" customHeight="1">
      <c r="A156" s="76"/>
      <c r="B156" s="699"/>
      <c r="C156" s="611"/>
      <c r="D156" s="612"/>
      <c r="E156" s="79"/>
      <c r="I156" s="79"/>
      <c r="J156" s="162"/>
      <c r="K156" s="79"/>
      <c r="L156" s="79"/>
      <c r="M156" s="79"/>
      <c r="N156" s="79"/>
      <c r="O156" s="79"/>
      <c r="P156" s="79"/>
      <c r="Q156" s="79"/>
      <c r="R156" s="79"/>
      <c r="S156" s="79"/>
    </row>
    <row r="157" spans="1:19" s="19" customFormat="1" ht="12.75" customHeight="1">
      <c r="A157" s="76"/>
      <c r="B157" s="165" t="s">
        <v>788</v>
      </c>
      <c r="C157" s="166"/>
      <c r="D157" s="68" t="e">
        <f>D154/(ElectricityCostSavings+NonEnergyBenefits+OandMReduction)</f>
        <v>#N/A</v>
      </c>
      <c r="E157" s="79"/>
      <c r="I157" s="79"/>
      <c r="J157" s="162"/>
      <c r="K157" s="79"/>
      <c r="L157" s="79"/>
      <c r="M157" s="79"/>
      <c r="N157" s="79"/>
      <c r="O157" s="79"/>
      <c r="P157" s="79"/>
      <c r="Q157" s="79"/>
      <c r="R157" s="79"/>
      <c r="S157" s="79"/>
    </row>
    <row r="158" spans="1:19" s="19" customFormat="1" ht="12.75" customHeight="1">
      <c r="A158" s="76"/>
      <c r="B158" s="168" t="s">
        <v>789</v>
      </c>
      <c r="C158" s="166"/>
      <c r="D158" s="66" t="e">
        <f>PV(DiscountRate,10,-ElectricityCostSavings-NonEnergyBenefits-OandMReduction)-'Savings Calculations'!$T$69+D153</f>
        <v>#N/A</v>
      </c>
      <c r="E158" s="79"/>
      <c r="F158" s="79"/>
      <c r="G158" s="79"/>
      <c r="H158" s="79"/>
      <c r="I158" s="79"/>
      <c r="J158" s="162"/>
      <c r="K158" s="79"/>
      <c r="L158" s="79"/>
      <c r="M158" s="79"/>
      <c r="N158" s="79"/>
      <c r="O158" s="79"/>
      <c r="P158" s="79"/>
      <c r="Q158" s="79"/>
      <c r="R158" s="79"/>
      <c r="S158" s="79"/>
    </row>
    <row r="159" spans="1:19" s="19" customFormat="1" ht="12.75" customHeight="1">
      <c r="A159" s="76" t="s">
        <v>772</v>
      </c>
      <c r="B159" s="163" t="str">
        <f>"Estimated "&amp;J141&amp;" incentive:  "</f>
        <v>Estimated utility incentive:  </v>
      </c>
      <c r="C159" s="164"/>
      <c r="D159" s="65" t="e">
        <f>IF(IsBPAProject,$D$104,$D$105)</f>
        <v>#N/A</v>
      </c>
      <c r="E159" s="79"/>
      <c r="F159" s="79"/>
      <c r="G159" s="79"/>
      <c r="H159" s="79"/>
      <c r="I159" s="79"/>
      <c r="J159" s="162"/>
      <c r="K159" s="79"/>
      <c r="L159" s="79"/>
      <c r="M159" s="79"/>
      <c r="N159" s="79"/>
      <c r="O159" s="79"/>
      <c r="P159" s="79"/>
      <c r="Q159" s="79"/>
      <c r="R159" s="79"/>
      <c r="S159" s="79"/>
    </row>
    <row r="160" spans="1:19" s="19" customFormat="1" ht="12.75" customHeight="1">
      <c r="A160" s="76" t="s">
        <v>753</v>
      </c>
      <c r="B160" s="165" t="s">
        <v>783</v>
      </c>
      <c r="C160" s="166"/>
      <c r="D160" s="66">
        <f>$D$103</f>
        <v>0</v>
      </c>
      <c r="E160" s="79"/>
      <c r="F160" s="79"/>
      <c r="G160" s="79"/>
      <c r="H160" s="79"/>
      <c r="I160" s="79"/>
      <c r="J160" s="162"/>
      <c r="K160" s="79"/>
      <c r="L160" s="79"/>
      <c r="M160" s="79"/>
      <c r="N160" s="79"/>
      <c r="O160" s="79"/>
      <c r="P160" s="79"/>
      <c r="Q160" s="79"/>
      <c r="R160" s="79"/>
      <c r="S160" s="79"/>
    </row>
    <row r="161" spans="1:19" s="19" customFormat="1" ht="12.75" customHeight="1">
      <c r="A161" s="76"/>
      <c r="B161" s="168" t="s">
        <v>963</v>
      </c>
      <c r="C161" s="166"/>
      <c r="D161" s="66">
        <f>$B$37</f>
        <v>0</v>
      </c>
      <c r="E161" s="79"/>
      <c r="F161" s="79"/>
      <c r="G161" s="79"/>
      <c r="H161" s="79"/>
      <c r="I161" s="79"/>
      <c r="J161" s="162"/>
      <c r="K161" s="79"/>
      <c r="L161" s="79"/>
      <c r="M161" s="79"/>
      <c r="N161" s="79"/>
      <c r="O161" s="79"/>
      <c r="P161" s="79"/>
      <c r="Q161" s="79"/>
      <c r="R161" s="79"/>
      <c r="S161" s="79"/>
    </row>
    <row r="162" spans="1:19" s="19" customFormat="1" ht="12.75" customHeight="1">
      <c r="A162" s="76"/>
      <c r="B162" s="165" t="s">
        <v>782</v>
      </c>
      <c r="C162" s="166"/>
      <c r="D162" s="67" t="e">
        <f>'Savings Calculations'!$T$69-D159-D160-D161</f>
        <v>#N/A</v>
      </c>
      <c r="E162" s="79"/>
      <c r="F162" s="79"/>
      <c r="G162" s="79"/>
      <c r="H162" s="79"/>
      <c r="I162" s="79"/>
      <c r="J162" s="162"/>
      <c r="K162" s="79"/>
      <c r="L162" s="79"/>
      <c r="M162" s="79"/>
      <c r="N162" s="79"/>
      <c r="O162" s="79"/>
      <c r="P162" s="79"/>
      <c r="Q162" s="79"/>
      <c r="R162" s="79"/>
      <c r="S162" s="79"/>
    </row>
    <row r="163" spans="1:19" s="19" customFormat="1" ht="12.75" customHeight="1">
      <c r="A163" s="76"/>
      <c r="B163" s="165" t="s">
        <v>788</v>
      </c>
      <c r="C163" s="166"/>
      <c r="D163" s="68" t="e">
        <f>D162/(ElectricityCostSavings+NonEnergyBenefits+OandMReduction)</f>
        <v>#N/A</v>
      </c>
      <c r="E163" s="79"/>
      <c r="F163" s="79"/>
      <c r="G163" s="79"/>
      <c r="H163" s="79"/>
      <c r="I163" s="79"/>
      <c r="J163" s="162"/>
      <c r="K163" s="79"/>
      <c r="L163" s="79"/>
      <c r="M163" s="79"/>
      <c r="N163" s="79"/>
      <c r="O163" s="79"/>
      <c r="P163" s="79"/>
      <c r="Q163" s="79"/>
      <c r="R163" s="79"/>
      <c r="S163" s="79"/>
    </row>
    <row r="164" spans="1:19" s="19" customFormat="1" ht="12.75" customHeight="1">
      <c r="A164" s="76"/>
      <c r="B164" s="181" t="s">
        <v>789</v>
      </c>
      <c r="C164" s="182"/>
      <c r="D164" s="66" t="e">
        <f>PV(DiscountRate,10,-ElectricityCostSavings-NonEnergyBenefits-OandMReduction)-'Savings Calculations'!$T$69+D159+TaxCreditNPV+D161</f>
        <v>#N/A</v>
      </c>
      <c r="E164" s="79"/>
      <c r="F164" s="79"/>
      <c r="G164" s="79"/>
      <c r="H164" s="79"/>
      <c r="I164" s="79"/>
      <c r="J164" s="162"/>
      <c r="K164" s="79"/>
      <c r="L164" s="79"/>
      <c r="M164" s="79"/>
      <c r="N164" s="79"/>
      <c r="O164" s="79"/>
      <c r="P164" s="79"/>
      <c r="Q164" s="79"/>
      <c r="R164" s="79"/>
      <c r="S164" s="79"/>
    </row>
    <row r="165" spans="1:19" s="19" customFormat="1" ht="12.75" customHeight="1">
      <c r="A165" s="76" t="s">
        <v>773</v>
      </c>
      <c r="B165" s="163" t="str">
        <f>"Estimated "&amp;J141&amp;" incentive:  "</f>
        <v>Estimated utility incentive:  </v>
      </c>
      <c r="C165" s="164"/>
      <c r="D165" s="65" t="e">
        <f>IF(IsBPAProject,$D$104,$D$105)</f>
        <v>#N/A</v>
      </c>
      <c r="E165" s="79"/>
      <c r="F165" s="79"/>
      <c r="G165" s="79"/>
      <c r="H165" s="79"/>
      <c r="I165" s="79"/>
      <c r="J165" s="162"/>
      <c r="K165" s="79"/>
      <c r="L165" s="79"/>
      <c r="M165" s="79"/>
      <c r="N165" s="79"/>
      <c r="O165" s="79"/>
      <c r="P165" s="79"/>
      <c r="Q165" s="79"/>
      <c r="R165" s="79"/>
      <c r="S165" s="79"/>
    </row>
    <row r="166" spans="1:19" s="19" customFormat="1" ht="12.75" customHeight="1">
      <c r="A166" s="76" t="s">
        <v>753</v>
      </c>
      <c r="B166" s="168" t="s">
        <v>963</v>
      </c>
      <c r="C166" s="166"/>
      <c r="D166" s="66">
        <f>$B$37</f>
        <v>0</v>
      </c>
      <c r="E166" s="79"/>
      <c r="F166" s="79"/>
      <c r="G166" s="79"/>
      <c r="H166" s="79"/>
      <c r="I166" s="70"/>
      <c r="J166" s="162"/>
      <c r="K166" s="79"/>
      <c r="L166" s="79"/>
      <c r="M166" s="79"/>
      <c r="N166" s="79"/>
      <c r="O166" s="79"/>
      <c r="P166" s="79"/>
      <c r="Q166" s="79"/>
      <c r="R166" s="79"/>
      <c r="S166" s="79"/>
    </row>
    <row r="167" spans="1:19" s="19" customFormat="1" ht="12.75" customHeight="1">
      <c r="A167" s="76"/>
      <c r="B167" s="165" t="s">
        <v>782</v>
      </c>
      <c r="C167" s="166"/>
      <c r="D167" s="67" t="e">
        <f>'Savings Calculations'!$T$69-D165-D166</f>
        <v>#N/A</v>
      </c>
      <c r="E167" s="79"/>
      <c r="F167" s="79"/>
      <c r="G167" s="79"/>
      <c r="H167" s="79"/>
      <c r="I167" s="70"/>
      <c r="J167" s="185"/>
      <c r="K167" s="70"/>
      <c r="L167" s="70"/>
      <c r="M167" s="70"/>
      <c r="N167" s="79"/>
      <c r="O167" s="79"/>
      <c r="P167" s="79"/>
      <c r="Q167" s="79"/>
      <c r="R167" s="79"/>
      <c r="S167" s="79"/>
    </row>
    <row r="168" spans="1:52" ht="12.75" customHeight="1">
      <c r="A168" s="76"/>
      <c r="B168" s="165" t="s">
        <v>788</v>
      </c>
      <c r="C168" s="166"/>
      <c r="D168" s="68" t="e">
        <f>D167/(ElectricityCostSavings+NonEnergyBenefits+OandMReduction)</f>
        <v>#N/A</v>
      </c>
      <c r="E168" s="79"/>
      <c r="F168" s="79"/>
      <c r="G168" s="79"/>
      <c r="H168" s="79"/>
      <c r="I168" s="70"/>
      <c r="J168" s="70"/>
      <c r="K168" s="70"/>
      <c r="L168" s="70"/>
      <c r="M168" s="70"/>
      <c r="N168" s="79"/>
      <c r="O168" s="79"/>
      <c r="P168" s="79"/>
      <c r="Q168" s="79"/>
      <c r="R168" s="79"/>
      <c r="S168" s="79"/>
      <c r="T168" s="19"/>
      <c r="U168" s="19"/>
      <c r="V168" s="19"/>
      <c r="W168" s="19"/>
      <c r="X168" s="19"/>
      <c r="Y168" s="19"/>
      <c r="Z168" s="19"/>
      <c r="AA168" s="19"/>
      <c r="AB168" s="19"/>
      <c r="AC168" s="19"/>
      <c r="AD168" s="19"/>
      <c r="AE168" s="19"/>
      <c r="AF168" s="19"/>
      <c r="AG168" s="19"/>
      <c r="AH168" s="19"/>
      <c r="AI168" s="19"/>
      <c r="AJ168" s="19"/>
      <c r="AK168" s="19"/>
      <c r="AL168" s="19"/>
      <c r="AM168" s="19"/>
      <c r="AN168" s="19"/>
      <c r="AO168" s="19"/>
      <c r="AP168" s="19"/>
      <c r="AQ168" s="19"/>
      <c r="AR168" s="19"/>
      <c r="AS168" s="19"/>
      <c r="AT168" s="19"/>
      <c r="AU168" s="19"/>
      <c r="AV168" s="19"/>
      <c r="AW168" s="19"/>
      <c r="AX168" s="19"/>
      <c r="AY168" s="19"/>
      <c r="AZ168" s="19"/>
    </row>
    <row r="169" spans="1:52" ht="13.5" customHeight="1">
      <c r="A169" s="76"/>
      <c r="B169" s="181" t="s">
        <v>789</v>
      </c>
      <c r="C169" s="182"/>
      <c r="D169" s="69" t="e">
        <f>PV(DiscountRate,10,-ElectricityCostSavings-NonEnergyBenefits-OandMReduction)-'Savings Calculations'!$T$69+D165+D166</f>
        <v>#N/A</v>
      </c>
      <c r="E169" s="79"/>
      <c r="F169" s="79"/>
      <c r="G169" s="79"/>
      <c r="H169" s="79"/>
      <c r="I169" s="70"/>
      <c r="J169" s="70"/>
      <c r="K169" s="70"/>
      <c r="L169" s="70"/>
      <c r="M169" s="70"/>
      <c r="N169" s="79"/>
      <c r="O169" s="79"/>
      <c r="P169" s="79"/>
      <c r="Q169" s="79"/>
      <c r="R169" s="79"/>
      <c r="S169" s="79"/>
      <c r="T169" s="19"/>
      <c r="U169" s="19"/>
      <c r="V169" s="19"/>
      <c r="W169" s="19"/>
      <c r="X169" s="19"/>
      <c r="Y169" s="19"/>
      <c r="Z169" s="19"/>
      <c r="AA169" s="19"/>
      <c r="AB169" s="19"/>
      <c r="AC169" s="19"/>
      <c r="AD169" s="19"/>
      <c r="AE169" s="19"/>
      <c r="AF169" s="19"/>
      <c r="AG169" s="19"/>
      <c r="AH169" s="19"/>
      <c r="AI169" s="19"/>
      <c r="AJ169" s="19"/>
      <c r="AK169" s="19"/>
      <c r="AL169" s="19"/>
      <c r="AM169" s="19"/>
      <c r="AN169" s="19"/>
      <c r="AO169" s="19"/>
      <c r="AP169" s="19"/>
      <c r="AQ169" s="19"/>
      <c r="AR169" s="19"/>
      <c r="AS169" s="19"/>
      <c r="AT169" s="19"/>
      <c r="AU169" s="19"/>
      <c r="AV169" s="19"/>
      <c r="AW169" s="19"/>
      <c r="AX169" s="19"/>
      <c r="AY169" s="19"/>
      <c r="AZ169" s="19"/>
    </row>
    <row r="170" spans="1:52" ht="13.5" customHeight="1">
      <c r="A170" s="76"/>
      <c r="E170" s="79"/>
      <c r="F170" s="79"/>
      <c r="G170" s="79"/>
      <c r="H170" s="79"/>
      <c r="I170" s="70"/>
      <c r="J170" s="70"/>
      <c r="K170" s="70"/>
      <c r="L170" s="70"/>
      <c r="M170" s="70"/>
      <c r="N170" s="79"/>
      <c r="O170" s="79"/>
      <c r="P170" s="79"/>
      <c r="Q170" s="79"/>
      <c r="R170" s="79"/>
      <c r="S170" s="79"/>
      <c r="T170" s="19"/>
      <c r="U170" s="19"/>
      <c r="V170" s="19"/>
      <c r="W170" s="19"/>
      <c r="X170" s="19"/>
      <c r="Y170" s="19"/>
      <c r="Z170" s="19"/>
      <c r="AA170" s="19"/>
      <c r="AB170" s="19"/>
      <c r="AC170" s="19"/>
      <c r="AD170" s="19"/>
      <c r="AE170" s="19"/>
      <c r="AF170" s="19"/>
      <c r="AG170" s="19"/>
      <c r="AH170" s="19"/>
      <c r="AI170" s="19"/>
      <c r="AJ170" s="19"/>
      <c r="AK170" s="19"/>
      <c r="AL170" s="19"/>
      <c r="AM170" s="19"/>
      <c r="AN170" s="19"/>
      <c r="AO170" s="19"/>
      <c r="AP170" s="19"/>
      <c r="AQ170" s="19"/>
      <c r="AR170" s="19"/>
      <c r="AS170" s="19"/>
      <c r="AT170" s="19"/>
      <c r="AU170" s="19"/>
      <c r="AV170" s="19"/>
      <c r="AW170" s="19"/>
      <c r="AX170" s="19"/>
      <c r="AY170" s="19"/>
      <c r="AZ170" s="19"/>
    </row>
    <row r="171" spans="1:21" ht="17.25" customHeight="1">
      <c r="A171" s="79"/>
      <c r="B171" s="79"/>
      <c r="C171" s="79"/>
      <c r="D171" s="79"/>
      <c r="E171" s="79"/>
      <c r="F171" s="79"/>
      <c r="G171" s="79"/>
      <c r="H171" s="79"/>
      <c r="I171" s="70"/>
      <c r="J171" s="70"/>
      <c r="K171" s="70"/>
      <c r="L171" s="70"/>
      <c r="M171" s="70"/>
      <c r="N171" s="79"/>
      <c r="O171" s="79"/>
      <c r="P171" s="79"/>
      <c r="Q171" s="79"/>
      <c r="R171" s="79"/>
      <c r="S171" s="79"/>
      <c r="T171" s="19"/>
      <c r="U171" s="19"/>
    </row>
    <row r="172" spans="1:37" ht="13.5" customHeight="1" thickBot="1">
      <c r="A172" s="278"/>
      <c r="B172" s="278"/>
      <c r="C172" s="278"/>
      <c r="D172" s="278"/>
      <c r="E172" s="278"/>
      <c r="F172" s="278"/>
      <c r="G172" s="278"/>
      <c r="H172" s="278"/>
      <c r="I172" s="209"/>
      <c r="J172" s="209"/>
      <c r="K172" s="209"/>
      <c r="L172" s="209"/>
      <c r="M172" s="209"/>
      <c r="N172" s="278"/>
      <c r="O172" s="278"/>
      <c r="P172" s="278"/>
      <c r="Q172" s="278"/>
      <c r="R172" s="278"/>
      <c r="S172" s="278"/>
      <c r="T172" s="278"/>
      <c r="U172" s="79"/>
      <c r="V172" s="70"/>
      <c r="W172" s="70"/>
      <c r="X172" s="70"/>
      <c r="Y172" s="70"/>
      <c r="Z172" s="70"/>
      <c r="AA172" s="70"/>
      <c r="AB172" s="70"/>
      <c r="AC172" s="70"/>
      <c r="AD172" s="70"/>
      <c r="AE172" s="70"/>
      <c r="AF172" s="70"/>
      <c r="AG172" s="70"/>
      <c r="AH172" s="70"/>
      <c r="AI172" s="70"/>
      <c r="AJ172" s="70"/>
      <c r="AK172" s="70"/>
    </row>
    <row r="173" spans="1:37" ht="18.75" customHeight="1" thickBot="1">
      <c r="A173" s="146" t="s">
        <v>948</v>
      </c>
      <c r="B173" s="70"/>
      <c r="C173" s="896" t="s">
        <v>1207</v>
      </c>
      <c r="D173" s="897">
        <v>42010</v>
      </c>
      <c r="E173" s="898"/>
      <c r="F173" s="898"/>
      <c r="G173" s="898"/>
      <c r="H173" s="898"/>
      <c r="I173" s="898"/>
      <c r="J173" s="898"/>
      <c r="K173" s="898"/>
      <c r="L173" s="898"/>
      <c r="M173" s="898"/>
      <c r="N173" s="898"/>
      <c r="O173" s="898"/>
      <c r="P173" s="898"/>
      <c r="Q173" s="898"/>
      <c r="R173" s="899"/>
      <c r="S173" s="899"/>
      <c r="T173" s="899"/>
      <c r="U173" s="899"/>
      <c r="V173" s="899"/>
      <c r="W173" s="898"/>
      <c r="X173" s="70"/>
      <c r="Y173" s="70"/>
      <c r="Z173" s="70"/>
      <c r="AA173" s="70"/>
      <c r="AB173" s="70"/>
      <c r="AC173" s="70"/>
      <c r="AD173" s="70"/>
      <c r="AE173" s="70"/>
      <c r="AF173" s="70"/>
      <c r="AG173" s="70"/>
      <c r="AH173" s="70"/>
      <c r="AI173" s="70"/>
      <c r="AJ173" s="70"/>
      <c r="AK173" s="70"/>
    </row>
    <row r="174" spans="1:37" ht="15.75" thickBot="1">
      <c r="A174" s="186" t="s">
        <v>678</v>
      </c>
      <c r="B174" s="57" t="s">
        <v>376</v>
      </c>
      <c r="C174" s="900"/>
      <c r="D174" s="899"/>
      <c r="E174" s="493"/>
      <c r="F174" s="901"/>
      <c r="G174" s="898"/>
      <c r="I174" s="1239" t="s">
        <v>1208</v>
      </c>
      <c r="J174" s="1208" t="s">
        <v>1209</v>
      </c>
      <c r="K174" s="1209"/>
      <c r="L174" s="1209"/>
      <c r="M174" s="1209"/>
      <c r="N174" s="1209"/>
      <c r="O174" s="1209"/>
      <c r="P174" s="1209"/>
      <c r="Q174" s="1210"/>
      <c r="S174" s="902" t="s">
        <v>1210</v>
      </c>
      <c r="T174" s="282"/>
      <c r="U174" s="282"/>
      <c r="V174" s="282"/>
      <c r="W174" s="898"/>
      <c r="X174" s="70"/>
      <c r="Y174" s="70"/>
      <c r="Z174" s="70"/>
      <c r="AA174" s="70"/>
      <c r="AB174" s="70"/>
      <c r="AC174" s="70"/>
      <c r="AD174" s="70"/>
      <c r="AE174" s="70"/>
      <c r="AF174" s="70"/>
      <c r="AG174" s="70"/>
      <c r="AH174" s="70"/>
      <c r="AI174" s="70"/>
      <c r="AJ174" s="70"/>
      <c r="AK174" s="70"/>
    </row>
    <row r="175" spans="1:37" ht="12.75" customHeight="1" thickBot="1">
      <c r="A175" s="187" t="s">
        <v>377</v>
      </c>
      <c r="B175" s="58" t="s">
        <v>378</v>
      </c>
      <c r="C175" s="1008" t="s">
        <v>1316</v>
      </c>
      <c r="D175" s="899"/>
      <c r="E175" s="493"/>
      <c r="F175" s="901"/>
      <c r="G175" s="903"/>
      <c r="I175" s="1240"/>
      <c r="J175" s="1211"/>
      <c r="K175" s="1212"/>
      <c r="L175" s="1212"/>
      <c r="M175" s="1212"/>
      <c r="N175" s="1212"/>
      <c r="O175" s="1212"/>
      <c r="P175" s="1212"/>
      <c r="Q175" s="1213"/>
      <c r="S175" s="904" t="s">
        <v>1211</v>
      </c>
      <c r="T175" s="905" t="s">
        <v>1212</v>
      </c>
      <c r="U175" s="905" t="s">
        <v>1213</v>
      </c>
      <c r="V175" s="906" t="s">
        <v>1214</v>
      </c>
      <c r="W175" s="898"/>
      <c r="X175" s="70"/>
      <c r="Y175" s="70"/>
      <c r="Z175" s="70"/>
      <c r="AA175" s="70"/>
      <c r="AB175" s="70"/>
      <c r="AC175" s="70"/>
      <c r="AD175" s="70"/>
      <c r="AE175" s="70"/>
      <c r="AF175" s="70"/>
      <c r="AG175" s="70"/>
      <c r="AH175" s="70"/>
      <c r="AI175" s="70"/>
      <c r="AJ175" s="70"/>
      <c r="AK175" s="70"/>
    </row>
    <row r="176" spans="1:37" ht="12.75" customHeight="1" thickBot="1">
      <c r="A176" s="187" t="s">
        <v>379</v>
      </c>
      <c r="B176" s="59">
        <f>ElectricityRate</f>
        <v>0.045</v>
      </c>
      <c r="C176" s="907"/>
      <c r="D176" s="899"/>
      <c r="E176" s="493"/>
      <c r="F176" s="901"/>
      <c r="G176" s="908"/>
      <c r="I176" s="909" t="s">
        <v>1211</v>
      </c>
      <c r="J176" s="910">
        <v>0</v>
      </c>
      <c r="K176" s="911">
        <v>10</v>
      </c>
      <c r="L176" s="911">
        <v>20</v>
      </c>
      <c r="M176" s="911">
        <v>30</v>
      </c>
      <c r="N176" s="911">
        <v>40</v>
      </c>
      <c r="O176" s="911">
        <v>50</v>
      </c>
      <c r="P176" s="911">
        <v>60</v>
      </c>
      <c r="Q176" s="911">
        <v>70</v>
      </c>
      <c r="S176" s="912" t="s">
        <v>1215</v>
      </c>
      <c r="T176" s="913">
        <v>0</v>
      </c>
      <c r="U176" s="914" t="s">
        <v>1216</v>
      </c>
      <c r="V176" s="915">
        <v>0</v>
      </c>
      <c r="W176" s="898"/>
      <c r="X176" s="70"/>
      <c r="Y176" s="70"/>
      <c r="Z176" s="70"/>
      <c r="AA176" s="70"/>
      <c r="AB176" s="70"/>
      <c r="AC176" s="70"/>
      <c r="AD176" s="70"/>
      <c r="AE176" s="70"/>
      <c r="AF176" s="70"/>
      <c r="AG176" s="70"/>
      <c r="AH176" s="70"/>
      <c r="AI176" s="70"/>
      <c r="AJ176" s="70"/>
      <c r="AK176" s="70"/>
    </row>
    <row r="177" spans="1:37" ht="12.75" customHeight="1">
      <c r="A177" s="187" t="s">
        <v>380</v>
      </c>
      <c r="B177" s="58" t="s">
        <v>416</v>
      </c>
      <c r="C177" s="900"/>
      <c r="D177" s="899"/>
      <c r="E177" s="493"/>
      <c r="F177" s="901"/>
      <c r="G177" s="916"/>
      <c r="I177" s="917" t="s">
        <v>1217</v>
      </c>
      <c r="J177" s="918">
        <v>0</v>
      </c>
      <c r="K177" s="918">
        <v>0.57</v>
      </c>
      <c r="L177" s="918">
        <v>1.02</v>
      </c>
      <c r="M177" s="918">
        <v>1.31</v>
      </c>
      <c r="N177" s="918">
        <v>1.5</v>
      </c>
      <c r="O177" s="918">
        <v>1.62</v>
      </c>
      <c r="P177" s="918">
        <v>1.7</v>
      </c>
      <c r="Q177" s="918">
        <v>1.75</v>
      </c>
      <c r="S177" s="919" t="s">
        <v>1215</v>
      </c>
      <c r="T177" s="884">
        <v>10</v>
      </c>
      <c r="U177" s="920" t="s">
        <v>1218</v>
      </c>
      <c r="V177" s="921">
        <v>3.93</v>
      </c>
      <c r="W177" s="898"/>
      <c r="X177" s="70"/>
      <c r="Y177" s="70"/>
      <c r="Z177" s="70"/>
      <c r="AA177" s="70"/>
      <c r="AB177" s="70"/>
      <c r="AC177" s="70"/>
      <c r="AD177" s="70"/>
      <c r="AE177" s="70"/>
      <c r="AF177" s="70"/>
      <c r="AG177" s="70"/>
      <c r="AH177" s="70"/>
      <c r="AI177" s="70"/>
      <c r="AJ177" s="70"/>
      <c r="AK177" s="70"/>
    </row>
    <row r="178" spans="1:37" ht="12.75" customHeight="1">
      <c r="A178" s="187" t="s">
        <v>381</v>
      </c>
      <c r="B178" s="59">
        <f>GasPrice</f>
        <v>1.15</v>
      </c>
      <c r="C178" s="907"/>
      <c r="D178" s="899"/>
      <c r="E178" s="443"/>
      <c r="F178" s="901"/>
      <c r="G178" s="916"/>
      <c r="I178" s="917" t="s">
        <v>1219</v>
      </c>
      <c r="J178" s="918">
        <v>0</v>
      </c>
      <c r="K178" s="918">
        <v>0.52</v>
      </c>
      <c r="L178" s="918">
        <v>0.94</v>
      </c>
      <c r="M178" s="918">
        <v>1.22</v>
      </c>
      <c r="N178" s="918">
        <v>1.39</v>
      </c>
      <c r="O178" s="918">
        <v>1.5</v>
      </c>
      <c r="P178" s="918">
        <v>1.58</v>
      </c>
      <c r="Q178" s="918">
        <v>1.62</v>
      </c>
      <c r="S178" s="919" t="s">
        <v>1215</v>
      </c>
      <c r="T178" s="884">
        <v>20</v>
      </c>
      <c r="U178" s="920" t="s">
        <v>1220</v>
      </c>
      <c r="V178" s="921">
        <v>6.7</v>
      </c>
      <c r="W178" s="898"/>
      <c r="X178" s="70"/>
      <c r="Y178" s="70"/>
      <c r="Z178" s="70"/>
      <c r="AA178" s="70"/>
      <c r="AB178" s="70"/>
      <c r="AC178" s="70"/>
      <c r="AD178" s="70"/>
      <c r="AE178" s="70"/>
      <c r="AF178" s="70"/>
      <c r="AG178" s="70"/>
      <c r="AH178" s="70"/>
      <c r="AI178" s="70"/>
      <c r="AJ178" s="70"/>
      <c r="AK178" s="70"/>
    </row>
    <row r="179" spans="1:37" ht="12.75" customHeight="1" thickBot="1">
      <c r="A179" s="190" t="s">
        <v>680</v>
      </c>
      <c r="B179" s="58" t="s">
        <v>681</v>
      </c>
      <c r="C179" s="922" t="s">
        <v>1221</v>
      </c>
      <c r="D179" s="899"/>
      <c r="E179" s="443"/>
      <c r="F179" s="901"/>
      <c r="G179" s="923"/>
      <c r="I179" s="917" t="s">
        <v>1222</v>
      </c>
      <c r="J179" s="918">
        <v>0</v>
      </c>
      <c r="K179" s="918">
        <v>0.58</v>
      </c>
      <c r="L179" s="918">
        <v>1.04</v>
      </c>
      <c r="M179" s="918">
        <v>1.34</v>
      </c>
      <c r="N179" s="918">
        <v>1.53</v>
      </c>
      <c r="O179" s="918">
        <v>1.66</v>
      </c>
      <c r="P179" s="918">
        <v>1.74</v>
      </c>
      <c r="Q179" s="918">
        <v>1.79</v>
      </c>
      <c r="S179" s="919" t="s">
        <v>1215</v>
      </c>
      <c r="T179" s="884">
        <v>30</v>
      </c>
      <c r="U179" s="920" t="s">
        <v>1223</v>
      </c>
      <c r="V179" s="921">
        <v>8.49</v>
      </c>
      <c r="W179" s="898"/>
      <c r="X179" s="70"/>
      <c r="Y179" s="70"/>
      <c r="Z179" s="70"/>
      <c r="AA179" s="70"/>
      <c r="AB179" s="70"/>
      <c r="AC179" s="70"/>
      <c r="AD179" s="70"/>
      <c r="AE179" s="70"/>
      <c r="AF179" s="70"/>
      <c r="AG179" s="70"/>
      <c r="AH179" s="70"/>
      <c r="AI179" s="70"/>
      <c r="AJ179" s="70"/>
      <c r="AK179" s="70"/>
    </row>
    <row r="180" spans="1:37" ht="15">
      <c r="A180" s="190" t="s">
        <v>382</v>
      </c>
      <c r="B180" s="58" t="s">
        <v>383</v>
      </c>
      <c r="C180" s="924" t="s">
        <v>1224</v>
      </c>
      <c r="D180" s="899"/>
      <c r="E180" s="545"/>
      <c r="F180" s="925" t="s">
        <v>1225</v>
      </c>
      <c r="G180" s="926">
        <f>ROUNDUP(MeasureLife,-1)</f>
        <v>20</v>
      </c>
      <c r="I180" s="917" t="s">
        <v>1226</v>
      </c>
      <c r="J180" s="918">
        <v>0</v>
      </c>
      <c r="K180" s="918">
        <v>0.57</v>
      </c>
      <c r="L180" s="918">
        <v>1.03</v>
      </c>
      <c r="M180" s="918">
        <v>1.33</v>
      </c>
      <c r="N180" s="918">
        <v>1.52</v>
      </c>
      <c r="O180" s="918">
        <v>1.64</v>
      </c>
      <c r="P180" s="918">
        <v>1.72</v>
      </c>
      <c r="Q180" s="918">
        <v>1.77</v>
      </c>
      <c r="S180" s="919" t="s">
        <v>1215</v>
      </c>
      <c r="T180" s="884">
        <v>40</v>
      </c>
      <c r="U180" s="920" t="s">
        <v>1227</v>
      </c>
      <c r="V180" s="921">
        <v>9.65</v>
      </c>
      <c r="W180" s="898"/>
      <c r="X180" s="70"/>
      <c r="Y180" s="70"/>
      <c r="Z180" s="70"/>
      <c r="AA180" s="70"/>
      <c r="AB180" s="70"/>
      <c r="AC180" s="70"/>
      <c r="AD180" s="70"/>
      <c r="AE180" s="70"/>
      <c r="AF180" s="70"/>
      <c r="AG180" s="70"/>
      <c r="AH180" s="70"/>
      <c r="AI180" s="70"/>
      <c r="AJ180" s="70"/>
      <c r="AK180" s="70"/>
    </row>
    <row r="181" spans="1:37" ht="15.75" thickBot="1">
      <c r="A181" s="191"/>
      <c r="B181" s="122"/>
      <c r="C181" s="899"/>
      <c r="D181" s="927"/>
      <c r="E181" s="928"/>
      <c r="F181" s="929" t="s">
        <v>1228</v>
      </c>
      <c r="G181" s="930">
        <f>ROUNDDOWN(MeasureLife,-1)</f>
        <v>10</v>
      </c>
      <c r="I181" s="917" t="s">
        <v>1229</v>
      </c>
      <c r="J181" s="918">
        <v>0</v>
      </c>
      <c r="K181" s="918">
        <v>0.55</v>
      </c>
      <c r="L181" s="918">
        <v>0.98</v>
      </c>
      <c r="M181" s="918">
        <v>1.26</v>
      </c>
      <c r="N181" s="918">
        <v>1.45</v>
      </c>
      <c r="O181" s="918">
        <v>1.57</v>
      </c>
      <c r="P181" s="918">
        <v>1.64</v>
      </c>
      <c r="Q181" s="918">
        <v>1.69</v>
      </c>
      <c r="S181" s="919" t="s">
        <v>1215</v>
      </c>
      <c r="T181" s="884">
        <v>50</v>
      </c>
      <c r="U181" s="920" t="s">
        <v>1230</v>
      </c>
      <c r="V181" s="921">
        <v>10.39</v>
      </c>
      <c r="W181" s="898"/>
      <c r="X181" s="70"/>
      <c r="Y181" s="70"/>
      <c r="Z181" s="70"/>
      <c r="AA181" s="70"/>
      <c r="AB181" s="70"/>
      <c r="AC181" s="70"/>
      <c r="AD181" s="70"/>
      <c r="AE181" s="70"/>
      <c r="AF181" s="70"/>
      <c r="AG181" s="70"/>
      <c r="AH181" s="70"/>
      <c r="AI181" s="70"/>
      <c r="AJ181" s="70"/>
      <c r="AK181" s="70"/>
    </row>
    <row r="182" spans="1:37" ht="15">
      <c r="A182" s="192"/>
      <c r="B182" s="56" t="s">
        <v>421</v>
      </c>
      <c r="C182" s="931"/>
      <c r="D182" s="899"/>
      <c r="E182" s="1214" t="s">
        <v>679</v>
      </c>
      <c r="F182" s="932" t="s">
        <v>1231</v>
      </c>
      <c r="G182" s="930">
        <f>VLOOKUP(B190,$I$177:$Q$181,HLOOKUP(G180,J176:Q182,7),FALSE)</f>
        <v>1.04</v>
      </c>
      <c r="I182" s="933" t="s">
        <v>1232</v>
      </c>
      <c r="J182" s="934">
        <v>2</v>
      </c>
      <c r="K182" s="934">
        <v>3</v>
      </c>
      <c r="L182" s="934">
        <v>4</v>
      </c>
      <c r="M182" s="934">
        <v>5</v>
      </c>
      <c r="N182" s="934">
        <v>6</v>
      </c>
      <c r="O182" s="934">
        <v>7</v>
      </c>
      <c r="P182" s="934">
        <v>8</v>
      </c>
      <c r="Q182" s="934">
        <v>9</v>
      </c>
      <c r="S182" s="919" t="s">
        <v>1215</v>
      </c>
      <c r="T182" s="884">
        <v>60</v>
      </c>
      <c r="U182" s="920" t="s">
        <v>1233</v>
      </c>
      <c r="V182" s="921">
        <v>10.87</v>
      </c>
      <c r="W182" s="898"/>
      <c r="X182" s="70"/>
      <c r="Y182" s="70"/>
      <c r="Z182" s="70"/>
      <c r="AA182" s="70"/>
      <c r="AB182" s="70"/>
      <c r="AC182" s="70"/>
      <c r="AD182" s="70"/>
      <c r="AE182" s="70"/>
      <c r="AF182" s="70"/>
      <c r="AG182" s="70"/>
      <c r="AH182" s="70"/>
      <c r="AI182" s="70"/>
      <c r="AJ182" s="70"/>
      <c r="AK182" s="70"/>
    </row>
    <row r="183" spans="1:37" ht="19.5" customHeight="1" thickBot="1">
      <c r="A183" s="187" t="s">
        <v>384</v>
      </c>
      <c r="B183" s="873" t="e">
        <f>IF(kWhSaved="",0,kWhSaved)</f>
        <v>#N/A</v>
      </c>
      <c r="C183" s="935"/>
      <c r="D183" s="899"/>
      <c r="E183" s="1215"/>
      <c r="F183" s="936" t="s">
        <v>1234</v>
      </c>
      <c r="G183" s="937">
        <f>VLOOKUP(B190,$I$177:$Q$181,HLOOKUP(G181,J176:Q182,7),FALSE)</f>
        <v>0.58</v>
      </c>
      <c r="S183" s="919" t="s">
        <v>1215</v>
      </c>
      <c r="T183" s="884">
        <v>70</v>
      </c>
      <c r="U183" s="920" t="s">
        <v>1235</v>
      </c>
      <c r="V183" s="921">
        <v>11.17</v>
      </c>
      <c r="W183" s="898"/>
      <c r="X183" s="70"/>
      <c r="Y183" s="70"/>
      <c r="Z183" s="70"/>
      <c r="AA183" s="70"/>
      <c r="AB183" s="70"/>
      <c r="AC183" s="70"/>
      <c r="AD183" s="70"/>
      <c r="AE183" s="70"/>
      <c r="AF183" s="70"/>
      <c r="AG183" s="70"/>
      <c r="AH183" s="70"/>
      <c r="AI183" s="70"/>
      <c r="AJ183" s="70"/>
      <c r="AK183" s="70"/>
    </row>
    <row r="184" spans="1:37" ht="19.5" customHeight="1" thickBot="1">
      <c r="A184" s="187" t="s">
        <v>385</v>
      </c>
      <c r="B184" s="873">
        <f>IF(BetcGasSavedTherms="",0,BetcGasSavedTherms)</f>
        <v>0</v>
      </c>
      <c r="C184" s="935"/>
      <c r="D184" s="899"/>
      <c r="E184" s="1216"/>
      <c r="F184" s="938" t="s">
        <v>1236</v>
      </c>
      <c r="G184" s="939">
        <f>IF(G180=G181,G182,FORECAST(MeasureLife,G182:G183,G180:G181))</f>
        <v>0.81</v>
      </c>
      <c r="I184" s="1218" t="s">
        <v>1237</v>
      </c>
      <c r="J184" s="1219"/>
      <c r="K184" s="1219"/>
      <c r="L184" s="1219"/>
      <c r="M184" s="1219"/>
      <c r="N184" s="1219"/>
      <c r="O184" s="1219"/>
      <c r="P184" s="1220"/>
      <c r="S184" s="919" t="s">
        <v>1125</v>
      </c>
      <c r="T184" s="884">
        <v>0</v>
      </c>
      <c r="U184" s="920" t="s">
        <v>1238</v>
      </c>
      <c r="V184" s="921">
        <v>0</v>
      </c>
      <c r="W184" s="898"/>
      <c r="X184" s="70"/>
      <c r="Y184" s="70"/>
      <c r="Z184" s="70"/>
      <c r="AA184" s="70"/>
      <c r="AB184" s="70"/>
      <c r="AC184" s="70"/>
      <c r="AD184" s="70"/>
      <c r="AE184" s="70"/>
      <c r="AF184" s="70"/>
      <c r="AG184" s="70"/>
      <c r="AH184" s="70"/>
      <c r="AI184" s="70"/>
      <c r="AJ184" s="70"/>
      <c r="AK184" s="70"/>
    </row>
    <row r="185" spans="1:37" ht="19.5" customHeight="1" thickBot="1">
      <c r="A185" s="194" t="s">
        <v>386</v>
      </c>
      <c r="B185" s="874" t="e">
        <f>IF(OR($B$176="",$B$178="",B183="",B184=""),"",B183*$B$176+B184*$B$178)</f>
        <v>#N/A</v>
      </c>
      <c r="C185" s="940"/>
      <c r="D185" s="899"/>
      <c r="E185" s="1217"/>
      <c r="F185" s="941" t="s">
        <v>1239</v>
      </c>
      <c r="G185" s="942">
        <f>G184</f>
        <v>0.81</v>
      </c>
      <c r="I185" s="943" t="s">
        <v>1240</v>
      </c>
      <c r="J185" s="944" t="s">
        <v>1241</v>
      </c>
      <c r="K185" s="944" t="s">
        <v>1242</v>
      </c>
      <c r="L185" s="944" t="s">
        <v>1243</v>
      </c>
      <c r="M185" s="944" t="s">
        <v>1244</v>
      </c>
      <c r="N185" s="945" t="s">
        <v>402</v>
      </c>
      <c r="O185" s="945" t="s">
        <v>403</v>
      </c>
      <c r="P185" s="946" t="s">
        <v>444</v>
      </c>
      <c r="S185" s="919" t="s">
        <v>1125</v>
      </c>
      <c r="T185" s="884">
        <v>10</v>
      </c>
      <c r="U185" s="920" t="s">
        <v>1245</v>
      </c>
      <c r="V185" s="921">
        <v>3.73</v>
      </c>
      <c r="W185" s="898"/>
      <c r="X185" s="70"/>
      <c r="Y185" s="70"/>
      <c r="Z185" s="70"/>
      <c r="AA185" s="70"/>
      <c r="AB185" s="70"/>
      <c r="AC185" s="70"/>
      <c r="AD185" s="70"/>
      <c r="AE185" s="70"/>
      <c r="AF185" s="70"/>
      <c r="AG185" s="70"/>
      <c r="AH185" s="70"/>
      <c r="AI185" s="70"/>
      <c r="AJ185" s="70"/>
      <c r="AK185" s="70"/>
    </row>
    <row r="186" spans="1:37" ht="19.5" customHeight="1">
      <c r="A186" s="194" t="s">
        <v>682</v>
      </c>
      <c r="B186" s="875">
        <f>NonEnergyBenefits+OandMReduction</f>
        <v>0</v>
      </c>
      <c r="C186" s="947"/>
      <c r="D186" s="899"/>
      <c r="E186" s="1214" t="s">
        <v>406</v>
      </c>
      <c r="F186" s="948" t="s">
        <v>1246</v>
      </c>
      <c r="G186" s="949">
        <f>VLOOKUP(CONCATENATE(B191,G180),$U$171:$V$234,2,FALSE)</f>
        <v>6.3</v>
      </c>
      <c r="I186" s="950" t="s">
        <v>681</v>
      </c>
      <c r="J186" s="951">
        <v>0.25</v>
      </c>
      <c r="K186" s="952">
        <v>0.02</v>
      </c>
      <c r="L186" s="953">
        <v>2</v>
      </c>
      <c r="M186" s="953">
        <v>0.2</v>
      </c>
      <c r="N186" s="952">
        <v>1</v>
      </c>
      <c r="O186" s="954">
        <v>0.5</v>
      </c>
      <c r="P186" s="955">
        <v>15</v>
      </c>
      <c r="S186" s="919" t="s">
        <v>1125</v>
      </c>
      <c r="T186" s="884">
        <v>20</v>
      </c>
      <c r="U186" s="920" t="s">
        <v>1247</v>
      </c>
      <c r="V186" s="921">
        <v>6.36</v>
      </c>
      <c r="W186" s="898"/>
      <c r="X186" s="70"/>
      <c r="Y186" s="70"/>
      <c r="Z186" s="70"/>
      <c r="AA186" s="70"/>
      <c r="AB186" s="70"/>
      <c r="AC186" s="70"/>
      <c r="AD186" s="70"/>
      <c r="AE186" s="70"/>
      <c r="AF186" s="70"/>
      <c r="AG186" s="70"/>
      <c r="AH186" s="70"/>
      <c r="AI186" s="70"/>
      <c r="AJ186" s="70"/>
      <c r="AK186" s="70"/>
    </row>
    <row r="187" spans="1:37" ht="19.5" customHeight="1" thickBot="1">
      <c r="A187" s="195" t="s">
        <v>683</v>
      </c>
      <c r="B187" s="874">
        <f>IF(OR(B188="",B186=""),0,PV($J$195,B188,-B186))</f>
        <v>0</v>
      </c>
      <c r="C187" s="940"/>
      <c r="D187" s="899"/>
      <c r="E187" s="1215"/>
      <c r="F187" s="936" t="s">
        <v>1248</v>
      </c>
      <c r="G187" s="956">
        <f>VLOOKUP(CONCATENATE(B191,G181),$U$171:$V$234,2,FALSE)</f>
        <v>3.69</v>
      </c>
      <c r="I187" s="957" t="s">
        <v>405</v>
      </c>
      <c r="J187" s="958">
        <v>0.17</v>
      </c>
      <c r="K187" s="958">
        <v>0</v>
      </c>
      <c r="L187" s="959">
        <v>0</v>
      </c>
      <c r="M187" s="959">
        <v>0</v>
      </c>
      <c r="N187" s="960">
        <v>1</v>
      </c>
      <c r="O187" s="961">
        <v>0.35</v>
      </c>
      <c r="P187" s="962">
        <v>15</v>
      </c>
      <c r="S187" s="919" t="s">
        <v>1125</v>
      </c>
      <c r="T187" s="884">
        <v>30</v>
      </c>
      <c r="U187" s="920" t="s">
        <v>1249</v>
      </c>
      <c r="V187" s="921">
        <v>8.05</v>
      </c>
      <c r="W187" s="898"/>
      <c r="X187" s="70"/>
      <c r="Y187" s="70"/>
      <c r="Z187" s="70"/>
      <c r="AA187" s="70"/>
      <c r="AB187" s="70"/>
      <c r="AC187" s="70"/>
      <c r="AD187" s="70"/>
      <c r="AE187" s="70"/>
      <c r="AF187" s="70"/>
      <c r="AG187" s="70"/>
      <c r="AH187" s="70"/>
      <c r="AI187" s="70"/>
      <c r="AJ187" s="70"/>
      <c r="AK187" s="70"/>
    </row>
    <row r="188" spans="1:37" ht="19.5" customHeight="1">
      <c r="A188" s="196" t="s">
        <v>684</v>
      </c>
      <c r="B188" s="876">
        <f>IF(ProjectType="","",VLOOKUP(ProjectType,$I$186:$P$191,8))</f>
        <v>15</v>
      </c>
      <c r="C188" s="963"/>
      <c r="D188" s="899"/>
      <c r="E188" s="1216"/>
      <c r="F188" s="938" t="s">
        <v>1250</v>
      </c>
      <c r="G188" s="939">
        <f>IF(G180=G181,G186,FORECAST(MeasureLife,G186:G187,G180:G181))</f>
        <v>4.995</v>
      </c>
      <c r="I188" s="964" t="s">
        <v>1251</v>
      </c>
      <c r="J188" s="965">
        <v>0.25</v>
      </c>
      <c r="K188" s="960">
        <v>0.02</v>
      </c>
      <c r="L188" s="959">
        <v>2</v>
      </c>
      <c r="M188" s="959">
        <v>0.2</v>
      </c>
      <c r="N188" s="960">
        <v>1</v>
      </c>
      <c r="O188" s="961">
        <v>0.5</v>
      </c>
      <c r="P188" s="962">
        <v>35</v>
      </c>
      <c r="S188" s="919" t="s">
        <v>1125</v>
      </c>
      <c r="T188" s="884">
        <v>40</v>
      </c>
      <c r="U188" s="920" t="s">
        <v>1252</v>
      </c>
      <c r="V188" s="921">
        <v>9.15</v>
      </c>
      <c r="W188" s="898"/>
      <c r="X188" s="70"/>
      <c r="Y188" s="70"/>
      <c r="Z188" s="70"/>
      <c r="AA188" s="70"/>
      <c r="AB188" s="70"/>
      <c r="AC188" s="70"/>
      <c r="AD188" s="70"/>
      <c r="AE188" s="70"/>
      <c r="AF188" s="70"/>
      <c r="AG188" s="70"/>
      <c r="AH188" s="70"/>
      <c r="AI188" s="70"/>
      <c r="AJ188" s="70"/>
      <c r="AK188" s="70"/>
    </row>
    <row r="189" spans="1:37" ht="19.5" customHeight="1" thickBot="1">
      <c r="A189" s="187" t="s">
        <v>387</v>
      </c>
      <c r="B189" s="875">
        <f>EstUtilEligibleCost</f>
        <v>0</v>
      </c>
      <c r="C189" s="947"/>
      <c r="D189" s="899"/>
      <c r="E189" s="1217"/>
      <c r="F189" s="941" t="s">
        <v>1253</v>
      </c>
      <c r="G189" s="942">
        <f>G188</f>
        <v>4.995</v>
      </c>
      <c r="I189" s="964" t="s">
        <v>1254</v>
      </c>
      <c r="J189" s="965">
        <v>0.25</v>
      </c>
      <c r="K189" s="960">
        <v>0.02</v>
      </c>
      <c r="L189" s="959">
        <v>2</v>
      </c>
      <c r="M189" s="959">
        <v>0.2</v>
      </c>
      <c r="N189" s="966">
        <v>1</v>
      </c>
      <c r="O189" s="967">
        <v>0.5</v>
      </c>
      <c r="P189" s="962">
        <v>18</v>
      </c>
      <c r="S189" s="919" t="s">
        <v>1125</v>
      </c>
      <c r="T189" s="884">
        <v>50</v>
      </c>
      <c r="U189" s="920" t="s">
        <v>1255</v>
      </c>
      <c r="V189" s="921">
        <v>9.85</v>
      </c>
      <c r="W189" s="898"/>
      <c r="X189" s="70"/>
      <c r="Y189" s="70"/>
      <c r="Z189" s="70"/>
      <c r="AA189" s="70"/>
      <c r="AB189" s="70"/>
      <c r="AC189" s="70"/>
      <c r="AD189" s="70"/>
      <c r="AE189" s="70"/>
      <c r="AF189" s="70"/>
      <c r="AG189" s="70"/>
      <c r="AH189" s="70"/>
      <c r="AI189" s="70"/>
      <c r="AJ189" s="70"/>
      <c r="AK189" s="70"/>
    </row>
    <row r="190" spans="1:37" ht="19.5" customHeight="1">
      <c r="A190" s="194" t="s">
        <v>388</v>
      </c>
      <c r="B190" s="58" t="str">
        <f>VLOOKUP(B216,E196:$F$200,2)</f>
        <v>1-Shift Industrial</v>
      </c>
      <c r="C190" s="968" t="s">
        <v>1256</v>
      </c>
      <c r="D190" s="899"/>
      <c r="E190" s="1221" t="s">
        <v>1257</v>
      </c>
      <c r="F190" s="969" t="s">
        <v>1258</v>
      </c>
      <c r="G190" s="970" t="e">
        <f>$G$184*$B$183/SUM($B$183*$G$184,$B$184*$G$188)</f>
        <v>#N/A</v>
      </c>
      <c r="I190" s="964" t="s">
        <v>1259</v>
      </c>
      <c r="J190" s="965">
        <v>0.08</v>
      </c>
      <c r="K190" s="960">
        <v>0.08</v>
      </c>
      <c r="L190" s="959">
        <v>0.4</v>
      </c>
      <c r="M190" s="959">
        <v>0.4</v>
      </c>
      <c r="N190" s="966">
        <v>1</v>
      </c>
      <c r="O190" s="967">
        <v>0.5</v>
      </c>
      <c r="P190" s="962">
        <v>3</v>
      </c>
      <c r="S190" s="919" t="s">
        <v>1125</v>
      </c>
      <c r="T190" s="884">
        <v>60</v>
      </c>
      <c r="U190" s="920" t="s">
        <v>1260</v>
      </c>
      <c r="V190" s="921">
        <v>10.3</v>
      </c>
      <c r="W190" s="898"/>
      <c r="X190" s="70"/>
      <c r="Y190" s="70"/>
      <c r="Z190" s="70"/>
      <c r="AA190" s="70"/>
      <c r="AB190" s="70"/>
      <c r="AC190" s="70"/>
      <c r="AD190" s="70"/>
      <c r="AE190" s="70"/>
      <c r="AF190" s="70"/>
      <c r="AG190" s="70"/>
      <c r="AH190" s="70"/>
      <c r="AI190" s="70"/>
      <c r="AJ190" s="70"/>
      <c r="AK190" s="70"/>
    </row>
    <row r="191" spans="1:37" ht="19.5" customHeight="1" thickBot="1">
      <c r="A191" s="194" t="s">
        <v>389</v>
      </c>
      <c r="B191" s="1007" t="s">
        <v>1219</v>
      </c>
      <c r="C191" s="968" t="s">
        <v>1261</v>
      </c>
      <c r="D191" s="899"/>
      <c r="E191" s="1222"/>
      <c r="F191" s="971" t="s">
        <v>1262</v>
      </c>
      <c r="G191" s="972" t="e">
        <f>1-G190</f>
        <v>#N/A</v>
      </c>
      <c r="I191" s="973" t="s">
        <v>1263</v>
      </c>
      <c r="J191" s="974">
        <v>0.32</v>
      </c>
      <c r="K191" s="975">
        <v>0.02</v>
      </c>
      <c r="L191" s="976">
        <v>2</v>
      </c>
      <c r="M191" s="976">
        <v>0.2</v>
      </c>
      <c r="N191" s="975">
        <v>1</v>
      </c>
      <c r="O191" s="977">
        <v>0.5</v>
      </c>
      <c r="P191" s="978">
        <v>20</v>
      </c>
      <c r="S191" s="919" t="s">
        <v>1125</v>
      </c>
      <c r="T191" s="884">
        <v>70</v>
      </c>
      <c r="U191" s="920" t="s">
        <v>1264</v>
      </c>
      <c r="V191" s="921">
        <v>10.6</v>
      </c>
      <c r="W191" s="898"/>
      <c r="X191" s="70"/>
      <c r="Y191" s="70"/>
      <c r="Z191" s="70"/>
      <c r="AA191" s="70"/>
      <c r="AB191" s="70"/>
      <c r="AC191" s="70"/>
      <c r="AD191" s="70"/>
      <c r="AE191" s="70"/>
      <c r="AF191" s="70"/>
      <c r="AG191" s="70"/>
      <c r="AH191" s="70"/>
      <c r="AI191" s="70"/>
      <c r="AJ191" s="70"/>
      <c r="AK191" s="70"/>
    </row>
    <row r="192" spans="1:37" ht="15">
      <c r="A192" s="195" t="s">
        <v>685</v>
      </c>
      <c r="B192" s="877" t="e">
        <f>IF(OR(B185="",B189="",B185=0),"",B189/B185)</f>
        <v>#N/A</v>
      </c>
      <c r="C192" s="979"/>
      <c r="D192" s="899"/>
      <c r="E192" s="1223"/>
      <c r="F192" s="980"/>
      <c r="G192" s="923"/>
      <c r="S192" s="919" t="s">
        <v>1219</v>
      </c>
      <c r="T192" s="884">
        <v>0</v>
      </c>
      <c r="U192" s="920" t="s">
        <v>1265</v>
      </c>
      <c r="V192" s="921">
        <v>0</v>
      </c>
      <c r="W192" s="898"/>
      <c r="X192" s="70"/>
      <c r="Y192" s="70"/>
      <c r="Z192" s="70"/>
      <c r="AA192" s="70"/>
      <c r="AB192" s="70"/>
      <c r="AC192" s="70"/>
      <c r="AD192" s="70"/>
      <c r="AE192" s="70"/>
      <c r="AF192" s="70"/>
      <c r="AG192" s="70"/>
      <c r="AH192" s="70"/>
      <c r="AI192" s="70"/>
      <c r="AJ192" s="70"/>
      <c r="AK192" s="70"/>
    </row>
    <row r="193" spans="1:37" ht="15">
      <c r="A193" s="187" t="e">
        <f>_xlfn.IFERROR(ElectricFraction*IF(UtilityName="Self-Directed",SelfDirectRate,1)*VLOOKUP(ProjectType,$I$186:$P$191,7,FALSE)+(1-ElectricFraction)*VLOOKUP(ProjectType,$I$186:$P$191,7,FALSE),"")*100&amp;"% of Project Cost Incentive:"</f>
        <v>#VALUE!</v>
      </c>
      <c r="B193" s="874">
        <f>_xlfn.IFERROR((ElectricFraction*IF(UtilityName="Self-Directed",SelfDirectRate,1)*VLOOKUP(ProjectType,$I$186:$P$191,7,FALSE)+(1-ElectricFraction)*VLOOKUP(ProjectType,$I$186:$P$191,7,FALSE))*EstUtilEligibleCost,"")</f>
      </c>
      <c r="C193" s="940"/>
      <c r="D193" s="899"/>
      <c r="E193" s="1223"/>
      <c r="F193" s="980"/>
      <c r="G193" s="923"/>
      <c r="S193" s="919" t="s">
        <v>1219</v>
      </c>
      <c r="T193" s="884">
        <v>10</v>
      </c>
      <c r="U193" s="920" t="s">
        <v>1266</v>
      </c>
      <c r="V193" s="921">
        <v>3.69</v>
      </c>
      <c r="W193" s="898"/>
      <c r="X193" s="70"/>
      <c r="Y193" s="70"/>
      <c r="Z193" s="70"/>
      <c r="AA193" s="70"/>
      <c r="AB193" s="70"/>
      <c r="AC193" s="70"/>
      <c r="AD193" s="70"/>
      <c r="AE193" s="70"/>
      <c r="AF193" s="70"/>
      <c r="AG193" s="70"/>
      <c r="AH193" s="70"/>
      <c r="AI193" s="70"/>
      <c r="AJ193" s="70"/>
      <c r="AK193" s="70"/>
    </row>
    <row r="194" spans="1:37" ht="15.75" thickBot="1">
      <c r="A194" s="187" t="str">
        <f>"Rate per "&amp;IF($B$174="Electric","kWh",IF($B$174="Gas","therm","kWh &amp; therm"))&amp;" Incentive:"</f>
        <v>Rate per kWh &amp; therm Incentive:</v>
      </c>
      <c r="B194" s="874">
        <f>_xlfn.IFERROR(IF(UtilityName="Self-Directed",SelfDirectRate,1)*B183*(VLOOKUP(ProjectType,'Master Outputs'!$I$186:$P$191,IF(CalculatedSimplePayback&lt;VLOOKUP(ProjectType,'Master Outputs'!$I$186:$P$191,6),3,2)))+B184*(VLOOKUP(ProjectType,'Master Outputs'!$I$186:$P$191,IF(CalculatedSimplePayback&lt;VLOOKUP(ProjectType,'Master Outputs'!$I$186:$P$191,6),5,4))),"")</f>
      </c>
      <c r="C194" s="940"/>
      <c r="D194" s="899"/>
      <c r="E194" s="1241" t="s">
        <v>422</v>
      </c>
      <c r="F194" s="1241"/>
      <c r="G194" s="1241"/>
      <c r="I194" s="981" t="s">
        <v>401</v>
      </c>
      <c r="J194" s="982">
        <v>499999</v>
      </c>
      <c r="S194" s="919" t="s">
        <v>1219</v>
      </c>
      <c r="T194" s="884">
        <v>20</v>
      </c>
      <c r="U194" s="920" t="s">
        <v>1267</v>
      </c>
      <c r="V194" s="921">
        <v>6.3</v>
      </c>
      <c r="W194" s="898"/>
      <c r="X194" s="70"/>
      <c r="Y194" s="70"/>
      <c r="Z194" s="70"/>
      <c r="AA194" s="70"/>
      <c r="AB194" s="70"/>
      <c r="AC194" s="70"/>
      <c r="AD194" s="70"/>
      <c r="AE194" s="70"/>
      <c r="AF194" s="70"/>
      <c r="AG194" s="70"/>
      <c r="AH194" s="70"/>
      <c r="AI194" s="70"/>
      <c r="AJ194" s="70"/>
      <c r="AK194" s="70"/>
    </row>
    <row r="195" spans="1:37" ht="15.75" thickBot="1">
      <c r="A195" s="194" t="s">
        <v>390</v>
      </c>
      <c r="B195" s="874">
        <f>_xlfn.IFERROR(IF(UtilityName="Self-Directed",J131,1)*B183*(VLOOKUP(ProjectType,'Master Outputs'!$I$186:$P$191,IF(CalculatedSimplePayback&lt;VLOOKUP(ProjectType,'Master Outputs'!$I$186:$P$191,6),3,2)))+B184*(VLOOKUP(ProjectType,'Master Outputs'!$I$186:$P$191,IF(CalculatedSimplePayback&lt;VLOOKUP(ProjectType,'Master Outputs'!$I$186:$P$191,6),5,4))),"")</f>
      </c>
      <c r="C195" s="940"/>
      <c r="D195" s="899"/>
      <c r="E195" s="983" t="s">
        <v>1268</v>
      </c>
      <c r="F195" s="984" t="s">
        <v>1269</v>
      </c>
      <c r="G195" s="985" t="s">
        <v>1270</v>
      </c>
      <c r="I195" s="981" t="s">
        <v>404</v>
      </c>
      <c r="J195" s="986">
        <v>0.045</v>
      </c>
      <c r="S195" s="919" t="s">
        <v>1219</v>
      </c>
      <c r="T195" s="884">
        <v>30</v>
      </c>
      <c r="U195" s="920" t="s">
        <v>1271</v>
      </c>
      <c r="V195" s="921">
        <v>7.98</v>
      </c>
      <c r="W195" s="898"/>
      <c r="X195" s="70"/>
      <c r="Y195" s="70"/>
      <c r="Z195" s="70"/>
      <c r="AA195" s="70"/>
      <c r="AB195" s="70"/>
      <c r="AC195" s="70"/>
      <c r="AD195" s="70"/>
      <c r="AE195" s="70"/>
      <c r="AF195" s="70"/>
      <c r="AG195" s="70"/>
      <c r="AH195" s="70"/>
      <c r="AI195" s="70"/>
      <c r="AJ195" s="70"/>
      <c r="AK195" s="70"/>
    </row>
    <row r="196" spans="1:37" ht="15">
      <c r="A196" s="197">
        <f>IF($B$175="Self-Directed","*Incentives have been reduced by 50% because of Self-Direct status","")</f>
      </c>
      <c r="B196" s="122"/>
      <c r="C196" s="963"/>
      <c r="D196" s="899"/>
      <c r="E196" s="987">
        <v>0</v>
      </c>
      <c r="F196" s="988" t="s">
        <v>1222</v>
      </c>
      <c r="G196" s="989" t="s">
        <v>418</v>
      </c>
      <c r="I196" s="981" t="s">
        <v>408</v>
      </c>
      <c r="J196" s="990">
        <v>0.5</v>
      </c>
      <c r="S196" s="919" t="s">
        <v>1219</v>
      </c>
      <c r="T196" s="884">
        <v>40</v>
      </c>
      <c r="U196" s="920" t="s">
        <v>1272</v>
      </c>
      <c r="V196" s="921">
        <v>9.06</v>
      </c>
      <c r="W196" s="898"/>
      <c r="X196" s="70"/>
      <c r="Y196" s="70"/>
      <c r="Z196" s="70"/>
      <c r="AA196" s="70"/>
      <c r="AB196" s="70"/>
      <c r="AC196" s="70"/>
      <c r="AD196" s="70"/>
      <c r="AE196" s="70"/>
      <c r="AF196" s="70"/>
      <c r="AG196" s="70"/>
      <c r="AH196" s="70"/>
      <c r="AI196" s="70"/>
      <c r="AJ196" s="70"/>
      <c r="AK196" s="70"/>
    </row>
    <row r="197" spans="1:37" ht="15">
      <c r="A197" s="195" t="s">
        <v>391</v>
      </c>
      <c r="B197" s="878">
        <f>IF(OR(B190="",B191="",B193="",B194=""),0,(G184*B183+G188*B184)/IF($B$174="Gas &amp; Electric",MIN(B193,B194,B195,MaxProjectCap),MIN(B193,B194,MaxProjectCap)))</f>
        <v>0</v>
      </c>
      <c r="C197" s="991"/>
      <c r="D197" s="899"/>
      <c r="E197" s="992">
        <v>1500</v>
      </c>
      <c r="F197" s="993" t="s">
        <v>1222</v>
      </c>
      <c r="G197" s="994" t="s">
        <v>418</v>
      </c>
      <c r="S197" s="919" t="s">
        <v>1219</v>
      </c>
      <c r="T197" s="884">
        <v>50</v>
      </c>
      <c r="U197" s="920" t="s">
        <v>1273</v>
      </c>
      <c r="V197" s="921">
        <v>9.76</v>
      </c>
      <c r="W197" s="898"/>
      <c r="X197" s="70"/>
      <c r="Y197" s="70"/>
      <c r="Z197" s="70"/>
      <c r="AA197" s="70"/>
      <c r="AB197" s="70"/>
      <c r="AC197" s="70"/>
      <c r="AD197" s="70"/>
      <c r="AE197" s="70"/>
      <c r="AF197" s="70"/>
      <c r="AG197" s="70"/>
      <c r="AH197" s="70"/>
      <c r="AI197" s="70"/>
      <c r="AJ197" s="70"/>
      <c r="AK197" s="70"/>
    </row>
    <row r="198" spans="1:37" ht="15">
      <c r="A198" s="195" t="s">
        <v>392</v>
      </c>
      <c r="B198" s="878" t="e">
        <f>IF(OR(B190="",B191="",B188="",B183="",B184="",B189=""),0,(G184*B183+G188*B184+B187)/B189)</f>
        <v>#N/A</v>
      </c>
      <c r="C198" s="991"/>
      <c r="D198" s="899"/>
      <c r="E198" s="992">
        <v>4160</v>
      </c>
      <c r="F198" s="993" t="s">
        <v>1226</v>
      </c>
      <c r="G198" s="994" t="s">
        <v>419</v>
      </c>
      <c r="S198" s="919" t="s">
        <v>1219</v>
      </c>
      <c r="T198" s="884">
        <v>60</v>
      </c>
      <c r="U198" s="920" t="s">
        <v>1274</v>
      </c>
      <c r="V198" s="921">
        <v>10.21</v>
      </c>
      <c r="W198" s="898"/>
      <c r="X198" s="70"/>
      <c r="Y198" s="70"/>
      <c r="Z198" s="70"/>
      <c r="AA198" s="70"/>
      <c r="AB198" s="70"/>
      <c r="AC198" s="70"/>
      <c r="AD198" s="70"/>
      <c r="AE198" s="70"/>
      <c r="AF198" s="70"/>
      <c r="AG198" s="70"/>
      <c r="AH198" s="70"/>
      <c r="AI198" s="70"/>
      <c r="AJ198" s="70"/>
      <c r="AK198" s="70"/>
    </row>
    <row r="199" spans="1:37" ht="15">
      <c r="A199" s="191"/>
      <c r="B199" s="122"/>
      <c r="C199" s="963"/>
      <c r="D199" s="899"/>
      <c r="E199" s="992">
        <v>6240</v>
      </c>
      <c r="F199" s="993" t="s">
        <v>1229</v>
      </c>
      <c r="G199" s="994" t="s">
        <v>420</v>
      </c>
      <c r="S199" s="919" t="s">
        <v>1219</v>
      </c>
      <c r="T199" s="884">
        <v>70</v>
      </c>
      <c r="U199" s="920" t="s">
        <v>1275</v>
      </c>
      <c r="V199" s="921">
        <v>10.5</v>
      </c>
      <c r="W199" s="898"/>
      <c r="X199" s="70"/>
      <c r="Y199" s="70"/>
      <c r="Z199" s="70"/>
      <c r="AA199" s="70"/>
      <c r="AB199" s="70"/>
      <c r="AC199" s="70"/>
      <c r="AD199" s="70"/>
      <c r="AE199" s="70"/>
      <c r="AF199" s="70"/>
      <c r="AG199" s="70"/>
      <c r="AH199" s="70"/>
      <c r="AI199" s="70"/>
      <c r="AJ199" s="70"/>
      <c r="AK199" s="70"/>
    </row>
    <row r="200" spans="1:37" ht="15">
      <c r="A200" s="195" t="s">
        <v>686</v>
      </c>
      <c r="B200" s="879" t="e">
        <f>IF(OR(B197=0,B198=0),"",IF(AND(B197&gt;1,B198&gt;1),"OK","NOT OK"))</f>
        <v>#N/A</v>
      </c>
      <c r="C200" s="995"/>
      <c r="D200" s="899"/>
      <c r="E200" s="992">
        <v>8760</v>
      </c>
      <c r="F200" s="993" t="s">
        <v>1219</v>
      </c>
      <c r="G200" s="994" t="s">
        <v>417</v>
      </c>
      <c r="S200" s="919" t="s">
        <v>1276</v>
      </c>
      <c r="T200" s="884">
        <v>0</v>
      </c>
      <c r="U200" s="920" t="s">
        <v>1277</v>
      </c>
      <c r="V200" s="921">
        <v>0</v>
      </c>
      <c r="W200" s="898"/>
      <c r="X200" s="70"/>
      <c r="Y200" s="70"/>
      <c r="Z200" s="70"/>
      <c r="AA200" s="70"/>
      <c r="AB200" s="70"/>
      <c r="AC200" s="70"/>
      <c r="AD200" s="70"/>
      <c r="AE200" s="70"/>
      <c r="AF200" s="70"/>
      <c r="AG200" s="70"/>
      <c r="AH200" s="70"/>
      <c r="AI200" s="70"/>
      <c r="AJ200" s="70"/>
      <c r="AK200" s="70"/>
    </row>
    <row r="201" spans="1:37" ht="15">
      <c r="A201" s="191"/>
      <c r="B201" s="122"/>
      <c r="C201" s="963"/>
      <c r="D201" s="899"/>
      <c r="E201" s="992">
        <v>8760</v>
      </c>
      <c r="F201" s="996" t="s">
        <v>1217</v>
      </c>
      <c r="G201" s="994" t="s">
        <v>1278</v>
      </c>
      <c r="S201" s="919" t="s">
        <v>1276</v>
      </c>
      <c r="T201" s="884">
        <v>10</v>
      </c>
      <c r="U201" s="920" t="s">
        <v>1279</v>
      </c>
      <c r="V201" s="921">
        <v>3.67</v>
      </c>
      <c r="W201" s="898"/>
      <c r="X201" s="70"/>
      <c r="Y201" s="70"/>
      <c r="Z201" s="70"/>
      <c r="AA201" s="70"/>
      <c r="AB201" s="70"/>
      <c r="AC201" s="70"/>
      <c r="AD201" s="70"/>
      <c r="AE201" s="70"/>
      <c r="AF201" s="70"/>
      <c r="AG201" s="70"/>
      <c r="AH201" s="70"/>
      <c r="AI201" s="70"/>
      <c r="AJ201" s="70"/>
      <c r="AK201" s="70"/>
    </row>
    <row r="202" spans="1:37" ht="15.75" thickBot="1">
      <c r="A202" s="195" t="s">
        <v>393</v>
      </c>
      <c r="B202" s="880" t="e">
        <f>IF(B200="OK",IF($B$174="Gas &amp; Electric",MIN(B193,B194,B195,$G$205),MIN(B193,B194,$G$205)),0)</f>
        <v>#N/A</v>
      </c>
      <c r="C202" s="332" t="s">
        <v>1280</v>
      </c>
      <c r="D202" s="898"/>
      <c r="E202" s="997"/>
      <c r="F202" s="998" t="s">
        <v>1219</v>
      </c>
      <c r="G202" s="999" t="s">
        <v>1281</v>
      </c>
      <c r="S202" s="919" t="s">
        <v>1276</v>
      </c>
      <c r="T202" s="884">
        <v>20</v>
      </c>
      <c r="U202" s="920" t="s">
        <v>1282</v>
      </c>
      <c r="V202" s="921">
        <v>6.25</v>
      </c>
      <c r="W202" s="898"/>
      <c r="X202" s="70"/>
      <c r="Y202" s="70"/>
      <c r="Z202" s="70"/>
      <c r="AA202" s="70"/>
      <c r="AB202" s="70"/>
      <c r="AC202" s="70"/>
      <c r="AD202" s="70"/>
      <c r="AE202" s="70"/>
      <c r="AF202" s="70"/>
      <c r="AG202" s="70"/>
      <c r="AH202" s="70"/>
      <c r="AI202" s="70"/>
      <c r="AJ202" s="70"/>
      <c r="AK202" s="70"/>
    </row>
    <row r="203" spans="1:37" ht="15">
      <c r="A203" s="198"/>
      <c r="B203" s="50"/>
      <c r="C203" s="1000"/>
      <c r="D203" s="1001"/>
      <c r="S203" s="919" t="s">
        <v>1276</v>
      </c>
      <c r="T203" s="884">
        <v>30</v>
      </c>
      <c r="U203" s="920" t="s">
        <v>1283</v>
      </c>
      <c r="V203" s="921">
        <v>7.92</v>
      </c>
      <c r="W203" s="898"/>
      <c r="X203" s="70"/>
      <c r="Y203" s="70"/>
      <c r="Z203" s="70"/>
      <c r="AA203" s="70"/>
      <c r="AB203" s="70"/>
      <c r="AC203" s="70"/>
      <c r="AD203" s="70"/>
      <c r="AE203" s="70"/>
      <c r="AF203" s="70"/>
      <c r="AG203" s="70"/>
      <c r="AH203" s="70"/>
      <c r="AI203" s="70"/>
      <c r="AJ203" s="70"/>
      <c r="AK203" s="70"/>
    </row>
    <row r="204" spans="1:37" ht="15">
      <c r="A204" s="187" t="s">
        <v>394</v>
      </c>
      <c r="B204" s="881" t="s">
        <v>410</v>
      </c>
      <c r="C204" s="1000"/>
      <c r="D204" s="899"/>
      <c r="E204" s="1002"/>
      <c r="S204" s="919" t="s">
        <v>1276</v>
      </c>
      <c r="T204" s="884">
        <v>40</v>
      </c>
      <c r="U204" s="920" t="s">
        <v>1284</v>
      </c>
      <c r="V204" s="921">
        <v>8.99</v>
      </c>
      <c r="W204" s="898"/>
      <c r="X204" s="70"/>
      <c r="Y204" s="70"/>
      <c r="Z204" s="70"/>
      <c r="AA204" s="70"/>
      <c r="AB204" s="70"/>
      <c r="AC204" s="70"/>
      <c r="AD204" s="70"/>
      <c r="AE204" s="70"/>
      <c r="AF204" s="70"/>
      <c r="AG204" s="70"/>
      <c r="AH204" s="70"/>
      <c r="AI204" s="70"/>
      <c r="AJ204" s="70"/>
      <c r="AK204" s="70"/>
    </row>
    <row r="205" spans="1:37" ht="15">
      <c r="A205" s="191"/>
      <c r="B205" s="122"/>
      <c r="C205" s="332" t="s">
        <v>1285</v>
      </c>
      <c r="D205" s="899"/>
      <c r="E205" s="443"/>
      <c r="S205" s="919" t="s">
        <v>1276</v>
      </c>
      <c r="T205" s="884">
        <v>50</v>
      </c>
      <c r="U205" s="920" t="s">
        <v>1286</v>
      </c>
      <c r="V205" s="921">
        <v>9.69</v>
      </c>
      <c r="W205" s="898"/>
      <c r="X205" s="70"/>
      <c r="Y205" s="70"/>
      <c r="Z205" s="70"/>
      <c r="AA205" s="70"/>
      <c r="AB205" s="70"/>
      <c r="AC205" s="70"/>
      <c r="AD205" s="70"/>
      <c r="AE205" s="70"/>
      <c r="AF205" s="70"/>
      <c r="AG205" s="70"/>
      <c r="AH205" s="70"/>
      <c r="AI205" s="70"/>
      <c r="AJ205" s="70"/>
      <c r="AK205" s="70"/>
    </row>
    <row r="206" spans="1:37" ht="15">
      <c r="A206" s="187" t="s">
        <v>395</v>
      </c>
      <c r="B206" s="874">
        <f>IF(OR(B193="",B204="",B204="No"),"",B189*0.6*IF($B$175="Self-Directed",$G$207,1))</f>
      </c>
      <c r="C206" s="899"/>
      <c r="D206" s="899"/>
      <c r="S206" s="919" t="s">
        <v>1276</v>
      </c>
      <c r="T206" s="884">
        <v>60</v>
      </c>
      <c r="U206" s="920" t="s">
        <v>1287</v>
      </c>
      <c r="V206" s="921">
        <v>10.13</v>
      </c>
      <c r="W206" s="898"/>
      <c r="X206" s="70"/>
      <c r="Y206" s="70"/>
      <c r="Z206" s="70"/>
      <c r="AA206" s="70"/>
      <c r="AB206" s="70"/>
      <c r="AC206" s="70"/>
      <c r="AD206" s="70"/>
      <c r="AE206" s="70"/>
      <c r="AF206" s="70"/>
      <c r="AG206" s="70"/>
      <c r="AH206" s="70"/>
      <c r="AI206" s="70"/>
      <c r="AJ206" s="70"/>
      <c r="AK206" s="70"/>
    </row>
    <row r="207" spans="1:37" ht="15">
      <c r="A207" s="194" t="s">
        <v>396</v>
      </c>
      <c r="B207" s="874">
        <f>IF(OR(B195="",B204="No",B204=""),"",(MIN(B183*IF(B192&gt;VLOOKUP($B$179,$E$176:$H$182,4,FALSE),VLOOKUP($B$179,$E$176:$F$182,2,FALSE),VLOOKUP($B$179,$E$176:$G$182,3,FALSE)),B189*F203*0.6)+MIN(B184*IF(B192&gt;$H$183,$F$183,$G$183),B189*(1-F203)*0.6))*IF($B$175="Self-Directed",$G$207,1))</f>
      </c>
      <c r="C207" s="332" t="s">
        <v>1039</v>
      </c>
      <c r="D207" s="899"/>
      <c r="S207" s="919" t="s">
        <v>1276</v>
      </c>
      <c r="T207" s="884">
        <v>70</v>
      </c>
      <c r="U207" s="920" t="s">
        <v>1288</v>
      </c>
      <c r="V207" s="921">
        <v>10.42</v>
      </c>
      <c r="W207" s="898"/>
      <c r="X207" s="70"/>
      <c r="Y207" s="70"/>
      <c r="Z207" s="70"/>
      <c r="AA207" s="70"/>
      <c r="AB207" s="70"/>
      <c r="AC207" s="70"/>
      <c r="AD207" s="70"/>
      <c r="AE207" s="70"/>
      <c r="AF207" s="70"/>
      <c r="AG207" s="70"/>
      <c r="AH207" s="70"/>
      <c r="AI207" s="70"/>
      <c r="AJ207" s="70"/>
      <c r="AK207" s="70"/>
    </row>
    <row r="208" spans="1:37" ht="15">
      <c r="A208" s="198"/>
      <c r="B208" s="50"/>
      <c r="C208" s="332" t="s">
        <v>424</v>
      </c>
      <c r="D208" s="899"/>
      <c r="S208" s="919" t="s">
        <v>1289</v>
      </c>
      <c r="T208" s="884">
        <v>0</v>
      </c>
      <c r="U208" s="920" t="s">
        <v>1290</v>
      </c>
      <c r="V208" s="921">
        <v>0</v>
      </c>
      <c r="W208" s="898"/>
      <c r="X208" s="70"/>
      <c r="Y208" s="70"/>
      <c r="Z208" s="70"/>
      <c r="AA208" s="70"/>
      <c r="AB208" s="70"/>
      <c r="AC208" s="70"/>
      <c r="AD208" s="70"/>
      <c r="AE208" s="70"/>
      <c r="AF208" s="70"/>
      <c r="AG208" s="70"/>
      <c r="AH208" s="70"/>
      <c r="AI208" s="70"/>
      <c r="AJ208" s="70"/>
      <c r="AK208" s="70"/>
    </row>
    <row r="209" spans="1:37" ht="15">
      <c r="A209" s="195" t="s">
        <v>397</v>
      </c>
      <c r="B209" s="878">
        <f>IF(B206="",0,(G184*B183+G188*B184)/IF($B$174="Gas &amp; Electric",MIN(B206,B194,B207,$G$190),MIN(B206,B194,$G$190)))</f>
        <v>0</v>
      </c>
      <c r="C209" s="332" t="s">
        <v>1043</v>
      </c>
      <c r="D209" s="899"/>
      <c r="S209" s="919" t="s">
        <v>1289</v>
      </c>
      <c r="T209" s="884">
        <v>10</v>
      </c>
      <c r="U209" s="920" t="s">
        <v>1291</v>
      </c>
      <c r="V209" s="921">
        <v>3.95</v>
      </c>
      <c r="W209" s="898"/>
      <c r="X209" s="70"/>
      <c r="Y209" s="70"/>
      <c r="Z209" s="70"/>
      <c r="AA209" s="70"/>
      <c r="AB209" s="70"/>
      <c r="AC209" s="70"/>
      <c r="AD209" s="70"/>
      <c r="AE209" s="70"/>
      <c r="AF209" s="70"/>
      <c r="AG209" s="70"/>
      <c r="AH209" s="70"/>
      <c r="AI209" s="70"/>
      <c r="AJ209" s="70"/>
      <c r="AK209" s="70"/>
    </row>
    <row r="210" spans="1:37" ht="15">
      <c r="A210" s="195" t="s">
        <v>398</v>
      </c>
      <c r="B210" s="878">
        <f>IF(B206="",0,(G184*B183+G188*B184+B187)/B189)</f>
        <v>0</v>
      </c>
      <c r="C210" s="899"/>
      <c r="D210" s="899"/>
      <c r="S210" s="919" t="s">
        <v>1289</v>
      </c>
      <c r="T210" s="884">
        <v>20</v>
      </c>
      <c r="U210" s="920" t="s">
        <v>1292</v>
      </c>
      <c r="V210" s="921">
        <v>6.73</v>
      </c>
      <c r="W210" s="898"/>
      <c r="X210" s="70"/>
      <c r="Y210" s="70"/>
      <c r="Z210" s="70"/>
      <c r="AA210" s="70"/>
      <c r="AB210" s="70"/>
      <c r="AC210" s="70"/>
      <c r="AD210" s="70"/>
      <c r="AE210" s="70"/>
      <c r="AF210" s="70"/>
      <c r="AG210" s="70"/>
      <c r="AH210" s="70"/>
      <c r="AI210" s="70"/>
      <c r="AJ210" s="70"/>
      <c r="AK210" s="70"/>
    </row>
    <row r="211" spans="1:37" ht="15">
      <c r="A211" s="201"/>
      <c r="B211" s="50"/>
      <c r="C211" s="899"/>
      <c r="D211" s="899"/>
      <c r="S211" s="919" t="s">
        <v>1289</v>
      </c>
      <c r="T211" s="884">
        <v>30</v>
      </c>
      <c r="U211" s="920" t="s">
        <v>1293</v>
      </c>
      <c r="V211" s="921">
        <v>8.53</v>
      </c>
      <c r="W211" s="898"/>
      <c r="X211" s="70"/>
      <c r="Y211" s="70"/>
      <c r="Z211" s="70"/>
      <c r="AA211" s="70"/>
      <c r="AB211" s="70"/>
      <c r="AC211" s="70"/>
      <c r="AD211" s="70"/>
      <c r="AE211" s="70"/>
      <c r="AF211" s="70"/>
      <c r="AG211" s="70"/>
      <c r="AH211" s="70"/>
      <c r="AI211" s="70"/>
      <c r="AJ211" s="70"/>
      <c r="AK211" s="70"/>
    </row>
    <row r="212" spans="1:37" ht="15">
      <c r="A212" s="195" t="s">
        <v>399</v>
      </c>
      <c r="B212" s="879">
        <f>IF(OR(B209=0,B210=0),"",IF(AND(B209&gt;1,B210&gt;1),"OK","NOT OK"))</f>
      </c>
      <c r="C212" s="886"/>
      <c r="D212" s="891"/>
      <c r="E212" s="885"/>
      <c r="F212" s="885"/>
      <c r="G212" s="885"/>
      <c r="H212" s="885"/>
      <c r="I212" s="885"/>
      <c r="J212" s="885"/>
      <c r="K212" s="885"/>
      <c r="L212" s="885"/>
      <c r="M212" s="885"/>
      <c r="N212" s="885"/>
      <c r="O212" s="888"/>
      <c r="Q212" s="1"/>
      <c r="R212" s="122"/>
      <c r="S212" s="919" t="s">
        <v>1289</v>
      </c>
      <c r="T212" s="884">
        <v>40</v>
      </c>
      <c r="U212" s="920" t="s">
        <v>1294</v>
      </c>
      <c r="V212" s="921">
        <v>9.69</v>
      </c>
      <c r="W212" s="70"/>
      <c r="X212" s="70"/>
      <c r="Y212" s="70"/>
      <c r="Z212" s="70"/>
      <c r="AA212" s="70"/>
      <c r="AB212" s="70"/>
      <c r="AC212" s="70"/>
      <c r="AD212" s="70"/>
      <c r="AE212" s="70"/>
      <c r="AF212" s="70"/>
      <c r="AG212" s="70"/>
      <c r="AH212" s="70"/>
      <c r="AI212" s="70"/>
      <c r="AJ212" s="70"/>
      <c r="AK212" s="70"/>
    </row>
    <row r="213" spans="1:37" ht="15">
      <c r="A213" s="201"/>
      <c r="B213" s="50"/>
      <c r="C213" s="885"/>
      <c r="D213" s="891"/>
      <c r="E213" s="885"/>
      <c r="F213" s="885"/>
      <c r="G213" s="885"/>
      <c r="H213" s="885"/>
      <c r="I213" s="885"/>
      <c r="J213" s="885"/>
      <c r="K213" s="885"/>
      <c r="L213" s="885"/>
      <c r="M213" s="885"/>
      <c r="N213" s="885"/>
      <c r="O213" s="888"/>
      <c r="Q213" s="1"/>
      <c r="R213" s="122"/>
      <c r="S213" s="919" t="s">
        <v>1289</v>
      </c>
      <c r="T213" s="884">
        <v>50</v>
      </c>
      <c r="U213" s="920" t="s">
        <v>1295</v>
      </c>
      <c r="V213" s="921">
        <v>10.44</v>
      </c>
      <c r="W213" s="70"/>
      <c r="X213" s="70"/>
      <c r="Y213" s="70"/>
      <c r="Z213" s="70"/>
      <c r="AA213" s="70"/>
      <c r="AB213" s="70"/>
      <c r="AC213" s="70"/>
      <c r="AD213" s="70"/>
      <c r="AE213" s="70"/>
      <c r="AF213" s="70"/>
      <c r="AG213" s="70"/>
      <c r="AH213" s="70"/>
      <c r="AI213" s="70"/>
      <c r="AJ213" s="70"/>
      <c r="AK213" s="70"/>
    </row>
    <row r="214" spans="1:37" ht="15">
      <c r="A214" s="196" t="s">
        <v>400</v>
      </c>
      <c r="B214" s="882">
        <f>IF(B212="OK",IF($B$174="Gas &amp; Electric",MIN(B206,B194,B207,$G$190),MIN(B206,B194,$G$190)),"")</f>
      </c>
      <c r="C214" s="889"/>
      <c r="D214" s="891"/>
      <c r="E214" s="885"/>
      <c r="F214" s="885"/>
      <c r="G214" s="885"/>
      <c r="H214" s="885"/>
      <c r="I214" s="885"/>
      <c r="J214" s="885"/>
      <c r="K214" s="885"/>
      <c r="L214" s="885"/>
      <c r="M214" s="885"/>
      <c r="N214" s="885"/>
      <c r="O214" s="888"/>
      <c r="Q214" s="1"/>
      <c r="R214" s="122"/>
      <c r="S214" s="919" t="s">
        <v>1289</v>
      </c>
      <c r="T214" s="884">
        <v>60</v>
      </c>
      <c r="U214" s="920" t="s">
        <v>1296</v>
      </c>
      <c r="V214" s="921">
        <v>10.92</v>
      </c>
      <c r="W214" s="70"/>
      <c r="X214" s="70"/>
      <c r="Y214" s="70"/>
      <c r="Z214" s="70"/>
      <c r="AA214" s="70"/>
      <c r="AB214" s="70"/>
      <c r="AC214" s="70"/>
      <c r="AD214" s="70"/>
      <c r="AE214" s="70"/>
      <c r="AF214" s="70"/>
      <c r="AG214" s="70"/>
      <c r="AH214" s="70"/>
      <c r="AI214" s="70"/>
      <c r="AJ214" s="70"/>
      <c r="AK214" s="70"/>
    </row>
    <row r="215" spans="1:37" ht="15">
      <c r="A215" s="191"/>
      <c r="B215" s="122"/>
      <c r="C215" s="885"/>
      <c r="D215" s="885"/>
      <c r="E215" s="885"/>
      <c r="F215" s="885"/>
      <c r="G215" s="885"/>
      <c r="H215" s="885"/>
      <c r="I215" s="885"/>
      <c r="J215" s="885"/>
      <c r="K215" s="885"/>
      <c r="L215" s="885"/>
      <c r="M215" s="885"/>
      <c r="N215" s="885"/>
      <c r="O215" s="888"/>
      <c r="Q215" s="1"/>
      <c r="R215" s="122"/>
      <c r="S215" s="919" t="s">
        <v>1289</v>
      </c>
      <c r="T215" s="884">
        <v>70</v>
      </c>
      <c r="U215" s="920" t="s">
        <v>1297</v>
      </c>
      <c r="V215" s="921">
        <v>11.22</v>
      </c>
      <c r="W215" s="70"/>
      <c r="X215" s="70"/>
      <c r="Y215" s="70"/>
      <c r="Z215" s="70"/>
      <c r="AA215" s="70"/>
      <c r="AB215" s="70"/>
      <c r="AC215" s="70"/>
      <c r="AD215" s="70"/>
      <c r="AE215" s="70"/>
      <c r="AF215" s="70"/>
      <c r="AG215" s="70"/>
      <c r="AH215" s="70"/>
      <c r="AI215" s="70"/>
      <c r="AJ215" s="70"/>
      <c r="AK215" s="70"/>
    </row>
    <row r="216" spans="1:37" ht="15">
      <c r="A216" s="195" t="s">
        <v>687</v>
      </c>
      <c r="B216" s="883">
        <f>'Savings Calculations'!$H$38</f>
        <v>0</v>
      </c>
      <c r="C216" s="885"/>
      <c r="D216" s="885"/>
      <c r="E216" s="887"/>
      <c r="F216" s="885"/>
      <c r="G216" s="885"/>
      <c r="H216" s="885"/>
      <c r="I216" s="885"/>
      <c r="J216" s="885"/>
      <c r="K216" s="885"/>
      <c r="L216" s="885"/>
      <c r="M216" s="885"/>
      <c r="N216" s="885"/>
      <c r="O216" s="888"/>
      <c r="Q216" s="1"/>
      <c r="R216" s="122"/>
      <c r="S216" s="919" t="s">
        <v>1298</v>
      </c>
      <c r="T216" s="884">
        <v>0</v>
      </c>
      <c r="U216" s="920" t="s">
        <v>1299</v>
      </c>
      <c r="V216" s="921">
        <v>0</v>
      </c>
      <c r="W216" s="70"/>
      <c r="X216" s="70"/>
      <c r="Y216" s="70"/>
      <c r="Z216" s="70"/>
      <c r="AA216" s="70"/>
      <c r="AB216" s="70"/>
      <c r="AC216" s="70"/>
      <c r="AD216" s="70"/>
      <c r="AE216" s="70"/>
      <c r="AF216" s="70"/>
      <c r="AG216" s="70"/>
      <c r="AH216" s="70"/>
      <c r="AI216" s="70"/>
      <c r="AJ216" s="70"/>
      <c r="AK216" s="70"/>
    </row>
    <row r="217" spans="1:37" ht="15">
      <c r="A217" s="202" t="s">
        <v>425</v>
      </c>
      <c r="B217" s="203" t="e">
        <f>MAX(B214,ETOUpTo50PercentIncentive)</f>
        <v>#N/A</v>
      </c>
      <c r="C217" s="892"/>
      <c r="D217" s="890"/>
      <c r="E217" s="885"/>
      <c r="F217" s="885"/>
      <c r="G217" s="885"/>
      <c r="H217" s="885"/>
      <c r="I217" s="885"/>
      <c r="J217" s="885"/>
      <c r="K217" s="885"/>
      <c r="L217" s="885"/>
      <c r="M217" s="885"/>
      <c r="N217" s="885"/>
      <c r="O217" s="888"/>
      <c r="Q217" s="1"/>
      <c r="R217" s="122"/>
      <c r="S217" s="919" t="s">
        <v>1298</v>
      </c>
      <c r="T217" s="884">
        <v>10</v>
      </c>
      <c r="U217" s="920" t="s">
        <v>1300</v>
      </c>
      <c r="V217" s="921">
        <v>3.74</v>
      </c>
      <c r="W217" s="70"/>
      <c r="X217" s="70"/>
      <c r="Y217" s="70"/>
      <c r="Z217" s="70"/>
      <c r="AA217" s="70"/>
      <c r="AB217" s="70"/>
      <c r="AC217" s="70"/>
      <c r="AD217" s="70"/>
      <c r="AE217" s="70"/>
      <c r="AF217" s="70"/>
      <c r="AG217" s="70"/>
      <c r="AH217" s="70"/>
      <c r="AI217" s="70"/>
      <c r="AJ217" s="70"/>
      <c r="AK217" s="70"/>
    </row>
    <row r="218" spans="1:37" ht="15">
      <c r="A218" s="191" t="s">
        <v>423</v>
      </c>
      <c r="B218" s="204">
        <f>IF(B212="OK",(ETOUpTo60PercentIncentive-ETOUpTo50PercentIncentive),0)</f>
        <v>0</v>
      </c>
      <c r="C218" s="892"/>
      <c r="D218" s="890"/>
      <c r="E218" s="885"/>
      <c r="F218" s="885"/>
      <c r="G218" s="885"/>
      <c r="H218" s="885"/>
      <c r="I218" s="885"/>
      <c r="J218" s="885"/>
      <c r="K218" s="885"/>
      <c r="L218" s="885"/>
      <c r="M218" s="885"/>
      <c r="N218" s="885"/>
      <c r="O218" s="888"/>
      <c r="Q218" s="1"/>
      <c r="R218" s="122"/>
      <c r="S218" s="919" t="s">
        <v>1298</v>
      </c>
      <c r="T218" s="884">
        <v>20</v>
      </c>
      <c r="U218" s="920" t="s">
        <v>1301</v>
      </c>
      <c r="V218" s="921">
        <v>6.38</v>
      </c>
      <c r="W218" s="70"/>
      <c r="X218" s="70"/>
      <c r="Y218" s="70"/>
      <c r="Z218" s="70"/>
      <c r="AA218" s="70"/>
      <c r="AB218" s="70"/>
      <c r="AC218" s="70"/>
      <c r="AD218" s="70"/>
      <c r="AE218" s="70"/>
      <c r="AF218" s="70"/>
      <c r="AG218" s="70"/>
      <c r="AH218" s="70"/>
      <c r="AI218" s="70"/>
      <c r="AJ218" s="70"/>
      <c r="AK218" s="70"/>
    </row>
    <row r="219" spans="1:37" ht="15">
      <c r="A219" s="191"/>
      <c r="B219" s="122"/>
      <c r="C219" s="885"/>
      <c r="D219" s="885"/>
      <c r="E219" s="885"/>
      <c r="F219" s="885"/>
      <c r="G219" s="885"/>
      <c r="H219" s="885"/>
      <c r="I219" s="885"/>
      <c r="J219" s="885"/>
      <c r="K219" s="885"/>
      <c r="L219" s="885"/>
      <c r="M219" s="885"/>
      <c r="N219" s="885"/>
      <c r="O219" s="888"/>
      <c r="Q219" s="1"/>
      <c r="R219" s="122"/>
      <c r="S219" s="919" t="s">
        <v>1298</v>
      </c>
      <c r="T219" s="884">
        <v>30</v>
      </c>
      <c r="U219" s="920" t="s">
        <v>1302</v>
      </c>
      <c r="V219" s="921">
        <v>8.08</v>
      </c>
      <c r="W219" s="70"/>
      <c r="X219" s="70"/>
      <c r="Y219" s="70"/>
      <c r="Z219" s="70"/>
      <c r="AA219" s="70"/>
      <c r="AB219" s="70"/>
      <c r="AC219" s="70"/>
      <c r="AD219" s="70"/>
      <c r="AE219" s="70"/>
      <c r="AF219" s="70"/>
      <c r="AG219" s="70"/>
      <c r="AH219" s="70"/>
      <c r="AI219" s="70"/>
      <c r="AJ219" s="70"/>
      <c r="AK219" s="70"/>
    </row>
    <row r="220" spans="1:37" ht="15">
      <c r="A220" s="191" t="s">
        <v>426</v>
      </c>
      <c r="B220" s="62"/>
      <c r="C220" s="890"/>
      <c r="D220" s="885"/>
      <c r="E220" s="885"/>
      <c r="F220" s="885"/>
      <c r="G220" s="885"/>
      <c r="H220" s="885"/>
      <c r="I220" s="885"/>
      <c r="J220" s="885"/>
      <c r="K220" s="885"/>
      <c r="L220" s="885"/>
      <c r="M220" s="885"/>
      <c r="N220" s="885"/>
      <c r="O220" s="888"/>
      <c r="Q220" s="1"/>
      <c r="R220" s="122"/>
      <c r="S220" s="919" t="s">
        <v>1298</v>
      </c>
      <c r="T220" s="884">
        <v>40</v>
      </c>
      <c r="U220" s="920" t="s">
        <v>1303</v>
      </c>
      <c r="V220" s="921">
        <v>9.18</v>
      </c>
      <c r="W220" s="70"/>
      <c r="X220" s="70"/>
      <c r="Y220" s="70"/>
      <c r="Z220" s="70"/>
      <c r="AA220" s="70"/>
      <c r="AB220" s="70"/>
      <c r="AC220" s="70"/>
      <c r="AD220" s="70"/>
      <c r="AE220" s="70"/>
      <c r="AF220" s="70"/>
      <c r="AG220" s="70"/>
      <c r="AH220" s="70"/>
      <c r="AI220" s="70"/>
      <c r="AJ220" s="70"/>
      <c r="AK220" s="70"/>
    </row>
    <row r="221" spans="1:37" ht="15">
      <c r="A221" s="331" t="s">
        <v>1040</v>
      </c>
      <c r="B221" s="330" t="b">
        <v>0</v>
      </c>
      <c r="C221" s="893"/>
      <c r="D221" s="885"/>
      <c r="E221" s="887"/>
      <c r="F221" s="885"/>
      <c r="G221" s="885"/>
      <c r="H221" s="885"/>
      <c r="I221" s="885"/>
      <c r="J221" s="885"/>
      <c r="K221" s="885"/>
      <c r="L221" s="885"/>
      <c r="M221" s="885"/>
      <c r="N221" s="885"/>
      <c r="O221" s="888"/>
      <c r="Q221" s="1"/>
      <c r="R221" s="122"/>
      <c r="S221" s="919" t="s">
        <v>1298</v>
      </c>
      <c r="T221" s="884">
        <v>50</v>
      </c>
      <c r="U221" s="920" t="s">
        <v>1304</v>
      </c>
      <c r="V221" s="921">
        <v>9.89</v>
      </c>
      <c r="W221" s="70"/>
      <c r="X221" s="70"/>
      <c r="Y221" s="70"/>
      <c r="Z221" s="70"/>
      <c r="AA221" s="70"/>
      <c r="AB221" s="70"/>
      <c r="AC221" s="70"/>
      <c r="AD221" s="70"/>
      <c r="AE221" s="70"/>
      <c r="AF221" s="70"/>
      <c r="AG221" s="70"/>
      <c r="AH221" s="70"/>
      <c r="AI221" s="70"/>
      <c r="AJ221" s="70"/>
      <c r="AK221" s="70"/>
    </row>
    <row r="222" spans="1:37" ht="15">
      <c r="A222" s="331" t="s">
        <v>1041</v>
      </c>
      <c r="B222" s="346" t="e">
        <f>ETOBonus*CalculatedIncentive*0.2</f>
        <v>#N/A</v>
      </c>
      <c r="C222" s="893"/>
      <c r="D222" s="885"/>
      <c r="E222" s="894"/>
      <c r="F222" s="885"/>
      <c r="G222" s="885"/>
      <c r="H222" s="885"/>
      <c r="I222" s="885"/>
      <c r="J222" s="885"/>
      <c r="K222" s="885"/>
      <c r="L222" s="885"/>
      <c r="M222" s="885"/>
      <c r="N222" s="885"/>
      <c r="O222" s="888"/>
      <c r="Q222" s="1"/>
      <c r="R222" s="122"/>
      <c r="S222" s="919" t="s">
        <v>1298</v>
      </c>
      <c r="T222" s="884">
        <v>60</v>
      </c>
      <c r="U222" s="920" t="s">
        <v>1305</v>
      </c>
      <c r="V222" s="921">
        <v>10.34</v>
      </c>
      <c r="W222" s="70"/>
      <c r="X222" s="70"/>
      <c r="Y222" s="70"/>
      <c r="Z222" s="70"/>
      <c r="AA222" s="70"/>
      <c r="AB222" s="70"/>
      <c r="AC222" s="70"/>
      <c r="AD222" s="70"/>
      <c r="AE222" s="70"/>
      <c r="AF222" s="70"/>
      <c r="AG222" s="70"/>
      <c r="AH222" s="70"/>
      <c r="AI222" s="70"/>
      <c r="AJ222" s="70"/>
      <c r="AK222" s="70"/>
    </row>
    <row r="223" spans="1:37" ht="15">
      <c r="A223" s="331" t="s">
        <v>1042</v>
      </c>
      <c r="B223" s="346" t="e">
        <f>ETOBonusIncentive+CalculatedIncentive</f>
        <v>#N/A</v>
      </c>
      <c r="C223" s="893"/>
      <c r="D223" s="885"/>
      <c r="E223" s="894"/>
      <c r="F223" s="885"/>
      <c r="G223" s="885"/>
      <c r="H223" s="885"/>
      <c r="I223" s="885"/>
      <c r="J223" s="885"/>
      <c r="K223" s="885"/>
      <c r="L223" s="885"/>
      <c r="M223" s="885"/>
      <c r="N223" s="885"/>
      <c r="O223" s="888"/>
      <c r="Q223" s="1"/>
      <c r="R223" s="122"/>
      <c r="S223" s="919" t="s">
        <v>1298</v>
      </c>
      <c r="T223" s="884">
        <v>70</v>
      </c>
      <c r="U223" s="920" t="s">
        <v>1306</v>
      </c>
      <c r="V223" s="921">
        <v>10.64</v>
      </c>
      <c r="W223" s="70"/>
      <c r="X223" s="70"/>
      <c r="Y223" s="70"/>
      <c r="Z223" s="70"/>
      <c r="AA223" s="70"/>
      <c r="AB223" s="70"/>
      <c r="AC223" s="70"/>
      <c r="AD223" s="70"/>
      <c r="AE223" s="70"/>
      <c r="AF223" s="70"/>
      <c r="AG223" s="70"/>
      <c r="AH223" s="70"/>
      <c r="AI223" s="70"/>
      <c r="AJ223" s="70"/>
      <c r="AK223" s="70"/>
    </row>
    <row r="224" spans="1:37" ht="15">
      <c r="A224" s="191"/>
      <c r="B224" s="122"/>
      <c r="C224" s="885"/>
      <c r="D224" s="885"/>
      <c r="E224" s="894"/>
      <c r="F224" s="885"/>
      <c r="G224" s="885"/>
      <c r="H224" s="885"/>
      <c r="I224" s="885"/>
      <c r="J224" s="885"/>
      <c r="K224" s="885"/>
      <c r="L224" s="885"/>
      <c r="M224" s="885"/>
      <c r="N224" s="885"/>
      <c r="O224" s="888"/>
      <c r="Q224" s="1"/>
      <c r="R224" s="122"/>
      <c r="S224" s="919" t="s">
        <v>1307</v>
      </c>
      <c r="T224" s="884">
        <v>0</v>
      </c>
      <c r="U224" s="920" t="s">
        <v>1308</v>
      </c>
      <c r="V224" s="921">
        <v>0</v>
      </c>
      <c r="W224" s="70"/>
      <c r="X224" s="70"/>
      <c r="Y224" s="70"/>
      <c r="Z224" s="70"/>
      <c r="AA224" s="70"/>
      <c r="AB224" s="70"/>
      <c r="AC224" s="70"/>
      <c r="AD224" s="70"/>
      <c r="AE224" s="70"/>
      <c r="AF224" s="70"/>
      <c r="AG224" s="70"/>
      <c r="AH224" s="70"/>
      <c r="AI224" s="70"/>
      <c r="AJ224" s="70"/>
      <c r="AK224" s="70"/>
    </row>
    <row r="225" spans="1:37" ht="15">
      <c r="A225" s="347">
        <f>IF(ETOBonus,"Note: the Energy Trust incentive shown includes a special bonus offer.  See the attached 420SI-KB form for details.","")</f>
      </c>
      <c r="B225" s="332" t="s">
        <v>1047</v>
      </c>
      <c r="C225" s="885"/>
      <c r="D225" s="885"/>
      <c r="E225" s="894"/>
      <c r="F225" s="885"/>
      <c r="G225" s="885"/>
      <c r="H225" s="885"/>
      <c r="I225" s="885"/>
      <c r="J225" s="885"/>
      <c r="K225" s="885"/>
      <c r="L225" s="885"/>
      <c r="M225" s="885"/>
      <c r="N225" s="885"/>
      <c r="O225" s="888"/>
      <c r="Q225" s="1"/>
      <c r="R225" s="122"/>
      <c r="S225" s="919" t="s">
        <v>1307</v>
      </c>
      <c r="T225" s="884">
        <v>10</v>
      </c>
      <c r="U225" s="920" t="s">
        <v>1309</v>
      </c>
      <c r="V225" s="921">
        <v>3.62</v>
      </c>
      <c r="W225" s="70"/>
      <c r="X225" s="70"/>
      <c r="Y225" s="70"/>
      <c r="Z225" s="70"/>
      <c r="AA225" s="70"/>
      <c r="AB225" s="70"/>
      <c r="AC225" s="70"/>
      <c r="AD225" s="70"/>
      <c r="AE225" s="70"/>
      <c r="AF225" s="70"/>
      <c r="AG225" s="70"/>
      <c r="AH225" s="70"/>
      <c r="AI225" s="70"/>
      <c r="AJ225" s="70"/>
      <c r="AK225" s="70"/>
    </row>
    <row r="226" spans="1:37" ht="15">
      <c r="A226" s="191"/>
      <c r="B226" s="122"/>
      <c r="C226" s="885"/>
      <c r="D226" s="885"/>
      <c r="E226" s="894"/>
      <c r="F226" s="885"/>
      <c r="G226" s="885"/>
      <c r="H226" s="885"/>
      <c r="I226" s="885"/>
      <c r="J226" s="885"/>
      <c r="K226" s="885"/>
      <c r="L226" s="885"/>
      <c r="M226" s="885"/>
      <c r="N226" s="885"/>
      <c r="O226" s="888"/>
      <c r="Q226" s="1"/>
      <c r="R226" s="122"/>
      <c r="S226" s="919" t="s">
        <v>1307</v>
      </c>
      <c r="T226" s="884">
        <v>20</v>
      </c>
      <c r="U226" s="920" t="s">
        <v>1310</v>
      </c>
      <c r="V226" s="921">
        <v>6.18</v>
      </c>
      <c r="W226" s="70"/>
      <c r="X226" s="70"/>
      <c r="Y226" s="70"/>
      <c r="Z226" s="70"/>
      <c r="AA226" s="70"/>
      <c r="AB226" s="70"/>
      <c r="AC226" s="70"/>
      <c r="AD226" s="70"/>
      <c r="AE226" s="70"/>
      <c r="AF226" s="70"/>
      <c r="AG226" s="70"/>
      <c r="AH226" s="70"/>
      <c r="AI226" s="70"/>
      <c r="AJ226" s="70"/>
      <c r="AK226" s="70"/>
    </row>
    <row r="227" spans="1:37" ht="15">
      <c r="A227" s="191"/>
      <c r="B227" s="122"/>
      <c r="C227" s="885"/>
      <c r="D227" s="885"/>
      <c r="E227" s="894"/>
      <c r="F227" s="885"/>
      <c r="G227" s="885"/>
      <c r="H227" s="885"/>
      <c r="I227" s="885"/>
      <c r="J227" s="885"/>
      <c r="K227" s="885"/>
      <c r="L227" s="885"/>
      <c r="M227" s="885"/>
      <c r="N227" s="885"/>
      <c r="O227" s="888"/>
      <c r="Q227" s="1"/>
      <c r="R227" s="122"/>
      <c r="S227" s="919" t="s">
        <v>1307</v>
      </c>
      <c r="T227" s="884">
        <v>30</v>
      </c>
      <c r="U227" s="920" t="s">
        <v>1311</v>
      </c>
      <c r="V227" s="921">
        <v>7.82</v>
      </c>
      <c r="W227" s="70"/>
      <c r="X227" s="70"/>
      <c r="Y227" s="70"/>
      <c r="Z227" s="70"/>
      <c r="AA227" s="70"/>
      <c r="AB227" s="70"/>
      <c r="AC227" s="70"/>
      <c r="AD227" s="70"/>
      <c r="AE227" s="70"/>
      <c r="AF227" s="70"/>
      <c r="AG227" s="70"/>
      <c r="AH227" s="70"/>
      <c r="AI227" s="70"/>
      <c r="AJ227" s="70"/>
      <c r="AK227" s="70"/>
    </row>
    <row r="228" spans="1:37" ht="15">
      <c r="A228" s="191"/>
      <c r="B228" s="122"/>
      <c r="C228" s="885"/>
      <c r="D228" s="895"/>
      <c r="E228" s="894"/>
      <c r="F228" s="885"/>
      <c r="G228" s="885"/>
      <c r="H228" s="885"/>
      <c r="I228" s="885"/>
      <c r="J228" s="885"/>
      <c r="K228" s="885"/>
      <c r="L228" s="885"/>
      <c r="M228" s="885"/>
      <c r="N228" s="885"/>
      <c r="O228" s="888"/>
      <c r="Q228" s="1"/>
      <c r="R228" s="122"/>
      <c r="S228" s="919" t="s">
        <v>1307</v>
      </c>
      <c r="T228" s="884">
        <v>40</v>
      </c>
      <c r="U228" s="920" t="s">
        <v>1312</v>
      </c>
      <c r="V228" s="921">
        <v>8.89</v>
      </c>
      <c r="W228" s="70"/>
      <c r="X228" s="70"/>
      <c r="Y228" s="70"/>
      <c r="Z228" s="70"/>
      <c r="AA228" s="70"/>
      <c r="AB228" s="70"/>
      <c r="AC228" s="70"/>
      <c r="AD228" s="70"/>
      <c r="AE228" s="70"/>
      <c r="AF228" s="70"/>
      <c r="AG228" s="70"/>
      <c r="AH228" s="70"/>
      <c r="AI228" s="70"/>
      <c r="AJ228" s="70"/>
      <c r="AK228" s="70"/>
    </row>
    <row r="229" spans="1:37" ht="15">
      <c r="A229" s="191"/>
      <c r="B229" s="122"/>
      <c r="C229" s="885"/>
      <c r="D229" s="885"/>
      <c r="E229" s="894"/>
      <c r="F229" s="885"/>
      <c r="G229" s="885"/>
      <c r="H229" s="885"/>
      <c r="I229" s="885"/>
      <c r="J229" s="885"/>
      <c r="K229" s="885"/>
      <c r="L229" s="885"/>
      <c r="M229" s="885"/>
      <c r="N229" s="885"/>
      <c r="O229" s="888"/>
      <c r="Q229" s="1"/>
      <c r="R229" s="122"/>
      <c r="S229" s="919" t="s">
        <v>1307</v>
      </c>
      <c r="T229" s="884">
        <v>50</v>
      </c>
      <c r="U229" s="920" t="s">
        <v>1313</v>
      </c>
      <c r="V229" s="921">
        <v>9.57</v>
      </c>
      <c r="W229" s="70"/>
      <c r="X229" s="70"/>
      <c r="Y229" s="70"/>
      <c r="Z229" s="70"/>
      <c r="AA229" s="70"/>
      <c r="AB229" s="70"/>
      <c r="AC229" s="70"/>
      <c r="AD229" s="70"/>
      <c r="AE229" s="70"/>
      <c r="AF229" s="70"/>
      <c r="AG229" s="70"/>
      <c r="AH229" s="70"/>
      <c r="AI229" s="70"/>
      <c r="AJ229" s="70"/>
      <c r="AK229" s="70"/>
    </row>
    <row r="230" spans="1:37" ht="15">
      <c r="A230" s="191"/>
      <c r="B230" s="122"/>
      <c r="C230" s="885"/>
      <c r="D230" s="885"/>
      <c r="E230" s="894"/>
      <c r="F230" s="885"/>
      <c r="G230" s="885"/>
      <c r="H230" s="885"/>
      <c r="I230" s="885"/>
      <c r="J230" s="885"/>
      <c r="K230" s="885"/>
      <c r="L230" s="885"/>
      <c r="M230" s="885"/>
      <c r="N230" s="885"/>
      <c r="O230" s="888"/>
      <c r="Q230" s="1"/>
      <c r="R230" s="122"/>
      <c r="S230" s="919" t="s">
        <v>1307</v>
      </c>
      <c r="T230" s="884">
        <v>60</v>
      </c>
      <c r="U230" s="920" t="s">
        <v>1314</v>
      </c>
      <c r="V230" s="921">
        <v>10.01</v>
      </c>
      <c r="W230" s="70"/>
      <c r="X230" s="70"/>
      <c r="Y230" s="70"/>
      <c r="Z230" s="70"/>
      <c r="AA230" s="70"/>
      <c r="AB230" s="70"/>
      <c r="AC230" s="70"/>
      <c r="AD230" s="70"/>
      <c r="AE230" s="70"/>
      <c r="AF230" s="70"/>
      <c r="AG230" s="70"/>
      <c r="AH230" s="70"/>
      <c r="AI230" s="70"/>
      <c r="AJ230" s="70"/>
      <c r="AK230" s="70"/>
    </row>
    <row r="231" spans="1:37" ht="15">
      <c r="A231" s="191"/>
      <c r="B231" s="122"/>
      <c r="C231" s="885"/>
      <c r="D231" s="885"/>
      <c r="E231" s="894"/>
      <c r="F231" s="885"/>
      <c r="G231" s="885"/>
      <c r="H231" s="885"/>
      <c r="I231" s="885"/>
      <c r="J231" s="885"/>
      <c r="K231" s="885"/>
      <c r="L231" s="885"/>
      <c r="M231" s="885"/>
      <c r="N231" s="885"/>
      <c r="O231" s="888"/>
      <c r="Q231" s="1"/>
      <c r="R231" s="122"/>
      <c r="S231" s="919" t="s">
        <v>1307</v>
      </c>
      <c r="T231" s="884">
        <v>70</v>
      </c>
      <c r="U231" s="920" t="s">
        <v>1315</v>
      </c>
      <c r="V231" s="921">
        <v>10.29</v>
      </c>
      <c r="W231" s="70"/>
      <c r="X231" s="70"/>
      <c r="Y231" s="70"/>
      <c r="Z231" s="70"/>
      <c r="AA231" s="70"/>
      <c r="AB231" s="70"/>
      <c r="AC231" s="70"/>
      <c r="AD231" s="70"/>
      <c r="AE231" s="70"/>
      <c r="AF231" s="70"/>
      <c r="AG231" s="70"/>
      <c r="AH231" s="70"/>
      <c r="AI231" s="70"/>
      <c r="AJ231" s="70"/>
      <c r="AK231" s="70"/>
    </row>
    <row r="232" spans="1:37" ht="15">
      <c r="A232" s="191"/>
      <c r="B232" s="122"/>
      <c r="C232" s="885"/>
      <c r="D232" s="885"/>
      <c r="E232" s="885"/>
      <c r="F232" s="885"/>
      <c r="G232" s="885"/>
      <c r="H232" s="885"/>
      <c r="I232" s="885"/>
      <c r="J232" s="885"/>
      <c r="K232" s="885"/>
      <c r="L232" s="885"/>
      <c r="M232" s="885"/>
      <c r="N232" s="885"/>
      <c r="O232" s="888"/>
      <c r="Q232" s="1"/>
      <c r="R232" s="122"/>
      <c r="S232" s="919" t="s">
        <v>415</v>
      </c>
      <c r="T232" s="884">
        <v>0</v>
      </c>
      <c r="U232" s="920" t="s">
        <v>407</v>
      </c>
      <c r="V232" s="921">
        <v>0</v>
      </c>
      <c r="W232" s="70"/>
      <c r="X232" s="70"/>
      <c r="Y232" s="70"/>
      <c r="Z232" s="70"/>
      <c r="AA232" s="70"/>
      <c r="AB232" s="70"/>
      <c r="AC232" s="70"/>
      <c r="AD232" s="70"/>
      <c r="AE232" s="70"/>
      <c r="AF232" s="70"/>
      <c r="AG232" s="70"/>
      <c r="AH232" s="70"/>
      <c r="AI232" s="70"/>
      <c r="AJ232" s="70"/>
      <c r="AK232" s="70"/>
    </row>
    <row r="233" spans="1:37" ht="15">
      <c r="A233" s="191"/>
      <c r="B233" s="122"/>
      <c r="C233" s="122"/>
      <c r="D233" s="122"/>
      <c r="E233" s="122"/>
      <c r="F233" s="122"/>
      <c r="G233" s="122"/>
      <c r="H233" s="50"/>
      <c r="I233" s="50"/>
      <c r="J233" s="122"/>
      <c r="K233" s="122"/>
      <c r="L233" s="122"/>
      <c r="M233" s="122"/>
      <c r="N233" s="122"/>
      <c r="O233" s="1"/>
      <c r="Q233" s="1"/>
      <c r="R233" s="188"/>
      <c r="S233" s="919" t="s">
        <v>415</v>
      </c>
      <c r="T233" s="884">
        <v>10</v>
      </c>
      <c r="U233" s="920" t="s">
        <v>409</v>
      </c>
      <c r="V233" s="921">
        <v>0</v>
      </c>
      <c r="W233" s="70"/>
      <c r="X233" s="70"/>
      <c r="Y233" s="70"/>
      <c r="Z233" s="70"/>
      <c r="AA233" s="70"/>
      <c r="AB233" s="70"/>
      <c r="AC233" s="70"/>
      <c r="AD233" s="70"/>
      <c r="AE233" s="70"/>
      <c r="AF233" s="70"/>
      <c r="AG233" s="70"/>
      <c r="AH233" s="70"/>
      <c r="AI233" s="70"/>
      <c r="AJ233" s="70"/>
      <c r="AK233" s="70"/>
    </row>
    <row r="234" spans="1:37" ht="15.75" thickBot="1">
      <c r="A234" s="279"/>
      <c r="B234" s="280"/>
      <c r="C234" s="280"/>
      <c r="D234" s="280"/>
      <c r="E234" s="280"/>
      <c r="F234" s="280"/>
      <c r="G234" s="280"/>
      <c r="H234" s="280"/>
      <c r="I234" s="280"/>
      <c r="J234" s="280"/>
      <c r="K234" s="280"/>
      <c r="L234" s="122"/>
      <c r="M234" s="122"/>
      <c r="N234" s="122"/>
      <c r="O234" s="1"/>
      <c r="Q234" s="1"/>
      <c r="R234" s="188"/>
      <c r="S234" s="1003" t="s">
        <v>415</v>
      </c>
      <c r="T234" s="1004">
        <v>20</v>
      </c>
      <c r="U234" s="1005" t="s">
        <v>412</v>
      </c>
      <c r="V234" s="1006">
        <v>0</v>
      </c>
      <c r="W234" s="70"/>
      <c r="X234" s="70"/>
      <c r="Y234" s="70"/>
      <c r="Z234" s="70"/>
      <c r="AA234" s="70"/>
      <c r="AB234" s="70"/>
      <c r="AC234" s="70"/>
      <c r="AD234" s="70"/>
      <c r="AE234" s="70"/>
      <c r="AF234" s="70"/>
      <c r="AG234" s="70"/>
      <c r="AH234" s="70"/>
      <c r="AI234" s="70"/>
      <c r="AJ234" s="70"/>
      <c r="AK234" s="70"/>
    </row>
    <row r="235" spans="1:37" ht="18">
      <c r="A235" s="270" t="s">
        <v>539</v>
      </c>
      <c r="B235" s="199"/>
      <c r="C235" s="122"/>
      <c r="D235" s="122"/>
      <c r="E235" s="122"/>
      <c r="F235" s="122"/>
      <c r="G235" s="122"/>
      <c r="H235" s="122"/>
      <c r="I235" s="122"/>
      <c r="J235" s="122"/>
      <c r="K235" s="122"/>
      <c r="L235" s="122"/>
      <c r="M235" s="122"/>
      <c r="N235" s="122"/>
      <c r="O235" s="1"/>
      <c r="Q235" s="1"/>
      <c r="R235" s="188"/>
      <c r="S235" s="122"/>
      <c r="T235" s="189"/>
      <c r="U235" s="122"/>
      <c r="V235" s="122"/>
      <c r="W235" s="70"/>
      <c r="X235" s="70"/>
      <c r="Y235" s="70"/>
      <c r="Z235" s="70"/>
      <c r="AA235" s="70"/>
      <c r="AB235" s="70"/>
      <c r="AC235" s="70"/>
      <c r="AD235" s="70"/>
      <c r="AE235" s="70"/>
      <c r="AF235" s="70"/>
      <c r="AG235" s="70"/>
      <c r="AH235" s="70"/>
      <c r="AI235" s="70"/>
      <c r="AJ235" s="70"/>
      <c r="AK235" s="70"/>
    </row>
    <row r="236" spans="1:37" ht="13.5" thickBot="1">
      <c r="A236" s="191"/>
      <c r="B236" s="122"/>
      <c r="C236" s="122"/>
      <c r="D236" s="122"/>
      <c r="E236" s="122"/>
      <c r="F236" s="122"/>
      <c r="G236" s="122"/>
      <c r="H236" s="122"/>
      <c r="I236" s="122"/>
      <c r="J236" s="122"/>
      <c r="K236" s="122"/>
      <c r="L236" s="122"/>
      <c r="M236" s="122"/>
      <c r="N236" s="122"/>
      <c r="O236" s="1"/>
      <c r="Q236" s="1"/>
      <c r="R236" s="188"/>
      <c r="S236" s="122"/>
      <c r="T236" s="189"/>
      <c r="U236" s="122"/>
      <c r="V236" s="122"/>
      <c r="W236" s="70"/>
      <c r="X236" s="70"/>
      <c r="Y236" s="70"/>
      <c r="Z236" s="70"/>
      <c r="AA236" s="70"/>
      <c r="AB236" s="70"/>
      <c r="AC236" s="70"/>
      <c r="AD236" s="70"/>
      <c r="AE236" s="70"/>
      <c r="AF236" s="70"/>
      <c r="AG236" s="70"/>
      <c r="AH236" s="70"/>
      <c r="AI236" s="70"/>
      <c r="AJ236" s="70"/>
      <c r="AK236" s="70"/>
    </row>
    <row r="237" spans="1:37" ht="13.5" thickBot="1">
      <c r="A237" s="186" t="s">
        <v>678</v>
      </c>
      <c r="B237" s="57" t="s">
        <v>679</v>
      </c>
      <c r="D237" s="122"/>
      <c r="E237" s="122"/>
      <c r="F237" s="1224" t="s">
        <v>448</v>
      </c>
      <c r="G237" s="1225"/>
      <c r="H237" s="223"/>
      <c r="I237" s="241" t="s">
        <v>465</v>
      </c>
      <c r="J237" s="122"/>
      <c r="K237" s="122"/>
      <c r="L237" s="122"/>
      <c r="M237" s="122"/>
      <c r="N237" s="122"/>
      <c r="O237" s="1"/>
      <c r="Q237" s="1"/>
      <c r="R237" s="856"/>
      <c r="S237" s="122"/>
      <c r="T237" s="189"/>
      <c r="U237" s="122"/>
      <c r="V237" s="122"/>
      <c r="W237" s="70"/>
      <c r="X237" s="70"/>
      <c r="Y237" s="70"/>
      <c r="Z237" s="70"/>
      <c r="AA237" s="70"/>
      <c r="AB237" s="70"/>
      <c r="AC237" s="70"/>
      <c r="AD237" s="70"/>
      <c r="AE237" s="70"/>
      <c r="AF237" s="70"/>
      <c r="AG237" s="70"/>
      <c r="AH237" s="70"/>
      <c r="AI237" s="70"/>
      <c r="AJ237" s="70"/>
      <c r="AK237" s="70"/>
    </row>
    <row r="238" spans="1:37" ht="12.75">
      <c r="A238" s="187" t="s">
        <v>377</v>
      </c>
      <c r="B238" s="58">
        <f>UtilityName</f>
        <v>0</v>
      </c>
      <c r="C238" s="122"/>
      <c r="D238" s="122"/>
      <c r="E238" s="122"/>
      <c r="F238" s="224" t="s">
        <v>449</v>
      </c>
      <c r="G238" s="225">
        <f>DiscountRate</f>
        <v>0.05</v>
      </c>
      <c r="H238" s="223"/>
      <c r="I238" s="242" t="s">
        <v>466</v>
      </c>
      <c r="J238" s="122"/>
      <c r="K238" s="122"/>
      <c r="L238" s="122"/>
      <c r="M238" s="122"/>
      <c r="N238" s="122"/>
      <c r="O238" s="1"/>
      <c r="Q238" s="1"/>
      <c r="R238" s="856"/>
      <c r="S238" s="122"/>
      <c r="T238" s="189"/>
      <c r="U238" s="122"/>
      <c r="V238" s="122"/>
      <c r="W238" s="70"/>
      <c r="X238" s="70"/>
      <c r="Y238" s="70"/>
      <c r="Z238" s="70"/>
      <c r="AA238" s="70"/>
      <c r="AB238" s="70"/>
      <c r="AC238" s="70"/>
      <c r="AD238" s="70"/>
      <c r="AE238" s="70"/>
      <c r="AF238" s="70"/>
      <c r="AG238" s="70"/>
      <c r="AH238" s="70"/>
      <c r="AI238" s="70"/>
      <c r="AJ238" s="70"/>
      <c r="AK238" s="70"/>
    </row>
    <row r="239" spans="3:37" ht="25.5">
      <c r="C239" s="122"/>
      <c r="D239" s="122"/>
      <c r="E239" s="122"/>
      <c r="F239" s="224" t="s">
        <v>450</v>
      </c>
      <c r="G239" s="226">
        <f>MeasureLife_Default</f>
        <v>10</v>
      </c>
      <c r="H239" s="223"/>
      <c r="I239" s="243" t="s">
        <v>467</v>
      </c>
      <c r="J239" s="122"/>
      <c r="K239" s="122"/>
      <c r="L239" s="122"/>
      <c r="M239" s="122"/>
      <c r="N239" s="122"/>
      <c r="O239" s="1"/>
      <c r="Q239" s="1"/>
      <c r="R239" s="856"/>
      <c r="S239" s="122"/>
      <c r="T239" s="189"/>
      <c r="U239" s="122"/>
      <c r="V239" s="122"/>
      <c r="W239" s="70"/>
      <c r="X239" s="70"/>
      <c r="Y239" s="70"/>
      <c r="Z239" s="70"/>
      <c r="AA239" s="70"/>
      <c r="AB239" s="70"/>
      <c r="AC239" s="70"/>
      <c r="AD239" s="70"/>
      <c r="AE239" s="70"/>
      <c r="AF239" s="70"/>
      <c r="AG239" s="70"/>
      <c r="AH239" s="70"/>
      <c r="AI239" s="70"/>
      <c r="AJ239" s="70"/>
      <c r="AK239" s="70"/>
    </row>
    <row r="240" spans="1:37" ht="25.5">
      <c r="A240" s="268"/>
      <c r="C240" s="122"/>
      <c r="D240" s="193" t="s">
        <v>514</v>
      </c>
      <c r="E240" s="193" t="s">
        <v>516</v>
      </c>
      <c r="F240" s="224" t="s">
        <v>451</v>
      </c>
      <c r="G240" s="227">
        <f>OandM</f>
        <v>0</v>
      </c>
      <c r="H240" s="228"/>
      <c r="I240" s="243" t="s">
        <v>468</v>
      </c>
      <c r="J240" s="122"/>
      <c r="K240" s="122"/>
      <c r="L240" s="122"/>
      <c r="M240" s="122"/>
      <c r="N240" s="122"/>
      <c r="O240" s="1"/>
      <c r="Q240" s="1"/>
      <c r="R240" s="228"/>
      <c r="S240" s="122"/>
      <c r="T240" s="189"/>
      <c r="U240" s="122"/>
      <c r="V240" s="122"/>
      <c r="W240" s="70"/>
      <c r="X240" s="70"/>
      <c r="Y240" s="70"/>
      <c r="Z240" s="70"/>
      <c r="AA240" s="70"/>
      <c r="AB240" s="70"/>
      <c r="AC240" s="70"/>
      <c r="AD240" s="70"/>
      <c r="AE240" s="70"/>
      <c r="AF240" s="70"/>
      <c r="AG240" s="70"/>
      <c r="AH240" s="70"/>
      <c r="AI240" s="70"/>
      <c r="AJ240" s="70"/>
      <c r="AK240" s="70"/>
    </row>
    <row r="241" spans="3:37" ht="12.75">
      <c r="C241" s="122"/>
      <c r="D241" s="193" t="s">
        <v>515</v>
      </c>
      <c r="E241" s="193" t="s">
        <v>515</v>
      </c>
      <c r="F241" s="228"/>
      <c r="G241" s="228"/>
      <c r="H241" s="228"/>
      <c r="I241" s="243" t="s">
        <v>469</v>
      </c>
      <c r="J241" s="122"/>
      <c r="K241" s="122"/>
      <c r="L241" s="122"/>
      <c r="M241" s="122"/>
      <c r="N241" s="122"/>
      <c r="O241" s="1"/>
      <c r="Q241" s="1"/>
      <c r="R241" s="228"/>
      <c r="S241" s="122"/>
      <c r="T241" s="189"/>
      <c r="U241" s="122"/>
      <c r="V241" s="122"/>
      <c r="W241" s="70"/>
      <c r="X241" s="70"/>
      <c r="Y241" s="70"/>
      <c r="Z241" s="70"/>
      <c r="AA241" s="70"/>
      <c r="AB241" s="70"/>
      <c r="AC241" s="70"/>
      <c r="AD241" s="70"/>
      <c r="AE241" s="70"/>
      <c r="AF241" s="70"/>
      <c r="AG241" s="70"/>
      <c r="AH241" s="70"/>
      <c r="AI241" s="70"/>
      <c r="AJ241" s="70"/>
      <c r="AK241" s="70"/>
    </row>
    <row r="242" spans="3:37" ht="12.75">
      <c r="C242" s="122"/>
      <c r="D242" s="99" t="s">
        <v>534</v>
      </c>
      <c r="E242" s="99" t="s">
        <v>526</v>
      </c>
      <c r="F242" s="229" t="s">
        <v>452</v>
      </c>
      <c r="G242" s="285" t="s">
        <v>453</v>
      </c>
      <c r="H242" s="285" t="s">
        <v>454</v>
      </c>
      <c r="I242" s="122"/>
      <c r="J242" s="122"/>
      <c r="K242" s="122"/>
      <c r="L242" s="122"/>
      <c r="M242" s="122"/>
      <c r="N242" s="122"/>
      <c r="O242" s="1"/>
      <c r="Q242" s="1"/>
      <c r="R242" s="228"/>
      <c r="S242" s="122"/>
      <c r="T242" s="189"/>
      <c r="U242" s="122"/>
      <c r="V242" s="122"/>
      <c r="W242" s="70"/>
      <c r="X242" s="70"/>
      <c r="Y242" s="70"/>
      <c r="Z242" s="70"/>
      <c r="AA242" s="70"/>
      <c r="AB242" s="70"/>
      <c r="AC242" s="70"/>
      <c r="AD242" s="70"/>
      <c r="AE242" s="70"/>
      <c r="AF242" s="70"/>
      <c r="AG242" s="70"/>
      <c r="AH242" s="70"/>
      <c r="AI242" s="70"/>
      <c r="AJ242" s="70"/>
      <c r="AK242" s="70"/>
    </row>
    <row r="243" spans="1:37" ht="13.5" thickBot="1">
      <c r="A243" s="267"/>
      <c r="B243" s="283"/>
      <c r="C243" s="122" t="s">
        <v>480</v>
      </c>
      <c r="D243" s="193" t="str">
        <f>VLOOKUP($C$243,$C$245:$E$256,2,FALSE)</f>
        <v>IndShift1</v>
      </c>
      <c r="E243" s="604">
        <f>VLOOKUP($C$243,$C$245:$E$256,3,FALSE)</f>
        <v>0.8372006897755906</v>
      </c>
      <c r="F243" s="230" t="s">
        <v>455</v>
      </c>
      <c r="G243" s="231">
        <f>IF(EstUtilEligibleCost&gt;0,EstUtilEligibleCost,0)</f>
        <v>0</v>
      </c>
      <c r="H243" s="232">
        <f>(IF(EstUtilEligibleCost&lt;0,EstUtilEligibleCost,0))*-1</f>
        <v>0</v>
      </c>
      <c r="I243" s="276" t="s">
        <v>531</v>
      </c>
      <c r="J243" s="122"/>
      <c r="K243" s="122"/>
      <c r="L243" s="122"/>
      <c r="M243" s="122"/>
      <c r="N243" s="122"/>
      <c r="O243" s="1"/>
      <c r="Q243" s="1"/>
      <c r="R243" s="228"/>
      <c r="S243" s="122"/>
      <c r="T243" s="189"/>
      <c r="U243" s="122"/>
      <c r="V243" s="122"/>
      <c r="W243" s="70"/>
      <c r="X243" s="70"/>
      <c r="Y243" s="70"/>
      <c r="Z243" s="70"/>
      <c r="AA243" s="70"/>
      <c r="AB243" s="70"/>
      <c r="AC243" s="70"/>
      <c r="AD243" s="70"/>
      <c r="AE243" s="70"/>
      <c r="AF243" s="70"/>
      <c r="AG243" s="70"/>
      <c r="AH243" s="70"/>
      <c r="AI243" s="70"/>
      <c r="AJ243" s="70"/>
      <c r="AK243" s="70"/>
    </row>
    <row r="244" spans="1:37" ht="13.5" thickBot="1">
      <c r="A244" s="269" t="s">
        <v>509</v>
      </c>
      <c r="B244" s="222">
        <f>ElectricityRate</f>
        <v>0.045</v>
      </c>
      <c r="C244" s="249" t="s">
        <v>492</v>
      </c>
      <c r="D244" s="250" t="s">
        <v>479</v>
      </c>
      <c r="E244" s="251" t="s">
        <v>457</v>
      </c>
      <c r="F244" s="236" t="s">
        <v>456</v>
      </c>
      <c r="G244" s="231">
        <f>IF(PV_OandM&gt;0,PV_OandM,0)</f>
        <v>0</v>
      </c>
      <c r="H244" s="232">
        <f>(IF(PV_OandM&lt;0,PV_OandM,0))*-1</f>
        <v>0</v>
      </c>
      <c r="I244" s="276" t="s">
        <v>532</v>
      </c>
      <c r="J244" s="122"/>
      <c r="K244" s="122"/>
      <c r="L244" s="122"/>
      <c r="M244" s="122"/>
      <c r="N244" s="122"/>
      <c r="O244" s="1"/>
      <c r="Q244" s="1"/>
      <c r="R244" s="228"/>
      <c r="S244" s="122"/>
      <c r="T244" s="189"/>
      <c r="U244" s="122"/>
      <c r="V244" s="122"/>
      <c r="W244" s="70"/>
      <c r="X244" s="70"/>
      <c r="Y244" s="70"/>
      <c r="Z244" s="70"/>
      <c r="AA244" s="70"/>
      <c r="AB244" s="70"/>
      <c r="AC244" s="70"/>
      <c r="AD244" s="70"/>
      <c r="AE244" s="70"/>
      <c r="AF244" s="70"/>
      <c r="AG244" s="70"/>
      <c r="AH244" s="70"/>
      <c r="AI244" s="70"/>
      <c r="AJ244" s="70"/>
      <c r="AK244" s="70"/>
    </row>
    <row r="245" spans="1:37" ht="12.75">
      <c r="A245" s="255" t="s">
        <v>464</v>
      </c>
      <c r="B245" s="259">
        <f>EstUtilEligibleCost</f>
        <v>0</v>
      </c>
      <c r="C245" s="271" t="s">
        <v>480</v>
      </c>
      <c r="D245" s="273" t="s">
        <v>411</v>
      </c>
      <c r="E245" s="246">
        <v>0.8372006897755906</v>
      </c>
      <c r="F245" s="236" t="s">
        <v>457</v>
      </c>
      <c r="G245" s="231" t="e">
        <f>IF(PV_Energy_Savings&lt;0,(-1*PV_Energy_Savings),0)</f>
        <v>#N/A</v>
      </c>
      <c r="H245" s="232" t="e">
        <f>IF(PV_Energy_Savings&gt;0,PV_Energy_Savings,0)</f>
        <v>#N/A</v>
      </c>
      <c r="I245" s="122"/>
      <c r="J245" s="122"/>
      <c r="K245" s="122"/>
      <c r="L245" s="122"/>
      <c r="M245" s="122"/>
      <c r="N245" s="122"/>
      <c r="O245" s="1"/>
      <c r="Q245" s="1"/>
      <c r="R245" s="228"/>
      <c r="S245" s="122"/>
      <c r="T245" s="189"/>
      <c r="U245" s="122"/>
      <c r="V245" s="122"/>
      <c r="W245" s="70"/>
      <c r="X245" s="70"/>
      <c r="Y245" s="70"/>
      <c r="Z245" s="70"/>
      <c r="AA245" s="70"/>
      <c r="AB245" s="70"/>
      <c r="AC245" s="70"/>
      <c r="AD245" s="70"/>
      <c r="AE245" s="70"/>
      <c r="AF245" s="70"/>
      <c r="AG245" s="70"/>
      <c r="AH245" s="70"/>
      <c r="AI245" s="70"/>
      <c r="AJ245" s="70"/>
      <c r="AK245" s="70"/>
    </row>
    <row r="246" spans="1:37" ht="12.75">
      <c r="A246" s="255" t="s">
        <v>503</v>
      </c>
      <c r="B246" s="260" t="e">
        <f>kWhSaved</f>
        <v>#N/A</v>
      </c>
      <c r="C246" s="271" t="s">
        <v>481</v>
      </c>
      <c r="D246" s="274" t="s">
        <v>413</v>
      </c>
      <c r="E246" s="247">
        <v>0.8274527545784934</v>
      </c>
      <c r="F246" s="236" t="s">
        <v>458</v>
      </c>
      <c r="G246" s="231">
        <f>IF(PV_Non_EnergyBenefits&lt;0,(-1*PV_Non_EnergyBenefits),0)</f>
        <v>0</v>
      </c>
      <c r="H246" s="232">
        <f>IF(PV_Non_EnergyBenefits&gt;0,PV_Non_EnergyBenefits,0)</f>
        <v>0</v>
      </c>
      <c r="I246" s="122"/>
      <c r="J246" s="122"/>
      <c r="K246" s="122"/>
      <c r="L246" s="122"/>
      <c r="M246" s="122"/>
      <c r="N246" s="122"/>
      <c r="O246" s="1"/>
      <c r="Q246" s="1"/>
      <c r="R246" s="228"/>
      <c r="S246" s="122"/>
      <c r="T246" s="189"/>
      <c r="U246" s="122"/>
      <c r="V246" s="122"/>
      <c r="W246" s="70"/>
      <c r="X246" s="70"/>
      <c r="Y246" s="70"/>
      <c r="Z246" s="70"/>
      <c r="AA246" s="70"/>
      <c r="AB246" s="70"/>
      <c r="AC246" s="70"/>
      <c r="AD246" s="70"/>
      <c r="AE246" s="70"/>
      <c r="AF246" s="70"/>
      <c r="AG246" s="70"/>
      <c r="AH246" s="70"/>
      <c r="AI246" s="70"/>
      <c r="AJ246" s="70"/>
      <c r="AK246" s="70"/>
    </row>
    <row r="247" spans="1:37" ht="12.75">
      <c r="A247" s="255" t="s">
        <v>495</v>
      </c>
      <c r="B247" s="260" t="e">
        <f>BusbarElectricitySavedkWh</f>
        <v>#N/A</v>
      </c>
      <c r="C247" s="271" t="s">
        <v>482</v>
      </c>
      <c r="D247" s="274" t="s">
        <v>414</v>
      </c>
      <c r="E247" s="247">
        <v>0.7999742861572201</v>
      </c>
      <c r="F247" s="236" t="s">
        <v>459</v>
      </c>
      <c r="G247" s="231" t="e">
        <f>SUM(G243:G246)</f>
        <v>#N/A</v>
      </c>
      <c r="H247" s="232" t="e">
        <f>SUM(H243:H246)</f>
        <v>#N/A</v>
      </c>
      <c r="I247" s="122"/>
      <c r="J247" s="122"/>
      <c r="K247" s="122"/>
      <c r="L247" s="122"/>
      <c r="M247" s="122"/>
      <c r="N247" s="122"/>
      <c r="O247" s="1"/>
      <c r="Q247" s="1"/>
      <c r="R247" s="228"/>
      <c r="S247" s="122"/>
      <c r="T247" s="189"/>
      <c r="U247" s="122"/>
      <c r="V247" s="122"/>
      <c r="W247" s="70"/>
      <c r="X247" s="70"/>
      <c r="Y247" s="70"/>
      <c r="Z247" s="70"/>
      <c r="AA247" s="70"/>
      <c r="AB247" s="70"/>
      <c r="AC247" s="70"/>
      <c r="AD247" s="70"/>
      <c r="AE247" s="70"/>
      <c r="AF247" s="70"/>
      <c r="AG247" s="70"/>
      <c r="AH247" s="70"/>
      <c r="AI247" s="70"/>
      <c r="AJ247" s="70"/>
      <c r="AK247" s="70"/>
    </row>
    <row r="248" spans="1:37" ht="12.75">
      <c r="A248" s="256" t="s">
        <v>504</v>
      </c>
      <c r="B248" s="259" t="e">
        <f>ElectricityCostSavings</f>
        <v>#N/A</v>
      </c>
      <c r="C248" s="271" t="s">
        <v>488</v>
      </c>
      <c r="D248" s="274" t="s">
        <v>475</v>
      </c>
      <c r="E248" s="247">
        <v>0.7939546618340351</v>
      </c>
      <c r="F248" s="236"/>
      <c r="G248" s="233"/>
      <c r="H248" s="234"/>
      <c r="I248" s="122"/>
      <c r="J248" s="122"/>
      <c r="K248" s="122"/>
      <c r="L248" s="122"/>
      <c r="M248" s="122"/>
      <c r="N248" s="122"/>
      <c r="O248" s="1"/>
      <c r="Q248" s="1"/>
      <c r="R248" s="856"/>
      <c r="S248" s="122"/>
      <c r="T248" s="189"/>
      <c r="U248" s="122"/>
      <c r="V248" s="122"/>
      <c r="W248" s="70"/>
      <c r="X248" s="70"/>
      <c r="Y248" s="70"/>
      <c r="Z248" s="70"/>
      <c r="AA248" s="70"/>
      <c r="AB248" s="70"/>
      <c r="AC248" s="70"/>
      <c r="AD248" s="70"/>
      <c r="AE248" s="70"/>
      <c r="AF248" s="70"/>
      <c r="AG248" s="70"/>
      <c r="AH248" s="70"/>
      <c r="AI248" s="70"/>
      <c r="AJ248" s="70"/>
      <c r="AK248" s="70"/>
    </row>
    <row r="249" spans="1:37" ht="13.5" thickBot="1">
      <c r="A249" s="256" t="s">
        <v>502</v>
      </c>
      <c r="B249" s="286">
        <f>-(OandMReduction)</f>
        <v>0</v>
      </c>
      <c r="C249" s="271" t="s">
        <v>485</v>
      </c>
      <c r="D249" s="274" t="s">
        <v>472</v>
      </c>
      <c r="E249" s="247">
        <v>0.7950011895552275</v>
      </c>
      <c r="F249" s="236"/>
      <c r="G249" s="233"/>
      <c r="H249" s="230"/>
      <c r="I249" s="122"/>
      <c r="J249" s="122"/>
      <c r="K249" s="122"/>
      <c r="L249" s="122"/>
      <c r="M249" s="122"/>
      <c r="N249" s="122"/>
      <c r="O249" s="1"/>
      <c r="Q249" s="1"/>
      <c r="R249" s="856"/>
      <c r="S249" s="122"/>
      <c r="T249" s="189"/>
      <c r="U249" s="122"/>
      <c r="V249" s="122"/>
      <c r="W249" s="70"/>
      <c r="X249" s="70"/>
      <c r="Y249" s="70"/>
      <c r="Z249" s="70"/>
      <c r="AA249" s="70"/>
      <c r="AB249" s="70"/>
      <c r="AC249" s="70"/>
      <c r="AD249" s="70"/>
      <c r="AE249" s="70"/>
      <c r="AF249" s="70"/>
      <c r="AG249" s="70"/>
      <c r="AH249" s="70"/>
      <c r="AI249" s="70"/>
      <c r="AJ249" s="70"/>
      <c r="AK249" s="70"/>
    </row>
    <row r="250" spans="1:37" ht="13.5" thickBot="1">
      <c r="A250" s="256" t="s">
        <v>497</v>
      </c>
      <c r="B250" s="261">
        <f>PV_OandM</f>
        <v>0</v>
      </c>
      <c r="C250" s="271" t="s">
        <v>486</v>
      </c>
      <c r="D250" s="274" t="s">
        <v>473</v>
      </c>
      <c r="E250" s="247">
        <v>0.8037192654130924</v>
      </c>
      <c r="F250" s="244" t="s">
        <v>460</v>
      </c>
      <c r="G250" s="235" t="e">
        <f>IF(H247=0,"Negative",IF(AND(G247&gt;0,H247&gt;0),(H247/G247),"Infinite"))</f>
        <v>#N/A</v>
      </c>
      <c r="H250" s="236"/>
      <c r="I250" s="122"/>
      <c r="J250" s="122"/>
      <c r="K250" s="122"/>
      <c r="L250" s="122"/>
      <c r="M250" s="122"/>
      <c r="N250" s="122"/>
      <c r="O250" s="1"/>
      <c r="Q250" s="1"/>
      <c r="R250" s="856"/>
      <c r="S250" s="122"/>
      <c r="T250" s="189"/>
      <c r="U250" s="122"/>
      <c r="V250" s="122"/>
      <c r="W250" s="70"/>
      <c r="X250" s="70"/>
      <c r="Y250" s="70"/>
      <c r="Z250" s="70"/>
      <c r="AA250" s="70"/>
      <c r="AB250" s="70"/>
      <c r="AC250" s="70"/>
      <c r="AD250" s="70"/>
      <c r="AE250" s="70"/>
      <c r="AF250" s="70"/>
      <c r="AG250" s="70"/>
      <c r="AH250" s="70"/>
      <c r="AI250" s="70"/>
      <c r="AJ250" s="70"/>
      <c r="AK250" s="70"/>
    </row>
    <row r="251" spans="1:37" ht="12.75">
      <c r="A251" s="256" t="s">
        <v>505</v>
      </c>
      <c r="B251" s="284">
        <f>NonEnergyBenefits</f>
        <v>0</v>
      </c>
      <c r="C251" s="271" t="s">
        <v>490</v>
      </c>
      <c r="D251" s="274" t="s">
        <v>477</v>
      </c>
      <c r="E251" s="247">
        <v>0.7963029574764117</v>
      </c>
      <c r="F251" s="228"/>
      <c r="G251" s="228"/>
      <c r="H251" s="228"/>
      <c r="I251" s="122"/>
      <c r="J251" s="122"/>
      <c r="K251" s="122"/>
      <c r="L251" s="122"/>
      <c r="M251" s="122"/>
      <c r="N251" s="122"/>
      <c r="O251" s="1"/>
      <c r="Q251" s="1"/>
      <c r="R251" s="856"/>
      <c r="S251" s="122"/>
      <c r="T251" s="189"/>
      <c r="U251" s="122"/>
      <c r="V251" s="122"/>
      <c r="W251" s="70"/>
      <c r="X251" s="70"/>
      <c r="Y251" s="70"/>
      <c r="Z251" s="70"/>
      <c r="AA251" s="70"/>
      <c r="AB251" s="70"/>
      <c r="AC251" s="70"/>
      <c r="AD251" s="70"/>
      <c r="AE251" s="70"/>
      <c r="AF251" s="70"/>
      <c r="AG251" s="70"/>
      <c r="AH251" s="70"/>
      <c r="AI251" s="70"/>
      <c r="AJ251" s="70"/>
      <c r="AK251" s="70"/>
    </row>
    <row r="252" spans="1:37" ht="12.75">
      <c r="A252" s="257" t="s">
        <v>498</v>
      </c>
      <c r="B252" s="259">
        <f>PV_Non_EnergyBenefits</f>
        <v>0</v>
      </c>
      <c r="C252" s="271" t="s">
        <v>489</v>
      </c>
      <c r="D252" s="274" t="s">
        <v>476</v>
      </c>
      <c r="E252" s="247">
        <v>0.7889332442105276</v>
      </c>
      <c r="F252" s="236"/>
      <c r="G252" s="237" t="s">
        <v>461</v>
      </c>
      <c r="H252" s="237" t="s">
        <v>462</v>
      </c>
      <c r="I252" s="122"/>
      <c r="J252" s="122"/>
      <c r="K252" s="122"/>
      <c r="L252" s="122"/>
      <c r="M252" s="122"/>
      <c r="N252" s="122"/>
      <c r="O252" s="1"/>
      <c r="Q252" s="1"/>
      <c r="R252" s="188"/>
      <c r="S252" s="122"/>
      <c r="T252" s="189"/>
      <c r="U252" s="122"/>
      <c r="V252" s="122"/>
      <c r="W252" s="70"/>
      <c r="X252" s="70"/>
      <c r="Y252" s="70"/>
      <c r="Z252" s="70"/>
      <c r="AA252" s="70"/>
      <c r="AB252" s="70"/>
      <c r="AC252" s="70"/>
      <c r="AD252" s="70"/>
      <c r="AE252" s="70"/>
      <c r="AF252" s="70"/>
      <c r="AG252" s="70"/>
      <c r="AH252" s="70"/>
      <c r="AI252" s="70"/>
      <c r="AJ252" s="70"/>
      <c r="AK252" s="70"/>
    </row>
    <row r="253" spans="1:37" ht="12.75">
      <c r="A253" s="258" t="s">
        <v>494</v>
      </c>
      <c r="B253" s="262">
        <v>10</v>
      </c>
      <c r="C253" s="271" t="s">
        <v>483</v>
      </c>
      <c r="D253" s="274" t="s">
        <v>470</v>
      </c>
      <c r="E253" s="247">
        <v>0.7912551604704087</v>
      </c>
      <c r="F253" s="236" t="s">
        <v>457</v>
      </c>
      <c r="G253" s="238">
        <f>PV_kWh</f>
        <v>0.8372006897755906</v>
      </c>
      <c r="H253" s="239" t="e">
        <f>PV_kWh*BusbarElectricitySavedkWh</f>
        <v>#N/A</v>
      </c>
      <c r="I253" s="71" t="s">
        <v>533</v>
      </c>
      <c r="J253" s="200" t="s">
        <v>530</v>
      </c>
      <c r="K253" s="122"/>
      <c r="L253" s="122"/>
      <c r="M253" s="122"/>
      <c r="N253" s="122"/>
      <c r="O253" s="1"/>
      <c r="Q253" s="1"/>
      <c r="R253" s="188"/>
      <c r="S253" s="122"/>
      <c r="T253" s="189"/>
      <c r="U253" s="122"/>
      <c r="V253" s="122"/>
      <c r="W253" s="70"/>
      <c r="X253" s="70"/>
      <c r="Y253" s="70"/>
      <c r="Z253" s="70"/>
      <c r="AA253" s="70"/>
      <c r="AB253" s="70"/>
      <c r="AC253" s="70"/>
      <c r="AD253" s="70"/>
      <c r="AE253" s="70"/>
      <c r="AF253" s="70"/>
      <c r="AG253" s="70"/>
      <c r="AH253" s="70"/>
      <c r="AI253" s="70"/>
      <c r="AJ253" s="70"/>
      <c r="AK253" s="70"/>
    </row>
    <row r="254" spans="1:37" ht="12.75">
      <c r="A254" s="255" t="s">
        <v>499</v>
      </c>
      <c r="B254" s="259" t="e">
        <f>PV_Energy_Savings</f>
        <v>#N/A</v>
      </c>
      <c r="C254" s="271" t="s">
        <v>487</v>
      </c>
      <c r="D254" s="274" t="s">
        <v>474</v>
      </c>
      <c r="E254" s="247">
        <v>0.7896192187619833</v>
      </c>
      <c r="F254" s="236" t="s">
        <v>458</v>
      </c>
      <c r="G254" s="240" t="e">
        <f>PV_Non_EnergyBenefits/BusbarElectricitySavedkWh</f>
        <v>#N/A</v>
      </c>
      <c r="H254" s="239">
        <f>Non_EnergyBenefits*(1-((1/(1+DiscountRate))^MeasureLife_Default))/DiscountRate</f>
        <v>0</v>
      </c>
      <c r="I254" s="71" t="s">
        <v>525</v>
      </c>
      <c r="J254" s="122"/>
      <c r="K254" s="122"/>
      <c r="L254" s="122"/>
      <c r="M254" s="122"/>
      <c r="N254" s="122"/>
      <c r="O254" s="1"/>
      <c r="Q254" s="1"/>
      <c r="R254" s="188"/>
      <c r="S254" s="122"/>
      <c r="T254" s="189"/>
      <c r="U254" s="122"/>
      <c r="V254" s="122"/>
      <c r="W254" s="70"/>
      <c r="X254" s="70"/>
      <c r="Y254" s="70"/>
      <c r="Z254" s="70"/>
      <c r="AA254" s="70"/>
      <c r="AB254" s="70"/>
      <c r="AC254" s="70"/>
      <c r="AD254" s="70"/>
      <c r="AE254" s="70"/>
      <c r="AF254" s="70"/>
      <c r="AG254" s="70"/>
      <c r="AH254" s="70"/>
      <c r="AI254" s="70"/>
      <c r="AJ254" s="70"/>
      <c r="AK254" s="70"/>
    </row>
    <row r="255" spans="1:37" ht="12.75">
      <c r="A255" s="256" t="s">
        <v>388</v>
      </c>
      <c r="B255" s="262" t="str">
        <f>Electric_LoadProfile</f>
        <v>IndShift1</v>
      </c>
      <c r="C255" s="271" t="s">
        <v>491</v>
      </c>
      <c r="D255" s="274" t="s">
        <v>478</v>
      </c>
      <c r="E255" s="247">
        <v>0.8000068515850299</v>
      </c>
      <c r="F255" s="245" t="s">
        <v>456</v>
      </c>
      <c r="G255" s="240" t="e">
        <f>PV_OandM/BusbarElectricitySavedkWh</f>
        <v>#N/A</v>
      </c>
      <c r="H255" s="252">
        <f>OandM*(1-((1/(1+DiscountRate))^MeasureLife_Default))/DiscountRate</f>
        <v>0</v>
      </c>
      <c r="I255" s="71" t="s">
        <v>524</v>
      </c>
      <c r="J255" s="122"/>
      <c r="K255" s="122"/>
      <c r="L255" s="122"/>
      <c r="M255" s="122"/>
      <c r="N255" s="122"/>
      <c r="O255" s="1"/>
      <c r="Q255" s="1"/>
      <c r="R255" s="122"/>
      <c r="S255" s="122"/>
      <c r="T255" s="189"/>
      <c r="U255" s="122"/>
      <c r="V255" s="122"/>
      <c r="W255" s="70"/>
      <c r="X255" s="70"/>
      <c r="Y255" s="70"/>
      <c r="Z255" s="70"/>
      <c r="AA255" s="70"/>
      <c r="AB255" s="70"/>
      <c r="AC255" s="70"/>
      <c r="AD255" s="70"/>
      <c r="AE255" s="70"/>
      <c r="AF255" s="70"/>
      <c r="AG255" s="70"/>
      <c r="AH255" s="70"/>
      <c r="AI255" s="70"/>
      <c r="AJ255" s="70"/>
      <c r="AK255" s="70"/>
    </row>
    <row r="256" spans="1:37" ht="13.5" thickBot="1">
      <c r="A256" s="257" t="s">
        <v>496</v>
      </c>
      <c r="B256" s="263" t="e">
        <f>B245/B248</f>
        <v>#N/A</v>
      </c>
      <c r="C256" s="272" t="s">
        <v>484</v>
      </c>
      <c r="D256" s="275" t="s">
        <v>471</v>
      </c>
      <c r="E256" s="248">
        <v>0.8000068515785766</v>
      </c>
      <c r="F256" s="122"/>
      <c r="G256" s="122"/>
      <c r="H256" s="122"/>
      <c r="I256" s="122"/>
      <c r="J256" s="122"/>
      <c r="K256" s="122"/>
      <c r="L256" s="122"/>
      <c r="M256" s="122"/>
      <c r="N256" s="122"/>
      <c r="O256" s="1"/>
      <c r="Q256" s="1"/>
      <c r="R256" s="857"/>
      <c r="S256" s="122"/>
      <c r="T256" s="189"/>
      <c r="U256" s="122"/>
      <c r="V256" s="122"/>
      <c r="W256" s="70"/>
      <c r="X256" s="70"/>
      <c r="Y256" s="70"/>
      <c r="Z256" s="70"/>
      <c r="AA256" s="70"/>
      <c r="AB256" s="70"/>
      <c r="AC256" s="70"/>
      <c r="AD256" s="70"/>
      <c r="AE256" s="70"/>
      <c r="AF256" s="70"/>
      <c r="AG256" s="70"/>
      <c r="AH256" s="70"/>
      <c r="AI256" s="70"/>
      <c r="AJ256" s="70"/>
      <c r="AK256" s="70"/>
    </row>
    <row r="257" spans="1:37" ht="12.75">
      <c r="A257" s="255" t="s">
        <v>463</v>
      </c>
      <c r="B257" s="264">
        <f>UtilityIncentiveCap</f>
        <v>0</v>
      </c>
      <c r="C257" s="122"/>
      <c r="D257" s="122"/>
      <c r="E257" s="122"/>
      <c r="F257" s="86" t="s">
        <v>506</v>
      </c>
      <c r="G257" s="253">
        <f>G243*B257</f>
        <v>0</v>
      </c>
      <c r="H257" s="122"/>
      <c r="I257" s="200" t="s">
        <v>523</v>
      </c>
      <c r="J257" s="122"/>
      <c r="K257" s="122"/>
      <c r="L257" s="122"/>
      <c r="M257" s="122"/>
      <c r="N257" s="122"/>
      <c r="O257" s="1"/>
      <c r="Q257" s="1"/>
      <c r="R257" s="857"/>
      <c r="S257" s="122"/>
      <c r="T257" s="189"/>
      <c r="U257" s="122"/>
      <c r="V257" s="122"/>
      <c r="W257" s="70"/>
      <c r="X257" s="70"/>
      <c r="Y257" s="70"/>
      <c r="Z257" s="70"/>
      <c r="AA257" s="70"/>
      <c r="AB257" s="70"/>
      <c r="AC257" s="70"/>
      <c r="AD257" s="70"/>
      <c r="AE257" s="70"/>
      <c r="AF257" s="70"/>
      <c r="AG257" s="70"/>
      <c r="AH257" s="70"/>
      <c r="AI257" s="70"/>
      <c r="AJ257" s="70"/>
      <c r="AK257" s="70"/>
    </row>
    <row r="258" spans="1:37" ht="12.75">
      <c r="A258" s="256" t="s">
        <v>493</v>
      </c>
      <c r="B258" s="265">
        <f>UtilityIncentiveRate</f>
        <v>0</v>
      </c>
      <c r="C258" s="122"/>
      <c r="D258" s="122"/>
      <c r="E258" s="122"/>
      <c r="F258" s="86" t="s">
        <v>507</v>
      </c>
      <c r="G258" s="253" t="e">
        <f>UtilityIncentiveRate*BusbarElectricitySavedkWh</f>
        <v>#N/A</v>
      </c>
      <c r="H258" s="122"/>
      <c r="I258" s="122"/>
      <c r="J258" s="122"/>
      <c r="K258" s="122"/>
      <c r="L258" s="122"/>
      <c r="M258" s="122"/>
      <c r="N258" s="122"/>
      <c r="O258" s="1"/>
      <c r="Q258" s="1"/>
      <c r="R258" s="857"/>
      <c r="S258" s="122"/>
      <c r="T258" s="189"/>
      <c r="U258" s="122"/>
      <c r="V258" s="122"/>
      <c r="W258" s="70"/>
      <c r="X258" s="70"/>
      <c r="Y258" s="70"/>
      <c r="Z258" s="70"/>
      <c r="AA258" s="70"/>
      <c r="AB258" s="70"/>
      <c r="AC258" s="70"/>
      <c r="AD258" s="70"/>
      <c r="AE258" s="70"/>
      <c r="AF258" s="70"/>
      <c r="AG258" s="70"/>
      <c r="AH258" s="70"/>
      <c r="AI258" s="70"/>
      <c r="AJ258" s="70"/>
      <c r="AK258" s="70"/>
    </row>
    <row r="259" spans="1:37" ht="12.75">
      <c r="A259" s="255" t="s">
        <v>500</v>
      </c>
      <c r="B259" s="266" t="e">
        <f>G250</f>
        <v>#N/A</v>
      </c>
      <c r="F259" s="86" t="s">
        <v>508</v>
      </c>
      <c r="G259" s="253" t="e">
        <f>IF(G258&gt;=G257,G257,G258)</f>
        <v>#N/A</v>
      </c>
      <c r="H259" s="71" t="s">
        <v>535</v>
      </c>
      <c r="I259" s="122"/>
      <c r="J259" s="122"/>
      <c r="K259" s="122"/>
      <c r="L259" s="122"/>
      <c r="M259" s="122"/>
      <c r="N259" s="122"/>
      <c r="O259" s="1"/>
      <c r="Q259" s="1"/>
      <c r="R259" s="857"/>
      <c r="S259" s="122"/>
      <c r="T259" s="189"/>
      <c r="U259" s="122"/>
      <c r="V259" s="122"/>
      <c r="W259" s="70"/>
      <c r="X259" s="70"/>
      <c r="Y259" s="70"/>
      <c r="Z259" s="70"/>
      <c r="AA259" s="70"/>
      <c r="AB259" s="70"/>
      <c r="AC259" s="70"/>
      <c r="AD259" s="70"/>
      <c r="AE259" s="70"/>
      <c r="AF259" s="70"/>
      <c r="AG259" s="70"/>
      <c r="AH259" s="70"/>
      <c r="AI259" s="70"/>
      <c r="AJ259" s="70"/>
      <c r="AK259" s="70"/>
    </row>
    <row r="260" spans="1:37" ht="12.75">
      <c r="A260" s="255" t="s">
        <v>501</v>
      </c>
      <c r="B260" s="254" t="e">
        <f>IF(B259&gt;=0.5,BPA_Credit,0)</f>
        <v>#N/A</v>
      </c>
      <c r="C260" s="277" t="s">
        <v>312</v>
      </c>
      <c r="F260" s="122"/>
      <c r="G260" s="122"/>
      <c r="H260" s="122"/>
      <c r="I260" s="122"/>
      <c r="J260" s="122"/>
      <c r="K260" s="122"/>
      <c r="L260" s="122"/>
      <c r="M260" s="122"/>
      <c r="N260" s="122"/>
      <c r="O260" s="1"/>
      <c r="Q260" s="1"/>
      <c r="R260" s="857"/>
      <c r="S260" s="122"/>
      <c r="T260" s="189"/>
      <c r="U260" s="122"/>
      <c r="V260" s="122"/>
      <c r="W260" s="70"/>
      <c r="X260" s="70"/>
      <c r="Y260" s="70"/>
      <c r="Z260" s="70"/>
      <c r="AA260" s="70"/>
      <c r="AB260" s="70"/>
      <c r="AC260" s="70"/>
      <c r="AD260" s="70"/>
      <c r="AE260" s="70"/>
      <c r="AF260" s="70"/>
      <c r="AG260" s="70"/>
      <c r="AH260" s="70"/>
      <c r="AI260" s="70"/>
      <c r="AJ260" s="70"/>
      <c r="AK260" s="70"/>
    </row>
    <row r="261" spans="1:37" ht="12.75">
      <c r="A261" s="191"/>
      <c r="B261" s="122"/>
      <c r="F261" s="122"/>
      <c r="G261" s="122"/>
      <c r="H261" s="122"/>
      <c r="I261" s="122"/>
      <c r="J261" s="122"/>
      <c r="K261" s="122"/>
      <c r="L261" s="122"/>
      <c r="M261" s="122"/>
      <c r="N261" s="122"/>
      <c r="O261" s="1"/>
      <c r="Q261" s="1"/>
      <c r="R261" s="857"/>
      <c r="S261" s="122"/>
      <c r="T261" s="189"/>
      <c r="U261" s="122"/>
      <c r="V261" s="122"/>
      <c r="W261" s="70"/>
      <c r="X261" s="70"/>
      <c r="Y261" s="70"/>
      <c r="Z261" s="70"/>
      <c r="AA261" s="70"/>
      <c r="AB261" s="70"/>
      <c r="AC261" s="70"/>
      <c r="AD261" s="70"/>
      <c r="AE261" s="70"/>
      <c r="AF261" s="70"/>
      <c r="AG261" s="70"/>
      <c r="AH261" s="70"/>
      <c r="AI261" s="70"/>
      <c r="AJ261" s="70"/>
      <c r="AK261" s="70"/>
    </row>
    <row r="262" spans="1:37" ht="12.75">
      <c r="A262" s="191"/>
      <c r="B262" s="122"/>
      <c r="C262" s="228" t="s">
        <v>294</v>
      </c>
      <c r="D262" s="814" t="s">
        <v>296</v>
      </c>
      <c r="F262" s="122"/>
      <c r="G262" s="122"/>
      <c r="H262" s="122"/>
      <c r="I262" s="122"/>
      <c r="J262" s="122"/>
      <c r="K262" s="122"/>
      <c r="L262" s="122"/>
      <c r="M262" s="122"/>
      <c r="N262" s="122"/>
      <c r="O262" s="1"/>
      <c r="Q262" s="1"/>
      <c r="R262" s="857"/>
      <c r="S262" s="122"/>
      <c r="T262" s="189"/>
      <c r="U262" s="122"/>
      <c r="V262" s="122"/>
      <c r="W262" s="70"/>
      <c r="X262" s="70"/>
      <c r="Y262" s="70"/>
      <c r="Z262" s="70"/>
      <c r="AA262" s="70"/>
      <c r="AB262" s="70"/>
      <c r="AC262" s="70"/>
      <c r="AD262" s="70"/>
      <c r="AE262" s="70"/>
      <c r="AF262" s="70"/>
      <c r="AG262" s="70"/>
      <c r="AH262" s="70"/>
      <c r="AI262" s="70"/>
      <c r="AJ262" s="70"/>
      <c r="AK262" s="70"/>
    </row>
    <row r="263" spans="1:37" ht="12.75">
      <c r="A263" s="191"/>
      <c r="B263" s="122"/>
      <c r="C263" s="70" t="s">
        <v>300</v>
      </c>
      <c r="D263" s="228" t="s">
        <v>300</v>
      </c>
      <c r="F263" s="122"/>
      <c r="G263" s="122"/>
      <c r="H263" s="122"/>
      <c r="I263" s="122"/>
      <c r="J263" s="122"/>
      <c r="K263" s="122"/>
      <c r="L263" s="122"/>
      <c r="M263" s="122"/>
      <c r="N263" s="122"/>
      <c r="O263" s="1"/>
      <c r="Q263" s="1"/>
      <c r="R263" s="857"/>
      <c r="S263" s="122"/>
      <c r="T263" s="189"/>
      <c r="U263" s="122"/>
      <c r="V263" s="122"/>
      <c r="W263" s="70"/>
      <c r="X263" s="70"/>
      <c r="Y263" s="70"/>
      <c r="Z263" s="70"/>
      <c r="AA263" s="70"/>
      <c r="AB263" s="70"/>
      <c r="AC263" s="70"/>
      <c r="AD263" s="70"/>
      <c r="AE263" s="70"/>
      <c r="AF263" s="70"/>
      <c r="AG263" s="70"/>
      <c r="AH263" s="70"/>
      <c r="AI263" s="70"/>
      <c r="AJ263" s="70"/>
      <c r="AK263" s="70"/>
    </row>
    <row r="264" spans="1:37" ht="12.75">
      <c r="A264" s="191"/>
      <c r="B264" s="122"/>
      <c r="D264" s="228" t="s">
        <v>301</v>
      </c>
      <c r="F264" s="122"/>
      <c r="G264" s="122"/>
      <c r="H264" s="122"/>
      <c r="I264" s="122"/>
      <c r="J264" s="122"/>
      <c r="K264" s="122"/>
      <c r="L264" s="122"/>
      <c r="M264" s="122"/>
      <c r="N264" s="122"/>
      <c r="O264" s="1"/>
      <c r="Q264" s="1"/>
      <c r="R264" s="122"/>
      <c r="S264" s="122"/>
      <c r="T264" s="189"/>
      <c r="U264" s="122"/>
      <c r="V264" s="122"/>
      <c r="W264" s="70"/>
      <c r="X264" s="70"/>
      <c r="Y264" s="70"/>
      <c r="Z264" s="70"/>
      <c r="AA264" s="70"/>
      <c r="AB264" s="70"/>
      <c r="AC264" s="70"/>
      <c r="AD264" s="70"/>
      <c r="AE264" s="70"/>
      <c r="AF264" s="70"/>
      <c r="AG264" s="70"/>
      <c r="AH264" s="70"/>
      <c r="AI264" s="70"/>
      <c r="AJ264" s="70"/>
      <c r="AK264" s="70"/>
    </row>
    <row r="265" spans="1:37" ht="12.75">
      <c r="A265" s="191"/>
      <c r="B265" s="122"/>
      <c r="D265" s="228" t="s">
        <v>302</v>
      </c>
      <c r="F265" s="122"/>
      <c r="G265" s="122"/>
      <c r="H265" s="122"/>
      <c r="I265" s="122"/>
      <c r="J265" s="122"/>
      <c r="K265" s="122"/>
      <c r="L265" s="122"/>
      <c r="M265" s="122"/>
      <c r="N265" s="122"/>
      <c r="O265" s="1"/>
      <c r="Q265" s="1"/>
      <c r="R265" s="122"/>
      <c r="S265" s="122"/>
      <c r="T265" s="189"/>
      <c r="U265" s="122"/>
      <c r="V265" s="122"/>
      <c r="W265" s="70"/>
      <c r="X265" s="70"/>
      <c r="Y265" s="70"/>
      <c r="Z265" s="70"/>
      <c r="AA265" s="70"/>
      <c r="AB265" s="70"/>
      <c r="AC265" s="70"/>
      <c r="AD265" s="70"/>
      <c r="AE265" s="70"/>
      <c r="AF265" s="70"/>
      <c r="AG265" s="70"/>
      <c r="AH265" s="70"/>
      <c r="AI265" s="70"/>
      <c r="AJ265" s="70"/>
      <c r="AK265" s="70"/>
    </row>
    <row r="266" spans="1:37" ht="12.75">
      <c r="A266" s="191"/>
      <c r="B266" s="122"/>
      <c r="F266" s="122"/>
      <c r="G266" s="122"/>
      <c r="H266" s="122"/>
      <c r="I266" s="122"/>
      <c r="J266" s="122"/>
      <c r="K266" s="122"/>
      <c r="L266" s="122"/>
      <c r="M266" s="122"/>
      <c r="N266" s="122"/>
      <c r="O266" s="1"/>
      <c r="Q266" s="1"/>
      <c r="R266" s="122"/>
      <c r="S266" s="122"/>
      <c r="T266" s="189"/>
      <c r="U266" s="122"/>
      <c r="V266" s="122"/>
      <c r="W266" s="70"/>
      <c r="X266" s="70"/>
      <c r="Y266" s="70"/>
      <c r="Z266" s="70"/>
      <c r="AA266" s="70"/>
      <c r="AB266" s="70"/>
      <c r="AC266" s="70"/>
      <c r="AD266" s="70"/>
      <c r="AE266" s="70"/>
      <c r="AF266" s="70"/>
      <c r="AG266" s="70"/>
      <c r="AH266" s="70"/>
      <c r="AI266" s="70"/>
      <c r="AJ266" s="70"/>
      <c r="AK266" s="70"/>
    </row>
    <row r="267" spans="1:37" ht="12.75">
      <c r="A267" s="191"/>
      <c r="B267" s="122"/>
      <c r="F267" s="122"/>
      <c r="G267" s="122"/>
      <c r="H267" s="122"/>
      <c r="I267" s="122"/>
      <c r="J267" s="122"/>
      <c r="K267" s="122"/>
      <c r="L267" s="122"/>
      <c r="M267" s="122"/>
      <c r="N267" s="122"/>
      <c r="O267" s="1"/>
      <c r="Q267" s="1"/>
      <c r="R267" s="122"/>
      <c r="S267" s="122"/>
      <c r="T267" s="189"/>
      <c r="U267" s="122"/>
      <c r="V267" s="122"/>
      <c r="W267" s="70"/>
      <c r="X267" s="70"/>
      <c r="Y267" s="70"/>
      <c r="Z267" s="70"/>
      <c r="AA267" s="70"/>
      <c r="AB267" s="70"/>
      <c r="AC267" s="70"/>
      <c r="AD267" s="70"/>
      <c r="AE267" s="70"/>
      <c r="AF267" s="70"/>
      <c r="AG267" s="70"/>
      <c r="AH267" s="70"/>
      <c r="AI267" s="70"/>
      <c r="AJ267" s="70"/>
      <c r="AK267" s="70"/>
    </row>
    <row r="268" spans="1:37" ht="12.75">
      <c r="A268" s="191"/>
      <c r="B268" s="122"/>
      <c r="F268" s="122"/>
      <c r="G268" s="122"/>
      <c r="H268" s="122"/>
      <c r="I268" s="122"/>
      <c r="J268" s="122"/>
      <c r="K268" s="122"/>
      <c r="L268" s="122"/>
      <c r="M268" s="122"/>
      <c r="N268" s="122"/>
      <c r="O268" s="1"/>
      <c r="Q268" s="1"/>
      <c r="R268" s="122"/>
      <c r="S268" s="122"/>
      <c r="T268" s="189"/>
      <c r="U268" s="122"/>
      <c r="V268" s="122"/>
      <c r="W268" s="70"/>
      <c r="X268" s="70"/>
      <c r="Y268" s="70"/>
      <c r="Z268" s="70"/>
      <c r="AA268" s="70"/>
      <c r="AB268" s="70"/>
      <c r="AC268" s="70"/>
      <c r="AD268" s="70"/>
      <c r="AE268" s="70"/>
      <c r="AF268" s="70"/>
      <c r="AG268" s="70"/>
      <c r="AH268" s="70"/>
      <c r="AI268" s="70"/>
      <c r="AJ268" s="70"/>
      <c r="AK268" s="70"/>
    </row>
    <row r="269" spans="1:37" ht="12.75">
      <c r="A269" s="191"/>
      <c r="B269" s="122"/>
      <c r="F269" s="122"/>
      <c r="G269" s="122"/>
      <c r="H269" s="122"/>
      <c r="I269" s="122"/>
      <c r="J269" s="122"/>
      <c r="K269" s="122"/>
      <c r="L269" s="122"/>
      <c r="M269" s="122"/>
      <c r="N269" s="122"/>
      <c r="O269" s="1"/>
      <c r="Q269" s="1"/>
      <c r="R269" s="122"/>
      <c r="S269" s="122"/>
      <c r="T269" s="189"/>
      <c r="U269" s="122"/>
      <c r="V269" s="122"/>
      <c r="W269" s="70"/>
      <c r="X269" s="70"/>
      <c r="Y269" s="70"/>
      <c r="Z269" s="70"/>
      <c r="AA269" s="70"/>
      <c r="AB269" s="70"/>
      <c r="AC269" s="70"/>
      <c r="AD269" s="70"/>
      <c r="AE269" s="70"/>
      <c r="AF269" s="70"/>
      <c r="AG269" s="70"/>
      <c r="AH269" s="70"/>
      <c r="AI269" s="70"/>
      <c r="AJ269" s="70"/>
      <c r="AK269" s="70"/>
    </row>
    <row r="270" spans="1:37" ht="12.75">
      <c r="A270" s="191"/>
      <c r="B270" s="122"/>
      <c r="F270" s="122"/>
      <c r="G270" s="122"/>
      <c r="H270" s="122"/>
      <c r="I270" s="122"/>
      <c r="J270" s="122"/>
      <c r="K270" s="122"/>
      <c r="L270" s="122"/>
      <c r="M270" s="122"/>
      <c r="N270" s="122"/>
      <c r="O270" s="1"/>
      <c r="Q270" s="1"/>
      <c r="R270" s="122"/>
      <c r="S270" s="122"/>
      <c r="T270" s="189"/>
      <c r="U270" s="122"/>
      <c r="V270" s="122"/>
      <c r="W270" s="70"/>
      <c r="X270" s="70"/>
      <c r="Y270" s="70"/>
      <c r="Z270" s="70"/>
      <c r="AA270" s="70"/>
      <c r="AB270" s="70"/>
      <c r="AC270" s="70"/>
      <c r="AD270" s="70"/>
      <c r="AE270" s="70"/>
      <c r="AF270" s="70"/>
      <c r="AG270" s="70"/>
      <c r="AH270" s="70"/>
      <c r="AI270" s="70"/>
      <c r="AJ270" s="70"/>
      <c r="AK270" s="70"/>
    </row>
    <row r="271" spans="1:37" ht="13.5" thickBot="1">
      <c r="A271" s="205"/>
      <c r="B271" s="206"/>
      <c r="C271" s="206"/>
      <c r="D271" s="206"/>
      <c r="E271" s="206"/>
      <c r="F271" s="206"/>
      <c r="G271" s="206"/>
      <c r="H271" s="206"/>
      <c r="I271" s="206"/>
      <c r="J271" s="206"/>
      <c r="K271" s="206"/>
      <c r="L271" s="206"/>
      <c r="M271" s="206"/>
      <c r="N271" s="206"/>
      <c r="O271" s="1"/>
      <c r="Q271" s="1"/>
      <c r="R271" s="206"/>
      <c r="S271" s="206"/>
      <c r="T271" s="207"/>
      <c r="U271" s="122"/>
      <c r="V271" s="122"/>
      <c r="W271" s="70"/>
      <c r="X271" s="70"/>
      <c r="Y271" s="70"/>
      <c r="Z271" s="70"/>
      <c r="AA271" s="70"/>
      <c r="AB271" s="70"/>
      <c r="AC271" s="70"/>
      <c r="AD271" s="70"/>
      <c r="AE271" s="70"/>
      <c r="AF271" s="70"/>
      <c r="AG271" s="70"/>
      <c r="AH271" s="70"/>
      <c r="AI271" s="70"/>
      <c r="AJ271" s="70"/>
      <c r="AK271" s="70"/>
    </row>
    <row r="272" spans="1:37" ht="12.75">
      <c r="A272" s="70"/>
      <c r="B272" s="70"/>
      <c r="C272" s="70"/>
      <c r="D272" s="70"/>
      <c r="E272" s="70"/>
      <c r="F272" s="70"/>
      <c r="G272" s="70"/>
      <c r="H272" s="70"/>
      <c r="I272" s="70"/>
      <c r="J272" s="70"/>
      <c r="K272" s="70"/>
      <c r="L272" s="70"/>
      <c r="M272" s="70"/>
      <c r="N272" s="70"/>
      <c r="O272" s="70"/>
      <c r="P272" s="70"/>
      <c r="Q272" s="70"/>
      <c r="R272" s="122"/>
      <c r="S272" s="122"/>
      <c r="T272" s="122"/>
      <c r="U272" s="122"/>
      <c r="V272" s="122"/>
      <c r="W272" s="70"/>
      <c r="X272" s="70"/>
      <c r="Y272" s="70"/>
      <c r="Z272" s="70"/>
      <c r="AA272" s="70"/>
      <c r="AB272" s="70"/>
      <c r="AC272" s="70"/>
      <c r="AD272" s="70"/>
      <c r="AE272" s="70"/>
      <c r="AF272" s="70"/>
      <c r="AG272" s="70"/>
      <c r="AH272" s="70"/>
      <c r="AI272" s="70"/>
      <c r="AJ272" s="70"/>
      <c r="AK272" s="70"/>
    </row>
    <row r="273" spans="1:37" ht="12.75">
      <c r="A273" s="70"/>
      <c r="B273" s="70"/>
      <c r="C273" s="70"/>
      <c r="D273" s="70"/>
      <c r="E273" s="70"/>
      <c r="F273" s="70"/>
      <c r="G273" s="70"/>
      <c r="H273" s="70"/>
      <c r="I273" s="70"/>
      <c r="J273" s="70"/>
      <c r="K273" s="70"/>
      <c r="L273" s="70"/>
      <c r="M273" s="70"/>
      <c r="N273" s="70"/>
      <c r="O273" s="70"/>
      <c r="P273" s="70"/>
      <c r="Q273" s="70"/>
      <c r="R273" s="122"/>
      <c r="S273" s="122"/>
      <c r="T273" s="122"/>
      <c r="U273" s="122"/>
      <c r="V273" s="122"/>
      <c r="W273" s="70"/>
      <c r="X273" s="70"/>
      <c r="Y273" s="70"/>
      <c r="Z273" s="70"/>
      <c r="AA273" s="70"/>
      <c r="AB273" s="70"/>
      <c r="AC273" s="70"/>
      <c r="AD273" s="70"/>
      <c r="AE273" s="70"/>
      <c r="AF273" s="70"/>
      <c r="AG273" s="70"/>
      <c r="AH273" s="70"/>
      <c r="AI273" s="70"/>
      <c r="AJ273" s="70"/>
      <c r="AK273" s="70"/>
    </row>
    <row r="274" spans="1:37" ht="12.75">
      <c r="A274" s="209"/>
      <c r="B274" s="209"/>
      <c r="C274" s="209"/>
      <c r="D274" s="209"/>
      <c r="E274" s="209"/>
      <c r="F274" s="209"/>
      <c r="G274" s="209"/>
      <c r="H274" s="209"/>
      <c r="I274" s="209"/>
      <c r="J274" s="209"/>
      <c r="K274" s="209"/>
      <c r="L274" s="209"/>
      <c r="M274" s="209"/>
      <c r="N274" s="209"/>
      <c r="O274" s="209"/>
      <c r="P274" s="209"/>
      <c r="Q274" s="209"/>
      <c r="R274" s="280"/>
      <c r="S274" s="280"/>
      <c r="T274" s="280"/>
      <c r="U274" s="122"/>
      <c r="V274" s="122"/>
      <c r="W274" s="70"/>
      <c r="X274" s="70"/>
      <c r="Y274" s="70"/>
      <c r="Z274" s="70"/>
      <c r="AA274" s="70"/>
      <c r="AB274" s="70"/>
      <c r="AC274" s="70"/>
      <c r="AD274" s="70"/>
      <c r="AE274" s="70"/>
      <c r="AF274" s="70"/>
      <c r="AG274" s="70"/>
      <c r="AH274" s="70"/>
      <c r="AI274" s="70"/>
      <c r="AJ274" s="70"/>
      <c r="AK274" s="70"/>
    </row>
    <row r="275" spans="1:37" ht="12.75">
      <c r="A275" s="70"/>
      <c r="B275" s="70"/>
      <c r="C275" s="70"/>
      <c r="D275" s="70"/>
      <c r="E275" s="70"/>
      <c r="F275" s="70"/>
      <c r="G275" s="70"/>
      <c r="H275" s="70"/>
      <c r="I275" s="70"/>
      <c r="J275" s="70"/>
      <c r="K275" s="70"/>
      <c r="L275" s="70"/>
      <c r="M275" s="70"/>
      <c r="N275" s="70"/>
      <c r="O275" s="70"/>
      <c r="P275" s="70"/>
      <c r="Q275" s="70"/>
      <c r="R275" s="70"/>
      <c r="S275" s="70"/>
      <c r="T275" s="70"/>
      <c r="U275" s="70"/>
      <c r="V275" s="70"/>
      <c r="W275" s="70"/>
      <c r="X275" s="70"/>
      <c r="Y275" s="70"/>
      <c r="Z275" s="70"/>
      <c r="AA275" s="70"/>
      <c r="AB275" s="70"/>
      <c r="AC275" s="70"/>
      <c r="AD275" s="70"/>
      <c r="AE275" s="70"/>
      <c r="AF275" s="70"/>
      <c r="AG275" s="70"/>
      <c r="AH275" s="70"/>
      <c r="AI275" s="70"/>
      <c r="AJ275" s="70"/>
      <c r="AK275" s="70"/>
    </row>
    <row r="276" spans="1:37" ht="12.75">
      <c r="A276" s="70"/>
      <c r="B276" s="70"/>
      <c r="C276" s="70"/>
      <c r="D276" s="70"/>
      <c r="E276" s="70"/>
      <c r="F276" s="70"/>
      <c r="G276" s="70"/>
      <c r="H276" s="70"/>
      <c r="I276" s="70"/>
      <c r="J276" s="70"/>
      <c r="K276" s="70"/>
      <c r="L276" s="70"/>
      <c r="M276" s="70"/>
      <c r="N276" s="70"/>
      <c r="O276" s="70"/>
      <c r="P276" s="70"/>
      <c r="Q276" s="70"/>
      <c r="R276" s="70"/>
      <c r="S276" s="70"/>
      <c r="T276" s="70"/>
      <c r="U276" s="70"/>
      <c r="V276" s="70"/>
      <c r="W276" s="70"/>
      <c r="X276" s="70"/>
      <c r="Y276" s="70"/>
      <c r="Z276" s="70"/>
      <c r="AA276" s="70"/>
      <c r="AB276" s="70"/>
      <c r="AC276" s="70"/>
      <c r="AD276" s="70"/>
      <c r="AE276" s="70"/>
      <c r="AF276" s="70"/>
      <c r="AG276" s="70"/>
      <c r="AH276" s="70"/>
      <c r="AI276" s="70"/>
      <c r="AJ276" s="70"/>
      <c r="AK276" s="70"/>
    </row>
    <row r="277" spans="1:37" ht="12.75">
      <c r="A277" s="70"/>
      <c r="B277" s="70"/>
      <c r="C277" s="70"/>
      <c r="D277" s="70"/>
      <c r="E277" s="70"/>
      <c r="F277" s="70"/>
      <c r="G277" s="70"/>
      <c r="H277" s="70"/>
      <c r="I277" s="70"/>
      <c r="J277" s="70"/>
      <c r="K277" s="70"/>
      <c r="L277" s="70"/>
      <c r="M277" s="70"/>
      <c r="N277" s="70"/>
      <c r="O277" s="70"/>
      <c r="P277" s="70"/>
      <c r="Q277" s="70"/>
      <c r="R277" s="70"/>
      <c r="S277" s="70"/>
      <c r="T277" s="70"/>
      <c r="U277" s="70"/>
      <c r="V277" s="70"/>
      <c r="W277" s="70"/>
      <c r="X277" s="70"/>
      <c r="Y277" s="70"/>
      <c r="Z277" s="70"/>
      <c r="AA277" s="70"/>
      <c r="AB277" s="70"/>
      <c r="AC277" s="70"/>
      <c r="AD277" s="70"/>
      <c r="AE277" s="70"/>
      <c r="AF277" s="70"/>
      <c r="AG277" s="70"/>
      <c r="AH277" s="70"/>
      <c r="AI277" s="70"/>
      <c r="AJ277" s="70"/>
      <c r="AK277" s="70"/>
    </row>
    <row r="278" spans="1:37" ht="12.75">
      <c r="A278" s="70"/>
      <c r="B278" s="70"/>
      <c r="C278" s="70"/>
      <c r="D278" s="70"/>
      <c r="E278" s="70"/>
      <c r="F278" s="70"/>
      <c r="G278" s="70"/>
      <c r="H278" s="70"/>
      <c r="I278" s="70"/>
      <c r="J278" s="70"/>
      <c r="K278" s="70"/>
      <c r="L278" s="70"/>
      <c r="M278" s="70"/>
      <c r="N278" s="70"/>
      <c r="O278" s="70"/>
      <c r="P278" s="70"/>
      <c r="Q278" s="70"/>
      <c r="R278" s="70"/>
      <c r="S278" s="70"/>
      <c r="T278" s="70"/>
      <c r="U278" s="70"/>
      <c r="V278" s="70"/>
      <c r="W278" s="70"/>
      <c r="X278" s="70"/>
      <c r="Y278" s="70"/>
      <c r="Z278" s="70"/>
      <c r="AA278" s="70"/>
      <c r="AB278" s="70"/>
      <c r="AC278" s="70"/>
      <c r="AD278" s="70"/>
      <c r="AE278" s="70"/>
      <c r="AF278" s="70"/>
      <c r="AG278" s="70"/>
      <c r="AH278" s="70"/>
      <c r="AI278" s="70"/>
      <c r="AJ278" s="70"/>
      <c r="AK278" s="70"/>
    </row>
    <row r="279" spans="1:37" ht="12.75">
      <c r="A279" s="70"/>
      <c r="B279" s="70"/>
      <c r="C279" s="70"/>
      <c r="D279" s="70"/>
      <c r="E279" s="70"/>
      <c r="F279" s="70"/>
      <c r="G279" s="70"/>
      <c r="H279" s="70"/>
      <c r="I279" s="70"/>
      <c r="J279" s="70"/>
      <c r="K279" s="70"/>
      <c r="L279" s="70"/>
      <c r="M279" s="70"/>
      <c r="N279" s="70"/>
      <c r="O279" s="70"/>
      <c r="P279" s="70"/>
      <c r="Q279" s="70"/>
      <c r="R279" s="70"/>
      <c r="S279" s="70"/>
      <c r="T279" s="70"/>
      <c r="U279" s="70"/>
      <c r="V279" s="70"/>
      <c r="W279" s="70"/>
      <c r="X279" s="70"/>
      <c r="Y279" s="70"/>
      <c r="Z279" s="70"/>
      <c r="AA279" s="70"/>
      <c r="AB279" s="70"/>
      <c r="AC279" s="70"/>
      <c r="AD279" s="70"/>
      <c r="AE279" s="70"/>
      <c r="AF279" s="70"/>
      <c r="AG279" s="70"/>
      <c r="AH279" s="70"/>
      <c r="AI279" s="70"/>
      <c r="AJ279" s="70"/>
      <c r="AK279" s="70"/>
    </row>
    <row r="280" spans="1:37" ht="12.75">
      <c r="A280" s="70"/>
      <c r="B280" s="70"/>
      <c r="C280" s="70"/>
      <c r="D280" s="70"/>
      <c r="E280" s="70"/>
      <c r="F280" s="70"/>
      <c r="G280" s="70"/>
      <c r="H280" s="70"/>
      <c r="I280" s="70"/>
      <c r="J280" s="70"/>
      <c r="K280" s="70"/>
      <c r="L280" s="70"/>
      <c r="M280" s="70"/>
      <c r="N280" s="70"/>
      <c r="O280" s="70"/>
      <c r="P280" s="70"/>
      <c r="Q280" s="70"/>
      <c r="R280" s="70"/>
      <c r="S280" s="70"/>
      <c r="T280" s="70"/>
      <c r="U280" s="70"/>
      <c r="V280" s="70"/>
      <c r="W280" s="70"/>
      <c r="X280" s="70"/>
      <c r="Y280" s="70"/>
      <c r="Z280" s="70"/>
      <c r="AA280" s="70"/>
      <c r="AB280" s="70"/>
      <c r="AC280" s="70"/>
      <c r="AD280" s="70"/>
      <c r="AE280" s="70"/>
      <c r="AF280" s="70"/>
      <c r="AG280" s="70"/>
      <c r="AH280" s="70"/>
      <c r="AI280" s="70"/>
      <c r="AJ280" s="70"/>
      <c r="AK280" s="70"/>
    </row>
    <row r="281" spans="1:37" ht="12.75">
      <c r="A281" s="70"/>
      <c r="B281" s="70"/>
      <c r="C281" s="70"/>
      <c r="D281" s="70"/>
      <c r="E281" s="70"/>
      <c r="F281" s="70"/>
      <c r="G281" s="70"/>
      <c r="H281" s="70"/>
      <c r="I281" s="70"/>
      <c r="J281" s="70"/>
      <c r="K281" s="70"/>
      <c r="L281" s="70"/>
      <c r="M281" s="70"/>
      <c r="N281" s="70"/>
      <c r="O281" s="70"/>
      <c r="P281" s="70"/>
      <c r="Q281" s="70"/>
      <c r="R281" s="70"/>
      <c r="S281" s="70"/>
      <c r="T281" s="70"/>
      <c r="U281" s="70"/>
      <c r="V281" s="70"/>
      <c r="W281" s="70"/>
      <c r="X281" s="70"/>
      <c r="Y281" s="70"/>
      <c r="Z281" s="70"/>
      <c r="AA281" s="70"/>
      <c r="AB281" s="70"/>
      <c r="AC281" s="70"/>
      <c r="AD281" s="70"/>
      <c r="AE281" s="70"/>
      <c r="AF281" s="70"/>
      <c r="AG281" s="70"/>
      <c r="AH281" s="70"/>
      <c r="AI281" s="70"/>
      <c r="AJ281" s="70"/>
      <c r="AK281" s="70"/>
    </row>
    <row r="282" spans="1:37" ht="12.75">
      <c r="A282" s="70"/>
      <c r="B282" s="70"/>
      <c r="C282" s="70"/>
      <c r="D282" s="70"/>
      <c r="E282" s="70"/>
      <c r="F282" s="70"/>
      <c r="G282" s="70"/>
      <c r="H282" s="70"/>
      <c r="I282" s="70"/>
      <c r="J282" s="70"/>
      <c r="K282" s="70"/>
      <c r="L282" s="70"/>
      <c r="M282" s="70"/>
      <c r="N282" s="70"/>
      <c r="O282" s="70"/>
      <c r="P282" s="70"/>
      <c r="Q282" s="70"/>
      <c r="R282" s="70"/>
      <c r="S282" s="70"/>
      <c r="T282" s="70"/>
      <c r="U282" s="70"/>
      <c r="V282" s="70"/>
      <c r="W282" s="70"/>
      <c r="X282" s="70"/>
      <c r="Y282" s="70"/>
      <c r="Z282" s="70"/>
      <c r="AA282" s="70"/>
      <c r="AB282" s="70"/>
      <c r="AC282" s="70"/>
      <c r="AD282" s="70"/>
      <c r="AE282" s="70"/>
      <c r="AF282" s="70"/>
      <c r="AG282" s="70"/>
      <c r="AH282" s="70"/>
      <c r="AI282" s="70"/>
      <c r="AJ282" s="70"/>
      <c r="AK282" s="70"/>
    </row>
    <row r="283" spans="1:37" ht="12.75">
      <c r="A283" s="70"/>
      <c r="B283" s="70"/>
      <c r="C283" s="70"/>
      <c r="D283" s="70"/>
      <c r="E283" s="70"/>
      <c r="F283" s="70"/>
      <c r="G283" s="70"/>
      <c r="H283" s="70"/>
      <c r="I283" s="70"/>
      <c r="J283" s="70"/>
      <c r="K283" s="70"/>
      <c r="L283" s="70"/>
      <c r="M283" s="70"/>
      <c r="N283" s="70"/>
      <c r="O283" s="70"/>
      <c r="P283" s="70"/>
      <c r="Q283" s="70"/>
      <c r="R283" s="70"/>
      <c r="S283" s="70"/>
      <c r="T283" s="70"/>
      <c r="U283" s="70"/>
      <c r="V283" s="70"/>
      <c r="W283" s="70"/>
      <c r="X283" s="70"/>
      <c r="Y283" s="70"/>
      <c r="Z283" s="70"/>
      <c r="AA283" s="70"/>
      <c r="AB283" s="70"/>
      <c r="AC283" s="70"/>
      <c r="AD283" s="70"/>
      <c r="AE283" s="70"/>
      <c r="AF283" s="70"/>
      <c r="AG283" s="70"/>
      <c r="AH283" s="70"/>
      <c r="AI283" s="70"/>
      <c r="AJ283" s="70"/>
      <c r="AK283" s="70"/>
    </row>
    <row r="284" spans="1:37" ht="12.75">
      <c r="A284" s="70"/>
      <c r="B284" s="70"/>
      <c r="C284" s="70"/>
      <c r="D284" s="70"/>
      <c r="E284" s="70"/>
      <c r="F284" s="70"/>
      <c r="G284" s="70"/>
      <c r="H284" s="70"/>
      <c r="I284" s="70"/>
      <c r="J284" s="70"/>
      <c r="K284" s="70"/>
      <c r="L284" s="70"/>
      <c r="M284" s="70"/>
      <c r="N284" s="70"/>
      <c r="O284" s="70"/>
      <c r="P284" s="70"/>
      <c r="Q284" s="70"/>
      <c r="R284" s="70"/>
      <c r="S284" s="70"/>
      <c r="T284" s="70"/>
      <c r="U284" s="70"/>
      <c r="V284" s="70"/>
      <c r="W284" s="70"/>
      <c r="X284" s="70"/>
      <c r="Y284" s="70"/>
      <c r="Z284" s="70"/>
      <c r="AA284" s="70"/>
      <c r="AB284" s="70"/>
      <c r="AC284" s="70"/>
      <c r="AD284" s="70"/>
      <c r="AE284" s="70"/>
      <c r="AF284" s="70"/>
      <c r="AG284" s="70"/>
      <c r="AH284" s="70"/>
      <c r="AI284" s="70"/>
      <c r="AJ284" s="70"/>
      <c r="AK284" s="70"/>
    </row>
    <row r="285" spans="1:37" ht="12.75">
      <c r="A285" s="70"/>
      <c r="B285" s="70"/>
      <c r="C285" s="70"/>
      <c r="D285" s="70"/>
      <c r="E285" s="70"/>
      <c r="F285" s="70"/>
      <c r="G285" s="70"/>
      <c r="H285" s="70"/>
      <c r="I285" s="70"/>
      <c r="J285" s="70"/>
      <c r="K285" s="70"/>
      <c r="L285" s="70"/>
      <c r="M285" s="70"/>
      <c r="N285" s="70"/>
      <c r="O285" s="70"/>
      <c r="P285" s="70"/>
      <c r="Q285" s="70"/>
      <c r="R285" s="70"/>
      <c r="S285" s="70"/>
      <c r="T285" s="70"/>
      <c r="U285" s="70"/>
      <c r="V285" s="70"/>
      <c r="W285" s="70"/>
      <c r="X285" s="70"/>
      <c r="Y285" s="70"/>
      <c r="Z285" s="70"/>
      <c r="AA285" s="70"/>
      <c r="AB285" s="70"/>
      <c r="AC285" s="70"/>
      <c r="AD285" s="70"/>
      <c r="AE285" s="70"/>
      <c r="AF285" s="70"/>
      <c r="AG285" s="70"/>
      <c r="AH285" s="70"/>
      <c r="AI285" s="70"/>
      <c r="AJ285" s="70"/>
      <c r="AK285" s="70"/>
    </row>
    <row r="286" spans="1:37" ht="12.75">
      <c r="A286" s="70"/>
      <c r="B286" s="70"/>
      <c r="C286" s="70"/>
      <c r="D286" s="70"/>
      <c r="E286" s="70"/>
      <c r="F286" s="70"/>
      <c r="G286" s="70"/>
      <c r="H286" s="70"/>
      <c r="I286" s="70"/>
      <c r="J286" s="70"/>
      <c r="K286" s="70"/>
      <c r="L286" s="70"/>
      <c r="M286" s="70"/>
      <c r="N286" s="70"/>
      <c r="O286" s="70"/>
      <c r="P286" s="70"/>
      <c r="Q286" s="70"/>
      <c r="R286" s="70"/>
      <c r="S286" s="70"/>
      <c r="T286" s="70"/>
      <c r="U286" s="70"/>
      <c r="V286" s="70"/>
      <c r="W286" s="70"/>
      <c r="X286" s="70"/>
      <c r="Y286" s="70"/>
      <c r="Z286" s="70"/>
      <c r="AA286" s="70"/>
      <c r="AB286" s="70"/>
      <c r="AC286" s="70"/>
      <c r="AD286" s="70"/>
      <c r="AE286" s="70"/>
      <c r="AF286" s="70"/>
      <c r="AG286" s="70"/>
      <c r="AH286" s="70"/>
      <c r="AI286" s="70"/>
      <c r="AJ286" s="70"/>
      <c r="AK286" s="70"/>
    </row>
    <row r="287" spans="1:37" ht="12.75">
      <c r="A287" s="70"/>
      <c r="B287" s="70"/>
      <c r="C287" s="70"/>
      <c r="D287" s="70"/>
      <c r="E287" s="70"/>
      <c r="F287" s="70"/>
      <c r="G287" s="70"/>
      <c r="H287" s="70"/>
      <c r="I287" s="70"/>
      <c r="J287" s="70"/>
      <c r="K287" s="70"/>
      <c r="L287" s="70"/>
      <c r="M287" s="70"/>
      <c r="N287" s="70"/>
      <c r="O287" s="70"/>
      <c r="P287" s="70"/>
      <c r="Q287" s="70"/>
      <c r="R287" s="70"/>
      <c r="S287" s="70"/>
      <c r="T287" s="70"/>
      <c r="U287" s="70"/>
      <c r="V287" s="70"/>
      <c r="W287" s="70"/>
      <c r="X287" s="70"/>
      <c r="Y287" s="70"/>
      <c r="Z287" s="70"/>
      <c r="AA287" s="70"/>
      <c r="AB287" s="70"/>
      <c r="AC287" s="70"/>
      <c r="AD287" s="70"/>
      <c r="AE287" s="70"/>
      <c r="AF287" s="70"/>
      <c r="AG287" s="70"/>
      <c r="AH287" s="70"/>
      <c r="AI287" s="70"/>
      <c r="AJ287" s="70"/>
      <c r="AK287" s="70"/>
    </row>
    <row r="288" spans="1:37" ht="12.75">
      <c r="A288" s="70"/>
      <c r="B288" s="70"/>
      <c r="C288" s="70"/>
      <c r="D288" s="70"/>
      <c r="E288" s="70"/>
      <c r="F288" s="70"/>
      <c r="G288" s="70"/>
      <c r="H288" s="70"/>
      <c r="I288" s="70"/>
      <c r="J288" s="70"/>
      <c r="K288" s="70"/>
      <c r="L288" s="70"/>
      <c r="M288" s="70"/>
      <c r="N288" s="70"/>
      <c r="O288" s="70"/>
      <c r="P288" s="70"/>
      <c r="Q288" s="70"/>
      <c r="R288" s="70"/>
      <c r="S288" s="70"/>
      <c r="T288" s="70"/>
      <c r="U288" s="70"/>
      <c r="V288" s="70"/>
      <c r="W288" s="70"/>
      <c r="X288" s="70"/>
      <c r="Y288" s="70"/>
      <c r="Z288" s="70"/>
      <c r="AA288" s="70"/>
      <c r="AB288" s="70"/>
      <c r="AC288" s="70"/>
      <c r="AD288" s="70"/>
      <c r="AE288" s="70"/>
      <c r="AF288" s="70"/>
      <c r="AG288" s="70"/>
      <c r="AH288" s="70"/>
      <c r="AI288" s="70"/>
      <c r="AJ288" s="70"/>
      <c r="AK288" s="70"/>
    </row>
    <row r="289" spans="1:37" ht="12.75">
      <c r="A289" s="70"/>
      <c r="B289" s="70"/>
      <c r="C289" s="70"/>
      <c r="D289" s="70"/>
      <c r="E289" s="70"/>
      <c r="F289" s="70"/>
      <c r="G289" s="70"/>
      <c r="H289" s="70"/>
      <c r="I289" s="70"/>
      <c r="J289" s="70"/>
      <c r="K289" s="70"/>
      <c r="L289" s="70"/>
      <c r="M289" s="70"/>
      <c r="N289" s="70"/>
      <c r="O289" s="70"/>
      <c r="P289" s="70"/>
      <c r="Q289" s="70"/>
      <c r="R289" s="70"/>
      <c r="S289" s="70"/>
      <c r="T289" s="70"/>
      <c r="U289" s="70"/>
      <c r="V289" s="70"/>
      <c r="W289" s="70"/>
      <c r="X289" s="70"/>
      <c r="Y289" s="70"/>
      <c r="Z289" s="70"/>
      <c r="AA289" s="70"/>
      <c r="AB289" s="70"/>
      <c r="AC289" s="70"/>
      <c r="AD289" s="70"/>
      <c r="AE289" s="70"/>
      <c r="AF289" s="70"/>
      <c r="AG289" s="70"/>
      <c r="AH289" s="70"/>
      <c r="AI289" s="70"/>
      <c r="AJ289" s="70"/>
      <c r="AK289" s="70"/>
    </row>
    <row r="290" spans="1:37" ht="12.75">
      <c r="A290" s="70"/>
      <c r="B290" s="70"/>
      <c r="C290" s="70"/>
      <c r="D290" s="70"/>
      <c r="E290" s="70"/>
      <c r="F290" s="70"/>
      <c r="G290" s="70"/>
      <c r="H290" s="70"/>
      <c r="I290" s="70"/>
      <c r="J290" s="70"/>
      <c r="K290" s="70"/>
      <c r="L290" s="70"/>
      <c r="M290" s="70"/>
      <c r="N290" s="70"/>
      <c r="O290" s="70"/>
      <c r="P290" s="70"/>
      <c r="Q290" s="70"/>
      <c r="R290" s="70"/>
      <c r="S290" s="70"/>
      <c r="T290" s="70"/>
      <c r="U290" s="70"/>
      <c r="V290" s="70"/>
      <c r="W290" s="70"/>
      <c r="X290" s="70"/>
      <c r="Y290" s="70"/>
      <c r="Z290" s="70"/>
      <c r="AA290" s="70"/>
      <c r="AB290" s="70"/>
      <c r="AC290" s="70"/>
      <c r="AD290" s="70"/>
      <c r="AE290" s="70"/>
      <c r="AF290" s="70"/>
      <c r="AG290" s="70"/>
      <c r="AH290" s="70"/>
      <c r="AI290" s="70"/>
      <c r="AJ290" s="70"/>
      <c r="AK290" s="70"/>
    </row>
    <row r="291" spans="1:37" ht="12.75">
      <c r="A291" s="70"/>
      <c r="B291" s="70"/>
      <c r="C291" s="70"/>
      <c r="D291" s="70"/>
      <c r="E291" s="70"/>
      <c r="F291" s="70"/>
      <c r="G291" s="70"/>
      <c r="H291" s="70"/>
      <c r="I291" s="70"/>
      <c r="J291" s="70"/>
      <c r="K291" s="70"/>
      <c r="L291" s="70"/>
      <c r="M291" s="70"/>
      <c r="N291" s="70"/>
      <c r="O291" s="70"/>
      <c r="P291" s="70"/>
      <c r="Q291" s="70"/>
      <c r="R291" s="70"/>
      <c r="S291" s="70"/>
      <c r="T291" s="70"/>
      <c r="U291" s="70"/>
      <c r="V291" s="70"/>
      <c r="W291" s="70"/>
      <c r="X291" s="70"/>
      <c r="Y291" s="70"/>
      <c r="Z291" s="70"/>
      <c r="AA291" s="70"/>
      <c r="AB291" s="70"/>
      <c r="AC291" s="70"/>
      <c r="AD291" s="70"/>
      <c r="AE291" s="70"/>
      <c r="AF291" s="70"/>
      <c r="AG291" s="70"/>
      <c r="AH291" s="70"/>
      <c r="AI291" s="70"/>
      <c r="AJ291" s="70"/>
      <c r="AK291" s="70"/>
    </row>
    <row r="292" spans="1:37" ht="12.75">
      <c r="A292" s="70"/>
      <c r="B292" s="70"/>
      <c r="C292" s="70"/>
      <c r="D292" s="70"/>
      <c r="E292" s="70"/>
      <c r="F292" s="70"/>
      <c r="G292" s="70"/>
      <c r="H292" s="70"/>
      <c r="I292" s="70"/>
      <c r="J292" s="70"/>
      <c r="K292" s="70"/>
      <c r="L292" s="70"/>
      <c r="M292" s="70"/>
      <c r="N292" s="70"/>
      <c r="O292" s="70"/>
      <c r="P292" s="70"/>
      <c r="Q292" s="70"/>
      <c r="R292" s="70"/>
      <c r="S292" s="70"/>
      <c r="T292" s="70"/>
      <c r="U292" s="70"/>
      <c r="V292" s="70"/>
      <c r="W292" s="70"/>
      <c r="X292" s="70"/>
      <c r="Y292" s="70"/>
      <c r="Z292" s="70"/>
      <c r="AA292" s="70"/>
      <c r="AB292" s="70"/>
      <c r="AC292" s="70"/>
      <c r="AD292" s="70"/>
      <c r="AE292" s="70"/>
      <c r="AF292" s="70"/>
      <c r="AG292" s="70"/>
      <c r="AH292" s="70"/>
      <c r="AI292" s="70"/>
      <c r="AJ292" s="70"/>
      <c r="AK292" s="70"/>
    </row>
    <row r="293" spans="1:37" ht="12.75">
      <c r="A293" s="70"/>
      <c r="B293" s="70"/>
      <c r="C293" s="70"/>
      <c r="D293" s="70"/>
      <c r="E293" s="70"/>
      <c r="F293" s="70"/>
      <c r="G293" s="70"/>
      <c r="H293" s="70"/>
      <c r="I293" s="70"/>
      <c r="J293" s="70"/>
      <c r="K293" s="70"/>
      <c r="L293" s="70"/>
      <c r="M293" s="70"/>
      <c r="N293" s="70"/>
      <c r="O293" s="70"/>
      <c r="P293" s="70"/>
      <c r="Q293" s="70"/>
      <c r="R293" s="70"/>
      <c r="S293" s="70"/>
      <c r="T293" s="70"/>
      <c r="U293" s="70"/>
      <c r="V293" s="70"/>
      <c r="W293" s="70"/>
      <c r="X293" s="70"/>
      <c r="Y293" s="70"/>
      <c r="Z293" s="70"/>
      <c r="AA293" s="70"/>
      <c r="AB293" s="70"/>
      <c r="AC293" s="70"/>
      <c r="AD293" s="70"/>
      <c r="AE293" s="70"/>
      <c r="AF293" s="70"/>
      <c r="AG293" s="70"/>
      <c r="AH293" s="70"/>
      <c r="AI293" s="70"/>
      <c r="AJ293" s="70"/>
      <c r="AK293" s="70"/>
    </row>
    <row r="294" spans="1:37" ht="12.75">
      <c r="A294" s="70"/>
      <c r="B294" s="70"/>
      <c r="C294" s="70"/>
      <c r="D294" s="70"/>
      <c r="E294" s="70"/>
      <c r="F294" s="70"/>
      <c r="G294" s="70"/>
      <c r="H294" s="70"/>
      <c r="I294" s="70"/>
      <c r="J294" s="70"/>
      <c r="K294" s="70"/>
      <c r="L294" s="70"/>
      <c r="M294" s="70"/>
      <c r="N294" s="70"/>
      <c r="O294" s="70"/>
      <c r="P294" s="70"/>
      <c r="Q294" s="70"/>
      <c r="R294" s="70"/>
      <c r="S294" s="70"/>
      <c r="T294" s="70"/>
      <c r="U294" s="70"/>
      <c r="V294" s="70"/>
      <c r="W294" s="70"/>
      <c r="X294" s="70"/>
      <c r="Y294" s="70"/>
      <c r="Z294" s="70"/>
      <c r="AA294" s="70"/>
      <c r="AB294" s="70"/>
      <c r="AC294" s="70"/>
      <c r="AD294" s="70"/>
      <c r="AE294" s="70"/>
      <c r="AF294" s="70"/>
      <c r="AG294" s="70"/>
      <c r="AH294" s="70"/>
      <c r="AI294" s="70"/>
      <c r="AJ294" s="70"/>
      <c r="AK294" s="70"/>
    </row>
    <row r="295" spans="1:37" ht="12.75">
      <c r="A295" s="70"/>
      <c r="B295" s="70"/>
      <c r="C295" s="70"/>
      <c r="D295" s="70"/>
      <c r="E295" s="70"/>
      <c r="F295" s="70"/>
      <c r="G295" s="70"/>
      <c r="H295" s="70"/>
      <c r="I295" s="70"/>
      <c r="J295" s="70"/>
      <c r="K295" s="70"/>
      <c r="L295" s="70"/>
      <c r="M295" s="70"/>
      <c r="N295" s="70"/>
      <c r="O295" s="70"/>
      <c r="P295" s="70"/>
      <c r="Q295" s="70"/>
      <c r="R295" s="70"/>
      <c r="S295" s="70"/>
      <c r="T295" s="70"/>
      <c r="U295" s="70"/>
      <c r="V295" s="70"/>
      <c r="W295" s="70"/>
      <c r="X295" s="70"/>
      <c r="Y295" s="70"/>
      <c r="Z295" s="70"/>
      <c r="AA295" s="70"/>
      <c r="AB295" s="70"/>
      <c r="AC295" s="70"/>
      <c r="AD295" s="70"/>
      <c r="AE295" s="70"/>
      <c r="AF295" s="70"/>
      <c r="AG295" s="70"/>
      <c r="AH295" s="70"/>
      <c r="AI295" s="70"/>
      <c r="AJ295" s="70"/>
      <c r="AK295" s="70"/>
    </row>
    <row r="296" spans="1:37" ht="12.75">
      <c r="A296" s="70"/>
      <c r="B296" s="70"/>
      <c r="C296" s="70"/>
      <c r="D296" s="70"/>
      <c r="E296" s="70"/>
      <c r="F296" s="70"/>
      <c r="G296" s="70"/>
      <c r="H296" s="70"/>
      <c r="I296" s="70"/>
      <c r="J296" s="70"/>
      <c r="K296" s="70"/>
      <c r="L296" s="70"/>
      <c r="M296" s="70"/>
      <c r="N296" s="70"/>
      <c r="O296" s="70"/>
      <c r="P296" s="70"/>
      <c r="Q296" s="70"/>
      <c r="R296" s="70"/>
      <c r="S296" s="70"/>
      <c r="T296" s="70"/>
      <c r="U296" s="70"/>
      <c r="V296" s="70"/>
      <c r="W296" s="70"/>
      <c r="X296" s="70"/>
      <c r="Y296" s="70"/>
      <c r="Z296" s="70"/>
      <c r="AA296" s="70"/>
      <c r="AB296" s="70"/>
      <c r="AC296" s="70"/>
      <c r="AD296" s="70"/>
      <c r="AE296" s="70"/>
      <c r="AF296" s="70"/>
      <c r="AG296" s="70"/>
      <c r="AH296" s="70"/>
      <c r="AI296" s="70"/>
      <c r="AJ296" s="70"/>
      <c r="AK296" s="70"/>
    </row>
    <row r="297" spans="1:37" ht="12.75">
      <c r="A297" s="70"/>
      <c r="B297" s="70"/>
      <c r="C297" s="70"/>
      <c r="D297" s="70"/>
      <c r="E297" s="70"/>
      <c r="F297" s="70"/>
      <c r="G297" s="70"/>
      <c r="H297" s="70"/>
      <c r="I297" s="70"/>
      <c r="J297" s="70"/>
      <c r="K297" s="70"/>
      <c r="L297" s="70"/>
      <c r="M297" s="70"/>
      <c r="N297" s="70"/>
      <c r="O297" s="70"/>
      <c r="P297" s="70"/>
      <c r="Q297" s="70"/>
      <c r="R297" s="70"/>
      <c r="S297" s="70"/>
      <c r="T297" s="70"/>
      <c r="U297" s="70"/>
      <c r="V297" s="70"/>
      <c r="W297" s="70"/>
      <c r="X297" s="70"/>
      <c r="Y297" s="70"/>
      <c r="Z297" s="70"/>
      <c r="AA297" s="70"/>
      <c r="AB297" s="70"/>
      <c r="AC297" s="70"/>
      <c r="AD297" s="70"/>
      <c r="AE297" s="70"/>
      <c r="AF297" s="70"/>
      <c r="AG297" s="70"/>
      <c r="AH297" s="70"/>
      <c r="AI297" s="70"/>
      <c r="AJ297" s="70"/>
      <c r="AK297" s="70"/>
    </row>
    <row r="298" spans="1:37" ht="12.75">
      <c r="A298" s="70"/>
      <c r="B298" s="70"/>
      <c r="C298" s="70"/>
      <c r="D298" s="70"/>
      <c r="E298" s="70"/>
      <c r="F298" s="70"/>
      <c r="G298" s="70"/>
      <c r="H298" s="70"/>
      <c r="I298" s="70"/>
      <c r="J298" s="70"/>
      <c r="K298" s="70"/>
      <c r="L298" s="70"/>
      <c r="M298" s="70"/>
      <c r="N298" s="70"/>
      <c r="O298" s="70"/>
      <c r="P298" s="70"/>
      <c r="Q298" s="70"/>
      <c r="R298" s="70"/>
      <c r="S298" s="70"/>
      <c r="T298" s="70"/>
      <c r="U298" s="70"/>
      <c r="V298" s="70"/>
      <c r="W298" s="70"/>
      <c r="X298" s="70"/>
      <c r="Y298" s="70"/>
      <c r="Z298" s="70"/>
      <c r="AA298" s="70"/>
      <c r="AB298" s="70"/>
      <c r="AC298" s="70"/>
      <c r="AD298" s="70"/>
      <c r="AE298" s="70"/>
      <c r="AF298" s="70"/>
      <c r="AG298" s="70"/>
      <c r="AH298" s="70"/>
      <c r="AI298" s="70"/>
      <c r="AJ298" s="70"/>
      <c r="AK298" s="70"/>
    </row>
    <row r="299" spans="1:37" ht="12.75">
      <c r="A299" s="70"/>
      <c r="B299" s="70"/>
      <c r="C299" s="70"/>
      <c r="D299" s="70"/>
      <c r="E299" s="70"/>
      <c r="F299" s="70"/>
      <c r="G299" s="70"/>
      <c r="H299" s="70"/>
      <c r="I299" s="70"/>
      <c r="J299" s="70"/>
      <c r="K299" s="70"/>
      <c r="L299" s="70"/>
      <c r="M299" s="70"/>
      <c r="N299" s="70"/>
      <c r="O299" s="70"/>
      <c r="P299" s="70"/>
      <c r="Q299" s="70"/>
      <c r="R299" s="70"/>
      <c r="S299" s="70"/>
      <c r="T299" s="70"/>
      <c r="U299" s="70"/>
      <c r="V299" s="70"/>
      <c r="W299" s="70"/>
      <c r="X299" s="70"/>
      <c r="Y299" s="70"/>
      <c r="Z299" s="70"/>
      <c r="AA299" s="70"/>
      <c r="AB299" s="70"/>
      <c r="AC299" s="70"/>
      <c r="AD299" s="70"/>
      <c r="AE299" s="70"/>
      <c r="AF299" s="70"/>
      <c r="AG299" s="70"/>
      <c r="AH299" s="70"/>
      <c r="AI299" s="70"/>
      <c r="AJ299" s="70"/>
      <c r="AK299" s="70"/>
    </row>
    <row r="300" spans="1:37" ht="12.75">
      <c r="A300" s="70"/>
      <c r="B300" s="70"/>
      <c r="C300" s="70"/>
      <c r="D300" s="70"/>
      <c r="E300" s="70"/>
      <c r="F300" s="70"/>
      <c r="G300" s="70"/>
      <c r="H300" s="70"/>
      <c r="I300" s="70"/>
      <c r="J300" s="70"/>
      <c r="K300" s="70"/>
      <c r="L300" s="70"/>
      <c r="M300" s="70"/>
      <c r="N300" s="70"/>
      <c r="O300" s="70"/>
      <c r="P300" s="70"/>
      <c r="Q300" s="70"/>
      <c r="R300" s="70"/>
      <c r="S300" s="70"/>
      <c r="T300" s="70"/>
      <c r="U300" s="70"/>
      <c r="V300" s="70"/>
      <c r="W300" s="70"/>
      <c r="X300" s="70"/>
      <c r="Y300" s="70"/>
      <c r="Z300" s="70"/>
      <c r="AA300" s="70"/>
      <c r="AB300" s="70"/>
      <c r="AC300" s="70"/>
      <c r="AD300" s="70"/>
      <c r="AE300" s="70"/>
      <c r="AF300" s="70"/>
      <c r="AG300" s="70"/>
      <c r="AH300" s="70"/>
      <c r="AI300" s="70"/>
      <c r="AJ300" s="70"/>
      <c r="AK300" s="70"/>
    </row>
    <row r="301" spans="1:37" ht="12.75">
      <c r="A301" s="70"/>
      <c r="B301" s="70"/>
      <c r="C301" s="70"/>
      <c r="D301" s="70"/>
      <c r="E301" s="70"/>
      <c r="F301" s="70"/>
      <c r="G301" s="70"/>
      <c r="H301" s="70"/>
      <c r="I301" s="70"/>
      <c r="J301" s="70"/>
      <c r="K301" s="70"/>
      <c r="L301" s="70"/>
      <c r="M301" s="70"/>
      <c r="N301" s="70"/>
      <c r="O301" s="70"/>
      <c r="P301" s="70"/>
      <c r="Q301" s="70"/>
      <c r="R301" s="70"/>
      <c r="S301" s="70"/>
      <c r="T301" s="70"/>
      <c r="U301" s="70"/>
      <c r="V301" s="70"/>
      <c r="W301" s="70"/>
      <c r="X301" s="70"/>
      <c r="Y301" s="70"/>
      <c r="Z301" s="70"/>
      <c r="AA301" s="70"/>
      <c r="AB301" s="70"/>
      <c r="AC301" s="70"/>
      <c r="AD301" s="70"/>
      <c r="AE301" s="70"/>
      <c r="AF301" s="70"/>
      <c r="AG301" s="70"/>
      <c r="AH301" s="70"/>
      <c r="AI301" s="70"/>
      <c r="AJ301" s="70"/>
      <c r="AK301" s="70"/>
    </row>
    <row r="302" spans="1:37" ht="12.75">
      <c r="A302" s="70"/>
      <c r="B302" s="70"/>
      <c r="C302" s="70"/>
      <c r="D302" s="70"/>
      <c r="E302" s="70"/>
      <c r="F302" s="70"/>
      <c r="G302" s="70"/>
      <c r="H302" s="70"/>
      <c r="I302" s="70"/>
      <c r="J302" s="70"/>
      <c r="K302" s="70"/>
      <c r="L302" s="70"/>
      <c r="M302" s="70"/>
      <c r="N302" s="70"/>
      <c r="O302" s="70"/>
      <c r="P302" s="70"/>
      <c r="Q302" s="70"/>
      <c r="R302" s="70"/>
      <c r="S302" s="70"/>
      <c r="T302" s="70"/>
      <c r="U302" s="70"/>
      <c r="V302" s="70"/>
      <c r="W302" s="70"/>
      <c r="X302" s="70"/>
      <c r="Y302" s="70"/>
      <c r="Z302" s="70"/>
      <c r="AA302" s="70"/>
      <c r="AB302" s="70"/>
      <c r="AC302" s="70"/>
      <c r="AD302" s="70"/>
      <c r="AE302" s="70"/>
      <c r="AF302" s="70"/>
      <c r="AG302" s="70"/>
      <c r="AH302" s="70"/>
      <c r="AI302" s="70"/>
      <c r="AJ302" s="70"/>
      <c r="AK302" s="70"/>
    </row>
    <row r="303" spans="1:37" ht="12.75">
      <c r="A303" s="70"/>
      <c r="B303" s="70"/>
      <c r="C303" s="70"/>
      <c r="D303" s="70"/>
      <c r="E303" s="70"/>
      <c r="F303" s="70"/>
      <c r="G303" s="70"/>
      <c r="H303" s="70"/>
      <c r="I303" s="70"/>
      <c r="J303" s="70"/>
      <c r="K303" s="70"/>
      <c r="L303" s="70"/>
      <c r="M303" s="70"/>
      <c r="N303" s="70"/>
      <c r="O303" s="70"/>
      <c r="P303" s="70"/>
      <c r="Q303" s="70"/>
      <c r="R303" s="70"/>
      <c r="S303" s="70"/>
      <c r="T303" s="70"/>
      <c r="U303" s="70"/>
      <c r="V303" s="70"/>
      <c r="W303" s="70"/>
      <c r="X303" s="70"/>
      <c r="Y303" s="70"/>
      <c r="Z303" s="70"/>
      <c r="AA303" s="70"/>
      <c r="AB303" s="70"/>
      <c r="AC303" s="70"/>
      <c r="AD303" s="70"/>
      <c r="AE303" s="70"/>
      <c r="AF303" s="70"/>
      <c r="AG303" s="70"/>
      <c r="AH303" s="70"/>
      <c r="AI303" s="70"/>
      <c r="AJ303" s="70"/>
      <c r="AK303" s="70"/>
    </row>
    <row r="304" spans="1:37" ht="12.75">
      <c r="A304" s="70"/>
      <c r="B304" s="70"/>
      <c r="C304" s="70"/>
      <c r="D304" s="70"/>
      <c r="E304" s="70"/>
      <c r="F304" s="70"/>
      <c r="G304" s="70"/>
      <c r="H304" s="70"/>
      <c r="I304" s="70"/>
      <c r="J304" s="70"/>
      <c r="K304" s="70"/>
      <c r="L304" s="70"/>
      <c r="M304" s="70"/>
      <c r="N304" s="70"/>
      <c r="O304" s="70"/>
      <c r="P304" s="70"/>
      <c r="Q304" s="70"/>
      <c r="R304" s="70"/>
      <c r="S304" s="70"/>
      <c r="T304" s="70"/>
      <c r="U304" s="70"/>
      <c r="V304" s="70"/>
      <c r="W304" s="70"/>
      <c r="X304" s="70"/>
      <c r="Y304" s="70"/>
      <c r="Z304" s="70"/>
      <c r="AA304" s="70"/>
      <c r="AB304" s="70"/>
      <c r="AC304" s="70"/>
      <c r="AD304" s="70"/>
      <c r="AE304" s="70"/>
      <c r="AF304" s="70"/>
      <c r="AG304" s="70"/>
      <c r="AH304" s="70"/>
      <c r="AI304" s="70"/>
      <c r="AJ304" s="70"/>
      <c r="AK304" s="70"/>
    </row>
    <row r="305" spans="1:37" ht="12.75">
      <c r="A305" s="70"/>
      <c r="B305" s="70"/>
      <c r="C305" s="70"/>
      <c r="D305" s="70"/>
      <c r="E305" s="70"/>
      <c r="F305" s="70"/>
      <c r="G305" s="70"/>
      <c r="H305" s="70"/>
      <c r="I305" s="70"/>
      <c r="J305" s="70"/>
      <c r="K305" s="70"/>
      <c r="L305" s="70"/>
      <c r="M305" s="70"/>
      <c r="N305" s="70"/>
      <c r="O305" s="70"/>
      <c r="P305" s="70"/>
      <c r="Q305" s="70"/>
      <c r="R305" s="70"/>
      <c r="S305" s="70"/>
      <c r="T305" s="70"/>
      <c r="U305" s="70"/>
      <c r="V305" s="70"/>
      <c r="W305" s="70"/>
      <c r="X305" s="70"/>
      <c r="Y305" s="70"/>
      <c r="Z305" s="70"/>
      <c r="AA305" s="70"/>
      <c r="AB305" s="70"/>
      <c r="AC305" s="70"/>
      <c r="AD305" s="70"/>
      <c r="AE305" s="70"/>
      <c r="AF305" s="70"/>
      <c r="AG305" s="70"/>
      <c r="AH305" s="70"/>
      <c r="AI305" s="70"/>
      <c r="AJ305" s="70"/>
      <c r="AK305" s="70"/>
    </row>
    <row r="306" spans="1:37" ht="12.75">
      <c r="A306" s="70"/>
      <c r="B306" s="70"/>
      <c r="C306" s="70"/>
      <c r="D306" s="70"/>
      <c r="E306" s="70"/>
      <c r="F306" s="70"/>
      <c r="G306" s="70"/>
      <c r="H306" s="70"/>
      <c r="I306" s="70"/>
      <c r="J306" s="70"/>
      <c r="K306" s="70"/>
      <c r="L306" s="70"/>
      <c r="M306" s="70"/>
      <c r="N306" s="70"/>
      <c r="O306" s="70"/>
      <c r="P306" s="70"/>
      <c r="Q306" s="70"/>
      <c r="R306" s="70"/>
      <c r="S306" s="70"/>
      <c r="T306" s="70"/>
      <c r="U306" s="70"/>
      <c r="V306" s="70"/>
      <c r="W306" s="70"/>
      <c r="X306" s="70"/>
      <c r="Y306" s="70"/>
      <c r="Z306" s="70"/>
      <c r="AA306" s="70"/>
      <c r="AB306" s="70"/>
      <c r="AC306" s="70"/>
      <c r="AD306" s="70"/>
      <c r="AE306" s="70"/>
      <c r="AF306" s="70"/>
      <c r="AG306" s="70"/>
      <c r="AH306" s="70"/>
      <c r="AI306" s="70"/>
      <c r="AJ306" s="70"/>
      <c r="AK306" s="70"/>
    </row>
    <row r="307" spans="1:37" ht="12.75">
      <c r="A307" s="70"/>
      <c r="B307" s="70"/>
      <c r="C307" s="70"/>
      <c r="D307" s="70"/>
      <c r="E307" s="70"/>
      <c r="F307" s="70"/>
      <c r="G307" s="70"/>
      <c r="H307" s="70"/>
      <c r="I307" s="70"/>
      <c r="J307" s="70"/>
      <c r="K307" s="70"/>
      <c r="L307" s="70"/>
      <c r="M307" s="70"/>
      <c r="N307" s="70"/>
      <c r="O307" s="70"/>
      <c r="P307" s="70"/>
      <c r="Q307" s="70"/>
      <c r="R307" s="70"/>
      <c r="S307" s="70"/>
      <c r="T307" s="70"/>
      <c r="U307" s="70"/>
      <c r="V307" s="70"/>
      <c r="W307" s="70"/>
      <c r="X307" s="70"/>
      <c r="Y307" s="70"/>
      <c r="Z307" s="70"/>
      <c r="AA307" s="70"/>
      <c r="AB307" s="70"/>
      <c r="AC307" s="70"/>
      <c r="AD307" s="70"/>
      <c r="AE307" s="70"/>
      <c r="AF307" s="70"/>
      <c r="AG307" s="70"/>
      <c r="AH307" s="70"/>
      <c r="AI307" s="70"/>
      <c r="AJ307" s="70"/>
      <c r="AK307" s="70"/>
    </row>
    <row r="308" spans="1:37" ht="12.75">
      <c r="A308" s="70"/>
      <c r="B308" s="70"/>
      <c r="C308" s="70"/>
      <c r="D308" s="70"/>
      <c r="E308" s="70"/>
      <c r="F308" s="70"/>
      <c r="G308" s="70"/>
      <c r="H308" s="70"/>
      <c r="I308" s="70"/>
      <c r="J308" s="70"/>
      <c r="K308" s="70"/>
      <c r="L308" s="70"/>
      <c r="M308" s="70"/>
      <c r="N308" s="70"/>
      <c r="O308" s="70"/>
      <c r="P308" s="70"/>
      <c r="Q308" s="70"/>
      <c r="R308" s="70"/>
      <c r="S308" s="70"/>
      <c r="T308" s="70"/>
      <c r="U308" s="70"/>
      <c r="V308" s="70"/>
      <c r="W308" s="70"/>
      <c r="X308" s="70"/>
      <c r="Y308" s="70"/>
      <c r="Z308" s="70"/>
      <c r="AA308" s="70"/>
      <c r="AB308" s="70"/>
      <c r="AC308" s="70"/>
      <c r="AD308" s="70"/>
      <c r="AE308" s="70"/>
      <c r="AF308" s="70"/>
      <c r="AG308" s="70"/>
      <c r="AH308" s="70"/>
      <c r="AI308" s="70"/>
      <c r="AJ308" s="70"/>
      <c r="AK308" s="70"/>
    </row>
    <row r="309" spans="1:37" ht="12.75">
      <c r="A309" s="70"/>
      <c r="B309" s="70"/>
      <c r="C309" s="70"/>
      <c r="D309" s="70"/>
      <c r="E309" s="70"/>
      <c r="F309" s="70"/>
      <c r="G309" s="70"/>
      <c r="H309" s="70"/>
      <c r="I309" s="70"/>
      <c r="J309" s="70"/>
      <c r="K309" s="70"/>
      <c r="L309" s="70"/>
      <c r="M309" s="70"/>
      <c r="N309" s="70"/>
      <c r="O309" s="70"/>
      <c r="P309" s="70"/>
      <c r="Q309" s="70"/>
      <c r="R309" s="70"/>
      <c r="S309" s="70"/>
      <c r="T309" s="70"/>
      <c r="U309" s="70"/>
      <c r="V309" s="70"/>
      <c r="W309" s="70"/>
      <c r="X309" s="70"/>
      <c r="Y309" s="70"/>
      <c r="Z309" s="70"/>
      <c r="AA309" s="70"/>
      <c r="AB309" s="70"/>
      <c r="AC309" s="70"/>
      <c r="AD309" s="70"/>
      <c r="AE309" s="70"/>
      <c r="AF309" s="70"/>
      <c r="AG309" s="70"/>
      <c r="AH309" s="70"/>
      <c r="AI309" s="70"/>
      <c r="AJ309" s="70"/>
      <c r="AK309" s="70"/>
    </row>
    <row r="310" spans="20:22" ht="12.75">
      <c r="T310" s="70"/>
      <c r="U310" s="70"/>
      <c r="V310" s="70"/>
    </row>
    <row r="311" spans="20:22" ht="12.75">
      <c r="T311" s="70"/>
      <c r="U311" s="70"/>
      <c r="V311" s="70"/>
    </row>
  </sheetData>
  <sheetProtection formatCells="0"/>
  <mergeCells count="15">
    <mergeCell ref="F237:G237"/>
    <mergeCell ref="B85:F94"/>
    <mergeCell ref="H39:I39"/>
    <mergeCell ref="B39:C39"/>
    <mergeCell ref="D39:E39"/>
    <mergeCell ref="F39:G39"/>
    <mergeCell ref="G61:G67"/>
    <mergeCell ref="I174:I175"/>
    <mergeCell ref="E194:G194"/>
    <mergeCell ref="J174:Q175"/>
    <mergeCell ref="E182:E185"/>
    <mergeCell ref="I184:P184"/>
    <mergeCell ref="E186:E189"/>
    <mergeCell ref="E190:E191"/>
    <mergeCell ref="E192:E193"/>
  </mergeCells>
  <conditionalFormatting sqref="B212:C212 B200">
    <cfRule type="cellIs" priority="6" dxfId="4" operator="equal" stopIfTrue="1">
      <formula>"OK"</formula>
    </cfRule>
    <cfRule type="cellIs" priority="7" dxfId="0" operator="equal" stopIfTrue="1">
      <formula>"NOT OK"</formula>
    </cfRule>
  </conditionalFormatting>
  <conditionalFormatting sqref="B197:B198 B209:B210">
    <cfRule type="cellIs" priority="8" dxfId="2" operator="equal" stopIfTrue="1">
      <formula>0</formula>
    </cfRule>
    <cfRule type="cellIs" priority="9" dxfId="1" operator="greaterThan" stopIfTrue="1">
      <formula>1</formula>
    </cfRule>
    <cfRule type="cellIs" priority="10" dxfId="0" operator="between" stopIfTrue="1">
      <formula>0.00000001</formula>
      <formula>0.9999999999</formula>
    </cfRule>
  </conditionalFormatting>
  <conditionalFormatting sqref="C200">
    <cfRule type="cellIs" priority="1" dxfId="4" operator="equal" stopIfTrue="1">
      <formula>"OK"</formula>
    </cfRule>
    <cfRule type="cellIs" priority="2" dxfId="0" operator="equal" stopIfTrue="1">
      <formula>"NOT OK"</formula>
    </cfRule>
  </conditionalFormatting>
  <conditionalFormatting sqref="C197:C198">
    <cfRule type="cellIs" priority="3" dxfId="2" operator="equal" stopIfTrue="1">
      <formula>0</formula>
    </cfRule>
    <cfRule type="cellIs" priority="4" dxfId="1" operator="greaterThan" stopIfTrue="1">
      <formula>1</formula>
    </cfRule>
    <cfRule type="cellIs" priority="5" dxfId="0" operator="between" stopIfTrue="1">
      <formula>0.00000001</formula>
      <formula>0.9999999999</formula>
    </cfRule>
  </conditionalFormatting>
  <dataValidations count="6">
    <dataValidation type="list" allowBlank="1" showInputMessage="1" showErrorMessage="1" sqref="B204">
      <formula1>$T$176:$T$177</formula1>
    </dataValidation>
    <dataValidation type="list" allowBlank="1" showInputMessage="1" showErrorMessage="1" sqref="B177">
      <formula1>$E$217:$E$218</formula1>
    </dataValidation>
    <dataValidation type="list" allowBlank="1" showInputMessage="1" showErrorMessage="1" sqref="B175">
      <formula1>$E$211:$E$213</formula1>
    </dataValidation>
    <dataValidation type="decimal" operator="greaterThanOrEqual" allowBlank="1" showInputMessage="1" showErrorMessage="1" errorTitle="Negative electric rate" error="Electric rate must be greater than zero." sqref="B176">
      <formula1>0</formula1>
    </dataValidation>
    <dataValidation type="decimal" operator="greaterThanOrEqual" allowBlank="1" showInputMessage="1" showErrorMessage="1" errorTitle="Negative gas rate" error="Gas rate must be greater than zero." sqref="B178">
      <formula1>0</formula1>
    </dataValidation>
    <dataValidation type="list" allowBlank="1" showInputMessage="1" showErrorMessage="1" sqref="B179">
      <formula1>$E$176:$E$182</formula1>
    </dataValidation>
  </dataValidations>
  <printOptions/>
  <pageMargins left="0.29" right="0.16" top="1" bottom="1" header="0.5" footer="0.5"/>
  <pageSetup fitToHeight="1" fitToWidth="1" horizontalDpi="600" verticalDpi="600" orientation="landscape" scale="76" r:id="rId4"/>
  <ignoredErrors>
    <ignoredError sqref="F44" formula="1"/>
  </ignoredErrors>
  <drawing r:id="rId3"/>
  <legacyDrawing r:id="rId2"/>
</worksheet>
</file>

<file path=xl/worksheets/sheet6.xml><?xml version="1.0" encoding="utf-8"?>
<worksheet xmlns="http://schemas.openxmlformats.org/spreadsheetml/2006/main" xmlns:r="http://schemas.openxmlformats.org/officeDocument/2006/relationships">
  <sheetPr codeName="Sheet10">
    <pageSetUpPr fitToPage="1"/>
  </sheetPr>
  <dimension ref="B7:K41"/>
  <sheetViews>
    <sheetView showGridLines="0" zoomScale="115" zoomScaleNormal="115" zoomScalePageLayoutView="0" workbookViewId="0" topLeftCell="A1">
      <selection activeCell="B18" sqref="B18"/>
    </sheetView>
  </sheetViews>
  <sheetFormatPr defaultColWidth="9.140625" defaultRowHeight="12.75"/>
  <cols>
    <col min="1" max="2" width="9.140625" style="441" customWidth="1"/>
    <col min="3" max="3" width="28.57421875" style="441" customWidth="1"/>
    <col min="4" max="4" width="13.57421875" style="441" customWidth="1"/>
    <col min="5" max="6" width="10.421875" style="441" customWidth="1"/>
    <col min="7" max="7" width="11.421875" style="441" customWidth="1"/>
    <col min="8" max="16384" width="9.140625" style="441" customWidth="1"/>
  </cols>
  <sheetData>
    <row r="7" spans="3:11" ht="12.75">
      <c r="C7" s="442" t="s">
        <v>1082</v>
      </c>
      <c r="D7" s="443"/>
      <c r="E7" s="443"/>
      <c r="F7" s="443"/>
      <c r="G7" s="444"/>
      <c r="H7" s="442" t="s">
        <v>668</v>
      </c>
      <c r="I7" s="442"/>
      <c r="J7" s="443"/>
      <c r="K7" s="443"/>
    </row>
    <row r="8" spans="3:11" ht="12.75">
      <c r="C8" s="444" t="s">
        <v>1083</v>
      </c>
      <c r="D8" s="445">
        <f>'Savings Calculations'!J32</f>
        <v>2</v>
      </c>
      <c r="E8" s="444" t="s">
        <v>616</v>
      </c>
      <c r="F8" s="443"/>
      <c r="G8" s="444"/>
      <c r="H8" s="442"/>
      <c r="I8" s="442"/>
      <c r="J8" s="443"/>
      <c r="K8" s="443"/>
    </row>
    <row r="9" spans="3:11" ht="12.75">
      <c r="C9" s="444" t="s">
        <v>1084</v>
      </c>
      <c r="D9" s="445">
        <f>'Savings Calculations'!P32</f>
        <v>2</v>
      </c>
      <c r="E9" s="444" t="s">
        <v>616</v>
      </c>
      <c r="F9" s="443"/>
      <c r="G9" s="444"/>
      <c r="H9" s="443" t="s">
        <v>1085</v>
      </c>
      <c r="I9" s="446">
        <f>SUM('Savings Calculations'!E42:F45)</f>
        <v>0</v>
      </c>
      <c r="J9" s="443" t="s">
        <v>1086</v>
      </c>
      <c r="K9" s="443"/>
    </row>
    <row r="10" spans="3:11" ht="12.75">
      <c r="C10" s="444" t="s">
        <v>1087</v>
      </c>
      <c r="D10" s="447">
        <v>0.85</v>
      </c>
      <c r="E10" s="443"/>
      <c r="F10" s="443"/>
      <c r="G10" s="444"/>
      <c r="H10" s="443" t="s">
        <v>1088</v>
      </c>
      <c r="I10" s="443">
        <f>D8*0.746*D10/D12</f>
        <v>1.4930983240695197</v>
      </c>
      <c r="J10" s="443" t="s">
        <v>669</v>
      </c>
      <c r="K10" s="443"/>
    </row>
    <row r="11" spans="3:11" ht="12.75">
      <c r="C11" s="444" t="s">
        <v>362</v>
      </c>
      <c r="D11" s="447" t="s">
        <v>363</v>
      </c>
      <c r="E11" s="443"/>
      <c r="F11" s="443"/>
      <c r="G11" s="444"/>
      <c r="H11" s="443"/>
      <c r="I11" s="443"/>
      <c r="J11" s="443"/>
      <c r="K11" s="443"/>
    </row>
    <row r="12" spans="3:11" ht="12.75">
      <c r="C12" s="444" t="s">
        <v>1089</v>
      </c>
      <c r="D12" s="448">
        <f>Local_MotorEfficiency(D9,D11,D10)</f>
        <v>0.8493747394635424</v>
      </c>
      <c r="E12" s="444"/>
      <c r="F12" s="443"/>
      <c r="G12" s="444"/>
      <c r="H12" s="443" t="s">
        <v>1090</v>
      </c>
      <c r="I12" s="449">
        <f>ROUND(I10*I9,0)</f>
        <v>0</v>
      </c>
      <c r="J12" s="443" t="s">
        <v>617</v>
      </c>
      <c r="K12" s="443"/>
    </row>
    <row r="13" spans="3:4" ht="12.75">
      <c r="C13" s="441" t="s">
        <v>1091</v>
      </c>
      <c r="D13" s="450">
        <v>2.7</v>
      </c>
    </row>
    <row r="14" spans="3:9" ht="12.75">
      <c r="C14" s="441" t="s">
        <v>1092</v>
      </c>
      <c r="D14" s="451">
        <v>0.97</v>
      </c>
      <c r="H14" s="452" t="s">
        <v>1093</v>
      </c>
      <c r="I14" s="441">
        <f>D9*0.746*D10/D12</f>
        <v>1.4930983240695197</v>
      </c>
    </row>
    <row r="15" spans="3:4" ht="12.75">
      <c r="C15" s="441" t="s">
        <v>1094</v>
      </c>
      <c r="D15" s="451">
        <v>0.2</v>
      </c>
    </row>
    <row r="16" ht="12.75">
      <c r="D16" s="453"/>
    </row>
    <row r="17" spans="3:6" ht="12.75">
      <c r="C17" s="441" t="s">
        <v>1095</v>
      </c>
      <c r="D17" s="454">
        <v>100</v>
      </c>
      <c r="E17" s="441" t="s">
        <v>1096</v>
      </c>
      <c r="F17" s="441" t="s">
        <v>1097</v>
      </c>
    </row>
    <row r="18" spans="3:6" ht="12.75">
      <c r="C18" s="441" t="s">
        <v>0</v>
      </c>
      <c r="D18" s="455">
        <v>70</v>
      </c>
      <c r="E18" s="441" t="s">
        <v>1096</v>
      </c>
      <c r="F18" s="441" t="s">
        <v>1</v>
      </c>
    </row>
    <row r="19" spans="3:6" ht="12.75">
      <c r="C19" s="441" t="s">
        <v>2</v>
      </c>
      <c r="D19" s="454">
        <v>140</v>
      </c>
      <c r="E19" s="441" t="s">
        <v>1096</v>
      </c>
      <c r="F19" s="441" t="s">
        <v>3</v>
      </c>
    </row>
    <row r="20" spans="3:6" ht="12.75">
      <c r="C20" s="441" t="s">
        <v>4</v>
      </c>
      <c r="D20" s="456">
        <f>1-(1-((D19-D17)/(D19-D18)))/4</f>
        <v>0.8928571428571428</v>
      </c>
      <c r="F20" s="441" t="s">
        <v>5</v>
      </c>
    </row>
    <row r="21" ht="12.75">
      <c r="D21" s="454"/>
    </row>
    <row r="22" ht="13.5" thickBot="1">
      <c r="B22" s="441" t="s">
        <v>355</v>
      </c>
    </row>
    <row r="23" spans="2:7" s="461" customFormat="1" ht="28.5" customHeight="1" thickBot="1">
      <c r="B23" s="457" t="s">
        <v>6</v>
      </c>
      <c r="C23" s="458" t="s">
        <v>667</v>
      </c>
      <c r="D23" s="458" t="s">
        <v>7</v>
      </c>
      <c r="E23" s="459" t="s">
        <v>8</v>
      </c>
      <c r="F23" s="460" t="s">
        <v>9</v>
      </c>
      <c r="G23" s="460" t="s">
        <v>10</v>
      </c>
    </row>
    <row r="24" spans="2:7" ht="12.75">
      <c r="B24" s="462">
        <v>1</v>
      </c>
      <c r="C24" s="463">
        <f>'Savings Calculations'!E42</f>
        <v>0</v>
      </c>
      <c r="D24" s="464" t="e">
        <f>'Savings Calculations'!S42</f>
        <v>#DIV/0!</v>
      </c>
      <c r="E24" s="465" t="e">
        <f>(D24*$D$20*(1-$D$15)+$D$15)</f>
        <v>#DIV/0!</v>
      </c>
      <c r="F24" s="466" t="e">
        <f>$I$14*E24^$D$13/$D$14</f>
        <v>#DIV/0!</v>
      </c>
      <c r="G24" s="467" t="e">
        <f>F24*C24</f>
        <v>#DIV/0!</v>
      </c>
    </row>
    <row r="25" spans="2:7" ht="12.75">
      <c r="B25" s="468">
        <v>2</v>
      </c>
      <c r="C25" s="469">
        <f>'Savings Calculations'!E43</f>
        <v>0</v>
      </c>
      <c r="D25" s="470" t="e">
        <f>'Savings Calculations'!S43</f>
        <v>#DIV/0!</v>
      </c>
      <c r="E25" s="465" t="e">
        <f>(D25*$D$20*(1-$D$15)+$D$15)</f>
        <v>#DIV/0!</v>
      </c>
      <c r="F25" s="471" t="e">
        <f>$I$14*E25^$D$13/$D$14</f>
        <v>#DIV/0!</v>
      </c>
      <c r="G25" s="467" t="e">
        <f>F25*C25</f>
        <v>#DIV/0!</v>
      </c>
    </row>
    <row r="26" spans="2:7" ht="12.75">
      <c r="B26" s="468">
        <v>3</v>
      </c>
      <c r="C26" s="469">
        <f>'Savings Calculations'!E44</f>
        <v>0</v>
      </c>
      <c r="D26" s="470" t="e">
        <f>'Savings Calculations'!S44</f>
        <v>#DIV/0!</v>
      </c>
      <c r="E26" s="465" t="e">
        <f>(D26*$D$20*(1-$D$15)+$D$15)</f>
        <v>#DIV/0!</v>
      </c>
      <c r="F26" s="471" t="e">
        <f>$I$14*E26^$D$13/$D$14</f>
        <v>#DIV/0!</v>
      </c>
      <c r="G26" s="467" t="e">
        <f>F26*C26</f>
        <v>#DIV/0!</v>
      </c>
    </row>
    <row r="27" spans="2:7" ht="13.5" thickBot="1">
      <c r="B27" s="472">
        <v>4</v>
      </c>
      <c r="C27" s="473">
        <f>'Savings Calculations'!E45</f>
        <v>0</v>
      </c>
      <c r="D27" s="474" t="e">
        <f>'Savings Calculations'!S45</f>
        <v>#DIV/0!</v>
      </c>
      <c r="E27" s="465" t="e">
        <f>(D27*$D$20*(1-$D$15)+$D$15)</f>
        <v>#DIV/0!</v>
      </c>
      <c r="F27" s="475" t="e">
        <f>$I$14*E27^$D$13/$D$14</f>
        <v>#DIV/0!</v>
      </c>
      <c r="G27" s="467" t="e">
        <f>F27*C27</f>
        <v>#DIV/0!</v>
      </c>
    </row>
    <row r="28" spans="2:7" ht="13.5" thickBot="1">
      <c r="B28" s="476" t="s">
        <v>11</v>
      </c>
      <c r="C28" s="477">
        <f>SUM(C24:C27)</f>
        <v>0</v>
      </c>
      <c r="D28" s="478"/>
      <c r="E28" s="479"/>
      <c r="F28" s="480"/>
      <c r="G28" s="481" t="e">
        <f>ROUND(SUM(G24:G27),0)</f>
        <v>#DIV/0!</v>
      </c>
    </row>
    <row r="31" spans="6:8" ht="12.75">
      <c r="F31" s="441" t="s">
        <v>12</v>
      </c>
      <c r="G31" s="482" t="e">
        <f>I12-G28</f>
        <v>#DIV/0!</v>
      </c>
      <c r="H31" s="441" t="s">
        <v>617</v>
      </c>
    </row>
    <row r="32" ht="12.75">
      <c r="G32" s="482"/>
    </row>
    <row r="34" spans="2:7" ht="13.5" thickBot="1">
      <c r="B34" s="827" t="s">
        <v>356</v>
      </c>
      <c r="C34" s="827"/>
      <c r="D34" s="827" t="s">
        <v>357</v>
      </c>
      <c r="E34" s="827"/>
      <c r="F34" s="827"/>
      <c r="G34" s="827"/>
    </row>
    <row r="35" spans="2:7" ht="26.25" thickBot="1">
      <c r="B35" s="828" t="s">
        <v>6</v>
      </c>
      <c r="C35" s="829" t="s">
        <v>667</v>
      </c>
      <c r="D35" s="829" t="s">
        <v>7</v>
      </c>
      <c r="E35" s="830"/>
      <c r="F35" s="831" t="s">
        <v>9</v>
      </c>
      <c r="G35" s="831" t="s">
        <v>10</v>
      </c>
    </row>
    <row r="36" spans="2:7" ht="12.75">
      <c r="B36" s="832">
        <v>1</v>
      </c>
      <c r="C36" s="833">
        <f>'Savings Calculations'!E42</f>
        <v>0</v>
      </c>
      <c r="D36" s="834" t="e">
        <f>'Savings Calculations'!S42</f>
        <v>#DIV/0!</v>
      </c>
      <c r="E36" s="835"/>
      <c r="F36" s="836" t="e">
        <f>$D$8*0.746*D36/$D$12</f>
        <v>#DIV/0!</v>
      </c>
      <c r="G36" s="837" t="e">
        <f>F36*C36</f>
        <v>#DIV/0!</v>
      </c>
    </row>
    <row r="37" spans="2:7" ht="12.75">
      <c r="B37" s="838">
        <v>2</v>
      </c>
      <c r="C37" s="833">
        <f>'Savings Calculations'!E43</f>
        <v>0</v>
      </c>
      <c r="D37" s="834" t="e">
        <f>'Savings Calculations'!S43</f>
        <v>#DIV/0!</v>
      </c>
      <c r="E37" s="835"/>
      <c r="F37" s="836" t="e">
        <f>$D$8*0.746*D37/$D$12</f>
        <v>#DIV/0!</v>
      </c>
      <c r="G37" s="837" t="e">
        <f>F37*C37</f>
        <v>#DIV/0!</v>
      </c>
    </row>
    <row r="38" spans="2:7" ht="12.75">
      <c r="B38" s="838">
        <v>3</v>
      </c>
      <c r="C38" s="833">
        <f>'Savings Calculations'!E44</f>
        <v>0</v>
      </c>
      <c r="D38" s="834" t="e">
        <f>'Savings Calculations'!S44</f>
        <v>#DIV/0!</v>
      </c>
      <c r="E38" s="835"/>
      <c r="F38" s="836" t="e">
        <f>$D$8*0.746*D38/$D$12</f>
        <v>#DIV/0!</v>
      </c>
      <c r="G38" s="837" t="e">
        <f>F38*C38</f>
        <v>#DIV/0!</v>
      </c>
    </row>
    <row r="39" spans="2:7" ht="13.5" thickBot="1">
      <c r="B39" s="839">
        <v>4</v>
      </c>
      <c r="C39" s="833">
        <f>'Savings Calculations'!E45</f>
        <v>0</v>
      </c>
      <c r="D39" s="834" t="e">
        <f>'Savings Calculations'!S45</f>
        <v>#DIV/0!</v>
      </c>
      <c r="E39" s="835"/>
      <c r="F39" s="836" t="e">
        <f>$D$8*0.746*D39/$D$12</f>
        <v>#DIV/0!</v>
      </c>
      <c r="G39" s="837" t="e">
        <f>F39*C39</f>
        <v>#DIV/0!</v>
      </c>
    </row>
    <row r="40" spans="2:7" ht="13.5" thickBot="1">
      <c r="B40" s="840" t="s">
        <v>11</v>
      </c>
      <c r="C40" s="841">
        <f>SUM(C36:C39)</f>
        <v>0</v>
      </c>
      <c r="D40" s="842"/>
      <c r="E40" s="843"/>
      <c r="F40" s="844"/>
      <c r="G40" s="845" t="e">
        <f>SUM(G36:G39)</f>
        <v>#DIV/0!</v>
      </c>
    </row>
    <row r="41" spans="2:7" ht="12.75">
      <c r="B41" s="752"/>
      <c r="C41" s="823"/>
      <c r="D41" s="824"/>
      <c r="E41" s="752"/>
      <c r="F41" s="825"/>
      <c r="G41" s="826"/>
    </row>
  </sheetData>
  <sheetProtection formatCells="0"/>
  <dataValidations count="1">
    <dataValidation type="list" allowBlank="1" showInputMessage="1" showErrorMessage="1" sqref="D11">
      <formula1>"standard, efficient"</formula1>
    </dataValidation>
  </dataValidations>
  <printOptions horizontalCentered="1"/>
  <pageMargins left="0.5" right="0.5" top="0.5" bottom="0.5" header="0.25" footer="0.25"/>
  <pageSetup fitToHeight="1" fitToWidth="1" horizontalDpi="600" verticalDpi="600" orientation="portrait" scale="50" r:id="rId2"/>
  <headerFooter alignWithMargins="0">
    <oddFooter>&amp;L&amp;"Times New Roman,Bold"&amp;6&amp;F, &amp;A&amp;C&amp;"Times New Roman,Bold"&amp;6Page &amp;P&amp;R&amp;"Times New Roman,Bold"&amp;6&amp;D</oddFooter>
  </headerFooter>
  <drawing r:id="rId1"/>
</worksheet>
</file>

<file path=xl/worksheets/sheet7.xml><?xml version="1.0" encoding="utf-8"?>
<worksheet xmlns="http://schemas.openxmlformats.org/spreadsheetml/2006/main" xmlns:r="http://schemas.openxmlformats.org/officeDocument/2006/relationships">
  <sheetPr codeName="Sheet7"/>
  <dimension ref="A1:F493"/>
  <sheetViews>
    <sheetView zoomScalePageLayoutView="0" workbookViewId="0" topLeftCell="A11">
      <selection activeCell="C11" sqref="C11"/>
    </sheetView>
  </sheetViews>
  <sheetFormatPr defaultColWidth="9.140625" defaultRowHeight="12.75"/>
  <cols>
    <col min="1" max="1" width="19.57421875" style="443" customWidth="1"/>
    <col min="2" max="2" width="22.00390625" style="443" customWidth="1"/>
    <col min="3" max="16384" width="9.140625" style="443" customWidth="1"/>
  </cols>
  <sheetData>
    <row r="1" spans="2:6" ht="12.75">
      <c r="B1" s="443" t="s">
        <v>31</v>
      </c>
      <c r="C1" s="443" t="s">
        <v>32</v>
      </c>
      <c r="D1" s="443" t="s">
        <v>33</v>
      </c>
      <c r="E1" s="443" t="s">
        <v>6</v>
      </c>
      <c r="F1" s="443" t="s">
        <v>34</v>
      </c>
    </row>
    <row r="2" spans="1:6" ht="12.75">
      <c r="A2" s="443" t="str">
        <f>IF(B2=B1,"",B2)</f>
        <v>OR - Astoria</v>
      </c>
      <c r="B2" s="443" t="s">
        <v>47</v>
      </c>
      <c r="C2" s="443" t="s">
        <v>38</v>
      </c>
      <c r="D2" s="443">
        <v>1</v>
      </c>
      <c r="E2" s="443">
        <v>1</v>
      </c>
      <c r="F2" s="443">
        <v>48.87525000000001</v>
      </c>
    </row>
    <row r="3" spans="1:6" ht="12.75">
      <c r="A3" s="443">
        <f aca="true" t="shared" si="0" ref="A3:A66">IF(B3=B2,"",B3)</f>
      </c>
      <c r="B3" s="443" t="s">
        <v>47</v>
      </c>
      <c r="C3" s="443" t="s">
        <v>38</v>
      </c>
      <c r="D3" s="443">
        <v>2</v>
      </c>
      <c r="E3" s="443">
        <v>2</v>
      </c>
      <c r="F3" s="443">
        <v>45.49799999999996</v>
      </c>
    </row>
    <row r="4" spans="1:6" ht="12.75">
      <c r="A4" s="443">
        <f t="shared" si="0"/>
      </c>
      <c r="B4" s="443" t="s">
        <v>47</v>
      </c>
      <c r="C4" s="443" t="s">
        <v>38</v>
      </c>
      <c r="D4" s="443">
        <v>3</v>
      </c>
      <c r="E4" s="443">
        <v>3</v>
      </c>
      <c r="F4" s="443">
        <v>41.78399999999997</v>
      </c>
    </row>
    <row r="5" spans="1:6" ht="12.75">
      <c r="A5" s="443">
        <f t="shared" si="0"/>
      </c>
      <c r="B5" s="443" t="s">
        <v>47</v>
      </c>
      <c r="C5" s="443" t="s">
        <v>42</v>
      </c>
      <c r="D5" s="443">
        <v>1</v>
      </c>
      <c r="E5" s="443">
        <v>4</v>
      </c>
      <c r="F5" s="443">
        <v>57.168351648351546</v>
      </c>
    </row>
    <row r="6" spans="1:6" ht="12.75">
      <c r="A6" s="443">
        <f t="shared" si="0"/>
      </c>
      <c r="B6" s="443" t="s">
        <v>47</v>
      </c>
      <c r="C6" s="443" t="s">
        <v>42</v>
      </c>
      <c r="D6" s="443">
        <v>2</v>
      </c>
      <c r="E6" s="443">
        <v>5</v>
      </c>
      <c r="F6" s="443">
        <v>52.496263736263735</v>
      </c>
    </row>
    <row r="7" spans="1:6" ht="12.75">
      <c r="A7" s="443">
        <f t="shared" si="0"/>
      </c>
      <c r="B7" s="443" t="s">
        <v>47</v>
      </c>
      <c r="C7" s="443" t="s">
        <v>42</v>
      </c>
      <c r="D7" s="443">
        <v>3</v>
      </c>
      <c r="E7" s="443">
        <v>6</v>
      </c>
      <c r="F7" s="443">
        <v>49.040412087912166</v>
      </c>
    </row>
    <row r="8" spans="1:6" ht="12.75">
      <c r="A8" s="443">
        <f t="shared" si="0"/>
      </c>
      <c r="B8" s="443" t="s">
        <v>47</v>
      </c>
      <c r="C8" s="443" t="s">
        <v>48</v>
      </c>
      <c r="D8" s="443">
        <v>1</v>
      </c>
      <c r="E8" s="443">
        <v>7</v>
      </c>
      <c r="F8" s="443">
        <v>65.06203804347832</v>
      </c>
    </row>
    <row r="9" spans="1:6" ht="12.75">
      <c r="A9" s="443">
        <f t="shared" si="0"/>
      </c>
      <c r="B9" s="443" t="s">
        <v>47</v>
      </c>
      <c r="C9" s="443" t="s">
        <v>48</v>
      </c>
      <c r="D9" s="443">
        <v>2</v>
      </c>
      <c r="E9" s="443">
        <v>8</v>
      </c>
      <c r="F9" s="443">
        <v>59.47005434782614</v>
      </c>
    </row>
    <row r="10" spans="1:6" ht="12.75">
      <c r="A10" s="443">
        <f t="shared" si="0"/>
      </c>
      <c r="B10" s="443" t="s">
        <v>47</v>
      </c>
      <c r="C10" s="443" t="s">
        <v>48</v>
      </c>
      <c r="D10" s="443">
        <v>3</v>
      </c>
      <c r="E10" s="443">
        <v>9</v>
      </c>
      <c r="F10" s="443">
        <v>55.695679347826065</v>
      </c>
    </row>
    <row r="11" spans="1:6" ht="12.75">
      <c r="A11" s="443">
        <f t="shared" si="0"/>
      </c>
      <c r="B11" s="443" t="s">
        <v>47</v>
      </c>
      <c r="C11" s="443" t="s">
        <v>59</v>
      </c>
      <c r="D11" s="443">
        <v>1</v>
      </c>
      <c r="E11" s="443">
        <v>10</v>
      </c>
      <c r="F11" s="443">
        <v>51.243125</v>
      </c>
    </row>
    <row r="12" spans="1:6" ht="12.75">
      <c r="A12" s="443">
        <f t="shared" si="0"/>
      </c>
      <c r="B12" s="443" t="s">
        <v>47</v>
      </c>
      <c r="C12" s="443" t="s">
        <v>59</v>
      </c>
      <c r="D12" s="443">
        <v>2</v>
      </c>
      <c r="E12" s="443">
        <v>11</v>
      </c>
      <c r="F12" s="443">
        <v>47.01190217391299</v>
      </c>
    </row>
    <row r="13" spans="1:6" ht="12.75">
      <c r="A13" s="443">
        <f t="shared" si="0"/>
      </c>
      <c r="B13" s="443" t="s">
        <v>47</v>
      </c>
      <c r="C13" s="443" t="s">
        <v>59</v>
      </c>
      <c r="D13" s="443">
        <v>3</v>
      </c>
      <c r="E13" s="443">
        <v>12</v>
      </c>
      <c r="F13" s="443">
        <v>44.15709239130434</v>
      </c>
    </row>
    <row r="14" spans="1:6" ht="12.75">
      <c r="A14" s="443" t="str">
        <f t="shared" si="0"/>
        <v>OR - Baker City</v>
      </c>
      <c r="B14" s="443" t="s">
        <v>51</v>
      </c>
      <c r="C14" s="443" t="s">
        <v>38</v>
      </c>
      <c r="D14" s="443">
        <v>1</v>
      </c>
      <c r="E14" s="443">
        <v>1</v>
      </c>
      <c r="F14" s="443">
        <v>36.51125</v>
      </c>
    </row>
    <row r="15" spans="1:6" ht="12.75">
      <c r="A15" s="443">
        <f t="shared" si="0"/>
      </c>
      <c r="B15" s="443" t="s">
        <v>51</v>
      </c>
      <c r="C15" s="443" t="s">
        <v>38</v>
      </c>
      <c r="D15" s="443">
        <v>2</v>
      </c>
      <c r="E15" s="443">
        <v>2</v>
      </c>
      <c r="F15" s="443">
        <v>30.551750000000002</v>
      </c>
    </row>
    <row r="16" spans="1:6" ht="12.75">
      <c r="A16" s="443">
        <f t="shared" si="0"/>
      </c>
      <c r="B16" s="443" t="s">
        <v>51</v>
      </c>
      <c r="C16" s="443" t="s">
        <v>38</v>
      </c>
      <c r="D16" s="443">
        <v>3</v>
      </c>
      <c r="E16" s="443">
        <v>3</v>
      </c>
      <c r="F16" s="443">
        <v>25.890499999999978</v>
      </c>
    </row>
    <row r="17" spans="1:6" ht="12.75">
      <c r="A17" s="443">
        <f t="shared" si="0"/>
      </c>
      <c r="B17" s="443" t="s">
        <v>51</v>
      </c>
      <c r="C17" s="443" t="s">
        <v>42</v>
      </c>
      <c r="D17" s="443">
        <v>1</v>
      </c>
      <c r="E17" s="443">
        <v>4</v>
      </c>
      <c r="F17" s="443">
        <v>60.575494505494504</v>
      </c>
    </row>
    <row r="18" spans="1:6" ht="12.75">
      <c r="A18" s="443">
        <f t="shared" si="0"/>
      </c>
      <c r="B18" s="443" t="s">
        <v>51</v>
      </c>
      <c r="C18" s="443" t="s">
        <v>42</v>
      </c>
      <c r="D18" s="443">
        <v>2</v>
      </c>
      <c r="E18" s="443">
        <v>5</v>
      </c>
      <c r="F18" s="443">
        <v>51.09434065934068</v>
      </c>
    </row>
    <row r="19" spans="1:6" ht="12.75">
      <c r="A19" s="443">
        <f t="shared" si="0"/>
      </c>
      <c r="B19" s="443" t="s">
        <v>51</v>
      </c>
      <c r="C19" s="443" t="s">
        <v>42</v>
      </c>
      <c r="D19" s="443">
        <v>3</v>
      </c>
      <c r="E19" s="443">
        <v>6</v>
      </c>
      <c r="F19" s="443">
        <v>43.40304945054941</v>
      </c>
    </row>
    <row r="20" spans="1:6" ht="12.75">
      <c r="A20" s="443">
        <f t="shared" si="0"/>
      </c>
      <c r="B20" s="443" t="s">
        <v>51</v>
      </c>
      <c r="C20" s="443" t="s">
        <v>48</v>
      </c>
      <c r="D20" s="443">
        <v>1</v>
      </c>
      <c r="E20" s="443">
        <v>7</v>
      </c>
      <c r="F20" s="443">
        <v>77.32869565217383</v>
      </c>
    </row>
    <row r="21" spans="1:6" ht="12.75">
      <c r="A21" s="443">
        <f t="shared" si="0"/>
      </c>
      <c r="B21" s="443" t="s">
        <v>51</v>
      </c>
      <c r="C21" s="443" t="s">
        <v>48</v>
      </c>
      <c r="D21" s="443">
        <v>2</v>
      </c>
      <c r="E21" s="443">
        <v>8</v>
      </c>
      <c r="F21" s="443">
        <v>64.35915760869568</v>
      </c>
    </row>
    <row r="22" spans="1:6" ht="12.75">
      <c r="A22" s="443">
        <f t="shared" si="0"/>
      </c>
      <c r="B22" s="443" t="s">
        <v>51</v>
      </c>
      <c r="C22" s="443" t="s">
        <v>48</v>
      </c>
      <c r="D22" s="443">
        <v>3</v>
      </c>
      <c r="E22" s="443">
        <v>9</v>
      </c>
      <c r="F22" s="443">
        <v>52.696086956521796</v>
      </c>
    </row>
    <row r="23" spans="1:6" ht="12.75">
      <c r="A23" s="443">
        <f t="shared" si="0"/>
      </c>
      <c r="B23" s="443" t="s">
        <v>51</v>
      </c>
      <c r="C23" s="443" t="s">
        <v>59</v>
      </c>
      <c r="D23" s="443">
        <v>1</v>
      </c>
      <c r="E23" s="443">
        <v>10</v>
      </c>
      <c r="F23" s="443">
        <v>44.87660326086946</v>
      </c>
    </row>
    <row r="24" spans="1:6" ht="12.75">
      <c r="A24" s="443">
        <f t="shared" si="0"/>
      </c>
      <c r="B24" s="443" t="s">
        <v>51</v>
      </c>
      <c r="C24" s="443" t="s">
        <v>59</v>
      </c>
      <c r="D24" s="443">
        <v>2</v>
      </c>
      <c r="E24" s="443">
        <v>11</v>
      </c>
      <c r="F24" s="443">
        <v>35.54766304347817</v>
      </c>
    </row>
    <row r="25" spans="1:6" ht="12.75">
      <c r="A25" s="443">
        <f t="shared" si="0"/>
      </c>
      <c r="B25" s="443" t="s">
        <v>51</v>
      </c>
      <c r="C25" s="443" t="s">
        <v>59</v>
      </c>
      <c r="D25" s="443">
        <v>3</v>
      </c>
      <c r="E25" s="443">
        <v>12</v>
      </c>
      <c r="F25" s="443">
        <v>30.030027173912977</v>
      </c>
    </row>
    <row r="26" spans="1:6" ht="12.75">
      <c r="A26" s="443" t="str">
        <f t="shared" si="0"/>
        <v>OR - Bend</v>
      </c>
      <c r="B26" s="443" t="s">
        <v>55</v>
      </c>
      <c r="C26" s="443" t="s">
        <v>38</v>
      </c>
      <c r="D26" s="443">
        <v>1</v>
      </c>
      <c r="E26" s="443">
        <v>1</v>
      </c>
      <c r="F26" s="443">
        <v>50.40199999999992</v>
      </c>
    </row>
    <row r="27" spans="1:6" ht="12.75">
      <c r="A27" s="443">
        <f t="shared" si="0"/>
      </c>
      <c r="B27" s="443" t="s">
        <v>55</v>
      </c>
      <c r="C27" s="443" t="s">
        <v>38</v>
      </c>
      <c r="D27" s="443">
        <v>2</v>
      </c>
      <c r="E27" s="443">
        <v>2</v>
      </c>
      <c r="F27" s="443">
        <v>47.20424999999999</v>
      </c>
    </row>
    <row r="28" spans="1:6" ht="12.75">
      <c r="A28" s="443">
        <f t="shared" si="0"/>
      </c>
      <c r="B28" s="443" t="s">
        <v>55</v>
      </c>
      <c r="C28" s="443" t="s">
        <v>38</v>
      </c>
      <c r="D28" s="443">
        <v>3</v>
      </c>
      <c r="E28" s="443">
        <v>3</v>
      </c>
      <c r="F28" s="443">
        <v>43.85600000000004</v>
      </c>
    </row>
    <row r="29" spans="1:6" ht="12.75">
      <c r="A29" s="443">
        <f t="shared" si="0"/>
      </c>
      <c r="B29" s="443" t="s">
        <v>55</v>
      </c>
      <c r="C29" s="443" t="s">
        <v>42</v>
      </c>
      <c r="D29" s="443">
        <v>1</v>
      </c>
      <c r="E29" s="443">
        <v>4</v>
      </c>
      <c r="F29" s="443">
        <v>57.88711538461539</v>
      </c>
    </row>
    <row r="30" spans="1:6" ht="12.75">
      <c r="A30" s="443">
        <f t="shared" si="0"/>
      </c>
      <c r="B30" s="443" t="s">
        <v>55</v>
      </c>
      <c r="C30" s="443" t="s">
        <v>42</v>
      </c>
      <c r="D30" s="443">
        <v>2</v>
      </c>
      <c r="E30" s="443">
        <v>5</v>
      </c>
      <c r="F30" s="443">
        <v>52.79618131868134</v>
      </c>
    </row>
    <row r="31" spans="1:6" ht="12.75">
      <c r="A31" s="443">
        <f t="shared" si="0"/>
      </c>
      <c r="B31" s="443" t="s">
        <v>55</v>
      </c>
      <c r="C31" s="443" t="s">
        <v>42</v>
      </c>
      <c r="D31" s="443">
        <v>3</v>
      </c>
      <c r="E31" s="443">
        <v>6</v>
      </c>
      <c r="F31" s="443">
        <v>49.56607142857143</v>
      </c>
    </row>
    <row r="32" spans="1:6" ht="12.75">
      <c r="A32" s="443">
        <f t="shared" si="0"/>
      </c>
      <c r="B32" s="443" t="s">
        <v>55</v>
      </c>
      <c r="C32" s="443" t="s">
        <v>48</v>
      </c>
      <c r="D32" s="443">
        <v>1</v>
      </c>
      <c r="E32" s="443">
        <v>7</v>
      </c>
      <c r="F32" s="443">
        <v>63.546711956521705</v>
      </c>
    </row>
    <row r="33" spans="1:6" ht="12.75">
      <c r="A33" s="443">
        <f t="shared" si="0"/>
      </c>
      <c r="B33" s="443" t="s">
        <v>55</v>
      </c>
      <c r="C33" s="443" t="s">
        <v>48</v>
      </c>
      <c r="D33" s="443">
        <v>2</v>
      </c>
      <c r="E33" s="443">
        <v>8</v>
      </c>
      <c r="F33" s="443">
        <v>58.27095108695657</v>
      </c>
    </row>
    <row r="34" spans="1:6" ht="12.75">
      <c r="A34" s="443">
        <f t="shared" si="0"/>
      </c>
      <c r="B34" s="443" t="s">
        <v>55</v>
      </c>
      <c r="C34" s="443" t="s">
        <v>48</v>
      </c>
      <c r="D34" s="443">
        <v>3</v>
      </c>
      <c r="E34" s="443">
        <v>9</v>
      </c>
      <c r="F34" s="443">
        <v>54.69442934782599</v>
      </c>
    </row>
    <row r="35" spans="1:6" ht="12.75">
      <c r="A35" s="443">
        <f t="shared" si="0"/>
      </c>
      <c r="B35" s="443" t="s">
        <v>55</v>
      </c>
      <c r="C35" s="443" t="s">
        <v>59</v>
      </c>
      <c r="D35" s="443">
        <v>1</v>
      </c>
      <c r="E35" s="443">
        <v>10</v>
      </c>
      <c r="F35" s="443">
        <v>53.514646739130434</v>
      </c>
    </row>
    <row r="36" spans="1:6" ht="12.75">
      <c r="A36" s="443">
        <f t="shared" si="0"/>
      </c>
      <c r="B36" s="443" t="s">
        <v>55</v>
      </c>
      <c r="C36" s="443" t="s">
        <v>59</v>
      </c>
      <c r="D36" s="443">
        <v>2</v>
      </c>
      <c r="E36" s="443">
        <v>11</v>
      </c>
      <c r="F36" s="443">
        <v>48.36923913043483</v>
      </c>
    </row>
    <row r="37" spans="1:6" ht="12.75">
      <c r="A37" s="443">
        <f t="shared" si="0"/>
      </c>
      <c r="B37" s="443" t="s">
        <v>55</v>
      </c>
      <c r="C37" s="443" t="s">
        <v>59</v>
      </c>
      <c r="D37" s="443">
        <v>3</v>
      </c>
      <c r="E37" s="443">
        <v>12</v>
      </c>
      <c r="F37" s="443">
        <v>45.990108695652175</v>
      </c>
    </row>
    <row r="38" spans="1:6" ht="12.75">
      <c r="A38" s="443" t="str">
        <f t="shared" si="0"/>
        <v>OR - Burns</v>
      </c>
      <c r="B38" s="443" t="s">
        <v>58</v>
      </c>
      <c r="C38" s="443" t="s">
        <v>38</v>
      </c>
      <c r="D38" s="443">
        <v>1</v>
      </c>
      <c r="E38" s="443">
        <v>1</v>
      </c>
      <c r="F38" s="443">
        <v>38.21900000000002</v>
      </c>
    </row>
    <row r="39" spans="1:6" ht="12.75">
      <c r="A39" s="443">
        <f t="shared" si="0"/>
      </c>
      <c r="B39" s="443" t="s">
        <v>58</v>
      </c>
      <c r="C39" s="443" t="s">
        <v>38</v>
      </c>
      <c r="D39" s="443">
        <v>2</v>
      </c>
      <c r="E39" s="443">
        <v>2</v>
      </c>
      <c r="F39" s="443">
        <v>32.172749999999986</v>
      </c>
    </row>
    <row r="40" spans="1:6" ht="12.75">
      <c r="A40" s="443">
        <f t="shared" si="0"/>
      </c>
      <c r="B40" s="443" t="s">
        <v>58</v>
      </c>
      <c r="C40" s="443" t="s">
        <v>38</v>
      </c>
      <c r="D40" s="443">
        <v>3</v>
      </c>
      <c r="E40" s="443">
        <v>3</v>
      </c>
      <c r="F40" s="443">
        <v>26.446000000000044</v>
      </c>
    </row>
    <row r="41" spans="1:6" ht="12.75">
      <c r="A41" s="443">
        <f t="shared" si="0"/>
      </c>
      <c r="B41" s="443" t="s">
        <v>58</v>
      </c>
      <c r="C41" s="443" t="s">
        <v>42</v>
      </c>
      <c r="D41" s="443">
        <v>1</v>
      </c>
      <c r="E41" s="443">
        <v>4</v>
      </c>
      <c r="F41" s="443">
        <v>60.44568681318683</v>
      </c>
    </row>
    <row r="42" spans="1:6" ht="12.75">
      <c r="A42" s="443">
        <f t="shared" si="0"/>
      </c>
      <c r="B42" s="443" t="s">
        <v>58</v>
      </c>
      <c r="C42" s="443" t="s">
        <v>42</v>
      </c>
      <c r="D42" s="443">
        <v>2</v>
      </c>
      <c r="E42" s="443">
        <v>5</v>
      </c>
      <c r="F42" s="443">
        <v>52.18868131868138</v>
      </c>
    </row>
    <row r="43" spans="1:6" ht="12.75">
      <c r="A43" s="443">
        <f t="shared" si="0"/>
      </c>
      <c r="B43" s="443" t="s">
        <v>58</v>
      </c>
      <c r="C43" s="443" t="s">
        <v>42</v>
      </c>
      <c r="D43" s="443">
        <v>3</v>
      </c>
      <c r="E43" s="443">
        <v>6</v>
      </c>
      <c r="F43" s="443">
        <v>42.088159340659324</v>
      </c>
    </row>
    <row r="44" spans="1:6" ht="12.75">
      <c r="A44" s="443">
        <f t="shared" si="0"/>
      </c>
      <c r="B44" s="443" t="s">
        <v>58</v>
      </c>
      <c r="C44" s="443" t="s">
        <v>48</v>
      </c>
      <c r="D44" s="443">
        <v>1</v>
      </c>
      <c r="E44" s="443">
        <v>7</v>
      </c>
      <c r="F44" s="443">
        <v>75.17114130434783</v>
      </c>
    </row>
    <row r="45" spans="1:6" ht="12.75">
      <c r="A45" s="443">
        <f t="shared" si="0"/>
      </c>
      <c r="B45" s="443" t="s">
        <v>58</v>
      </c>
      <c r="C45" s="443" t="s">
        <v>48</v>
      </c>
      <c r="D45" s="443">
        <v>2</v>
      </c>
      <c r="E45" s="443">
        <v>8</v>
      </c>
      <c r="F45" s="443">
        <v>63.822826086956454</v>
      </c>
    </row>
    <row r="46" spans="1:6" ht="12.75">
      <c r="A46" s="443">
        <f t="shared" si="0"/>
      </c>
      <c r="B46" s="443" t="s">
        <v>58</v>
      </c>
      <c r="C46" s="443" t="s">
        <v>48</v>
      </c>
      <c r="D46" s="443">
        <v>3</v>
      </c>
      <c r="E46" s="443">
        <v>9</v>
      </c>
      <c r="F46" s="443">
        <v>51.30866847826089</v>
      </c>
    </row>
    <row r="47" spans="1:6" ht="12.75">
      <c r="A47" s="443">
        <f t="shared" si="0"/>
      </c>
      <c r="B47" s="443" t="s">
        <v>58</v>
      </c>
      <c r="C47" s="443" t="s">
        <v>59</v>
      </c>
      <c r="D47" s="443">
        <v>1</v>
      </c>
      <c r="E47" s="443">
        <v>10</v>
      </c>
      <c r="F47" s="443">
        <v>43.486739130434806</v>
      </c>
    </row>
    <row r="48" spans="1:6" ht="12.75">
      <c r="A48" s="443">
        <f t="shared" si="0"/>
      </c>
      <c r="B48" s="443" t="s">
        <v>58</v>
      </c>
      <c r="C48" s="443" t="s">
        <v>59</v>
      </c>
      <c r="D48" s="443">
        <v>2</v>
      </c>
      <c r="E48" s="443">
        <v>11</v>
      </c>
      <c r="F48" s="443">
        <v>34.53198369565218</v>
      </c>
    </row>
    <row r="49" spans="1:6" ht="12.75">
      <c r="A49" s="443">
        <f t="shared" si="0"/>
      </c>
      <c r="B49" s="443" t="s">
        <v>58</v>
      </c>
      <c r="C49" s="443" t="s">
        <v>59</v>
      </c>
      <c r="D49" s="443">
        <v>3</v>
      </c>
      <c r="E49" s="443">
        <v>12</v>
      </c>
      <c r="F49" s="443">
        <v>29.18896739130434</v>
      </c>
    </row>
    <row r="50" spans="1:6" ht="12.75">
      <c r="A50" s="443" t="str">
        <f t="shared" si="0"/>
        <v>OR - Pendleton</v>
      </c>
      <c r="B50" s="443" t="s">
        <v>70</v>
      </c>
      <c r="C50" s="443" t="s">
        <v>38</v>
      </c>
      <c r="D50" s="443">
        <v>1</v>
      </c>
      <c r="E50" s="443">
        <v>1</v>
      </c>
      <c r="F50" s="443">
        <v>41.9525</v>
      </c>
    </row>
    <row r="51" spans="1:6" ht="12.75">
      <c r="A51" s="443">
        <f t="shared" si="0"/>
      </c>
      <c r="B51" s="443" t="s">
        <v>70</v>
      </c>
      <c r="C51" s="443" t="s">
        <v>38</v>
      </c>
      <c r="D51" s="443">
        <v>2</v>
      </c>
      <c r="E51" s="443">
        <v>2</v>
      </c>
      <c r="F51" s="443">
        <v>38.16025000000002</v>
      </c>
    </row>
    <row r="52" spans="1:6" ht="12.75">
      <c r="A52" s="443">
        <f t="shared" si="0"/>
      </c>
      <c r="B52" s="443" t="s">
        <v>70</v>
      </c>
      <c r="C52" s="443" t="s">
        <v>38</v>
      </c>
      <c r="D52" s="443">
        <v>3</v>
      </c>
      <c r="E52" s="443">
        <v>3</v>
      </c>
      <c r="F52" s="443">
        <v>34.424500000000016</v>
      </c>
    </row>
    <row r="53" spans="1:6" ht="12.75">
      <c r="A53" s="443">
        <f t="shared" si="0"/>
      </c>
      <c r="B53" s="443" t="s">
        <v>70</v>
      </c>
      <c r="C53" s="443" t="s">
        <v>42</v>
      </c>
      <c r="D53" s="443">
        <v>1</v>
      </c>
      <c r="E53" s="443">
        <v>4</v>
      </c>
      <c r="F53" s="443">
        <v>64.12184065934069</v>
      </c>
    </row>
    <row r="54" spans="1:6" ht="12.75">
      <c r="A54" s="443">
        <f t="shared" si="0"/>
      </c>
      <c r="B54" s="443" t="s">
        <v>70</v>
      </c>
      <c r="C54" s="443" t="s">
        <v>42</v>
      </c>
      <c r="D54" s="443">
        <v>2</v>
      </c>
      <c r="E54" s="443">
        <v>5</v>
      </c>
      <c r="F54" s="443">
        <v>57.32486263736262</v>
      </c>
    </row>
    <row r="55" spans="1:6" ht="12.75">
      <c r="A55" s="443">
        <f t="shared" si="0"/>
      </c>
      <c r="B55" s="443" t="s">
        <v>70</v>
      </c>
      <c r="C55" s="443" t="s">
        <v>42</v>
      </c>
      <c r="D55" s="443">
        <v>3</v>
      </c>
      <c r="E55" s="443">
        <v>6</v>
      </c>
      <c r="F55" s="443">
        <v>50.09890109890107</v>
      </c>
    </row>
    <row r="56" spans="1:6" ht="12.75">
      <c r="A56" s="443">
        <f t="shared" si="0"/>
      </c>
      <c r="B56" s="443" t="s">
        <v>70</v>
      </c>
      <c r="C56" s="443" t="s">
        <v>48</v>
      </c>
      <c r="D56" s="443">
        <v>1</v>
      </c>
      <c r="E56" s="443">
        <v>7</v>
      </c>
      <c r="F56" s="443">
        <v>77.30057065217393</v>
      </c>
    </row>
    <row r="57" spans="1:6" ht="12.75">
      <c r="A57" s="443">
        <f t="shared" si="0"/>
      </c>
      <c r="B57" s="443" t="s">
        <v>70</v>
      </c>
      <c r="C57" s="443" t="s">
        <v>48</v>
      </c>
      <c r="D57" s="443">
        <v>2</v>
      </c>
      <c r="E57" s="443">
        <v>8</v>
      </c>
      <c r="F57" s="443">
        <v>70.26711956521747</v>
      </c>
    </row>
    <row r="58" spans="1:6" ht="12.75">
      <c r="A58" s="443">
        <f t="shared" si="0"/>
      </c>
      <c r="B58" s="443" t="s">
        <v>70</v>
      </c>
      <c r="C58" s="443" t="s">
        <v>48</v>
      </c>
      <c r="D58" s="443">
        <v>3</v>
      </c>
      <c r="E58" s="443">
        <v>9</v>
      </c>
      <c r="F58" s="443">
        <v>60.490624999999916</v>
      </c>
    </row>
    <row r="59" spans="1:6" ht="12.75">
      <c r="A59" s="443">
        <f t="shared" si="0"/>
      </c>
      <c r="B59" s="443" t="s">
        <v>70</v>
      </c>
      <c r="C59" s="443" t="s">
        <v>59</v>
      </c>
      <c r="D59" s="443">
        <v>1</v>
      </c>
      <c r="E59" s="443">
        <v>10</v>
      </c>
      <c r="F59" s="443">
        <v>47.829972826086966</v>
      </c>
    </row>
    <row r="60" spans="1:6" ht="12.75">
      <c r="A60" s="443">
        <f t="shared" si="0"/>
      </c>
      <c r="B60" s="443" t="s">
        <v>70</v>
      </c>
      <c r="C60" s="443" t="s">
        <v>59</v>
      </c>
      <c r="D60" s="443">
        <v>2</v>
      </c>
      <c r="E60" s="443">
        <v>11</v>
      </c>
      <c r="F60" s="443">
        <v>43.1360326086956</v>
      </c>
    </row>
    <row r="61" spans="1:6" ht="12.75">
      <c r="A61" s="443">
        <f t="shared" si="0"/>
      </c>
      <c r="B61" s="443" t="s">
        <v>70</v>
      </c>
      <c r="C61" s="443" t="s">
        <v>59</v>
      </c>
      <c r="D61" s="443">
        <v>3</v>
      </c>
      <c r="E61" s="443">
        <v>12</v>
      </c>
      <c r="F61" s="443">
        <v>40.39494565217387</v>
      </c>
    </row>
    <row r="62" spans="1:6" ht="12.75">
      <c r="A62" s="443" t="str">
        <f t="shared" si="0"/>
        <v>OR - Portland</v>
      </c>
      <c r="B62" s="443" t="s">
        <v>74</v>
      </c>
      <c r="C62" s="443" t="s">
        <v>38</v>
      </c>
      <c r="D62" s="443">
        <v>1</v>
      </c>
      <c r="E62" s="443">
        <v>1</v>
      </c>
      <c r="F62" s="443">
        <v>47.5425</v>
      </c>
    </row>
    <row r="63" spans="1:6" ht="12.75">
      <c r="A63" s="443">
        <f t="shared" si="0"/>
      </c>
      <c r="B63" s="443" t="s">
        <v>74</v>
      </c>
      <c r="C63" s="443" t="s">
        <v>38</v>
      </c>
      <c r="D63" s="443">
        <v>2</v>
      </c>
      <c r="E63" s="443">
        <v>2</v>
      </c>
      <c r="F63" s="443">
        <v>45.16625</v>
      </c>
    </row>
    <row r="64" spans="1:6" ht="12.75">
      <c r="A64" s="443">
        <f t="shared" si="0"/>
      </c>
      <c r="B64" s="443" t="s">
        <v>74</v>
      </c>
      <c r="C64" s="443" t="s">
        <v>38</v>
      </c>
      <c r="D64" s="443">
        <v>3</v>
      </c>
      <c r="E64" s="443">
        <v>3</v>
      </c>
      <c r="F64" s="443">
        <v>40.503499999999924</v>
      </c>
    </row>
    <row r="65" spans="1:6" ht="12.75">
      <c r="A65" s="443">
        <f t="shared" si="0"/>
      </c>
      <c r="B65" s="443" t="s">
        <v>74</v>
      </c>
      <c r="C65" s="443" t="s">
        <v>42</v>
      </c>
      <c r="D65" s="443">
        <v>1</v>
      </c>
      <c r="E65" s="443">
        <v>4</v>
      </c>
      <c r="F65" s="443">
        <v>62.67021978021976</v>
      </c>
    </row>
    <row r="66" spans="1:6" ht="12.75">
      <c r="A66" s="443">
        <f t="shared" si="0"/>
      </c>
      <c r="B66" s="443" t="s">
        <v>74</v>
      </c>
      <c r="C66" s="443" t="s">
        <v>42</v>
      </c>
      <c r="D66" s="443">
        <v>2</v>
      </c>
      <c r="E66" s="443">
        <v>5</v>
      </c>
      <c r="F66" s="443">
        <v>59.02991758241766</v>
      </c>
    </row>
    <row r="67" spans="1:6" ht="12.75">
      <c r="A67" s="443">
        <f aca="true" t="shared" si="1" ref="A67:A130">IF(B67=B66,"",B67)</f>
      </c>
      <c r="B67" s="443" t="s">
        <v>74</v>
      </c>
      <c r="C67" s="443" t="s">
        <v>42</v>
      </c>
      <c r="D67" s="443">
        <v>3</v>
      </c>
      <c r="E67" s="443">
        <v>6</v>
      </c>
      <c r="F67" s="443">
        <v>52.05195054945052</v>
      </c>
    </row>
    <row r="68" spans="1:6" ht="12.75">
      <c r="A68" s="443">
        <f t="shared" si="1"/>
      </c>
      <c r="B68" s="443" t="s">
        <v>74</v>
      </c>
      <c r="C68" s="443" t="s">
        <v>48</v>
      </c>
      <c r="D68" s="443">
        <v>1</v>
      </c>
      <c r="E68" s="443">
        <v>7</v>
      </c>
      <c r="F68" s="443">
        <v>71.66970108695648</v>
      </c>
    </row>
    <row r="69" spans="1:6" ht="12.75">
      <c r="A69" s="443">
        <f t="shared" si="1"/>
      </c>
      <c r="B69" s="443" t="s">
        <v>74</v>
      </c>
      <c r="C69" s="443" t="s">
        <v>48</v>
      </c>
      <c r="D69" s="443">
        <v>2</v>
      </c>
      <c r="E69" s="443">
        <v>8</v>
      </c>
      <c r="F69" s="443">
        <v>68.55173913043477</v>
      </c>
    </row>
    <row r="70" spans="1:6" ht="12.75">
      <c r="A70" s="443">
        <f t="shared" si="1"/>
      </c>
      <c r="B70" s="443" t="s">
        <v>74</v>
      </c>
      <c r="C70" s="443" t="s">
        <v>48</v>
      </c>
      <c r="D70" s="443">
        <v>3</v>
      </c>
      <c r="E70" s="443">
        <v>9</v>
      </c>
      <c r="F70" s="443">
        <v>58.953288043478196</v>
      </c>
    </row>
    <row r="71" spans="1:6" ht="12.75">
      <c r="A71" s="443">
        <f t="shared" si="1"/>
      </c>
      <c r="B71" s="443" t="s">
        <v>74</v>
      </c>
      <c r="C71" s="443" t="s">
        <v>59</v>
      </c>
      <c r="D71" s="443">
        <v>1</v>
      </c>
      <c r="E71" s="443">
        <v>10</v>
      </c>
      <c r="F71" s="443">
        <v>50.02054347826086</v>
      </c>
    </row>
    <row r="72" spans="1:6" ht="12.75">
      <c r="A72" s="443">
        <f t="shared" si="1"/>
      </c>
      <c r="B72" s="443" t="s">
        <v>74</v>
      </c>
      <c r="C72" s="443" t="s">
        <v>59</v>
      </c>
      <c r="D72" s="443">
        <v>2</v>
      </c>
      <c r="E72" s="443">
        <v>11</v>
      </c>
      <c r="F72" s="443">
        <v>47.345000000000084</v>
      </c>
    </row>
    <row r="73" spans="1:6" ht="12.75">
      <c r="A73" s="443">
        <f t="shared" si="1"/>
      </c>
      <c r="B73" s="443" t="s">
        <v>74</v>
      </c>
      <c r="C73" s="443" t="s">
        <v>59</v>
      </c>
      <c r="D73" s="443">
        <v>3</v>
      </c>
      <c r="E73" s="443">
        <v>12</v>
      </c>
      <c r="F73" s="443">
        <v>44.3211956521739</v>
      </c>
    </row>
    <row r="74" spans="1:6" ht="12.75">
      <c r="A74" s="443" t="str">
        <f t="shared" si="1"/>
        <v>OR - Roseburg</v>
      </c>
      <c r="B74" s="443" t="s">
        <v>76</v>
      </c>
      <c r="C74" s="443" t="s">
        <v>38</v>
      </c>
      <c r="D74" s="443">
        <v>1</v>
      </c>
      <c r="E74" s="443">
        <v>1</v>
      </c>
      <c r="F74" s="443">
        <v>49.729250000000086</v>
      </c>
    </row>
    <row r="75" spans="1:6" ht="12.75">
      <c r="A75" s="443">
        <f t="shared" si="1"/>
      </c>
      <c r="B75" s="443" t="s">
        <v>76</v>
      </c>
      <c r="C75" s="443" t="s">
        <v>38</v>
      </c>
      <c r="D75" s="443">
        <v>2</v>
      </c>
      <c r="E75" s="443">
        <v>2</v>
      </c>
      <c r="F75" s="443">
        <v>47.83349999999999</v>
      </c>
    </row>
    <row r="76" spans="1:6" ht="12.75">
      <c r="A76" s="443">
        <f t="shared" si="1"/>
      </c>
      <c r="B76" s="443" t="s">
        <v>76</v>
      </c>
      <c r="C76" s="443" t="s">
        <v>38</v>
      </c>
      <c r="D76" s="443">
        <v>3</v>
      </c>
      <c r="E76" s="443">
        <v>3</v>
      </c>
      <c r="F76" s="443">
        <v>42.506499999999924</v>
      </c>
    </row>
    <row r="77" spans="1:6" ht="12.75">
      <c r="A77" s="443">
        <f t="shared" si="1"/>
      </c>
      <c r="B77" s="443" t="s">
        <v>76</v>
      </c>
      <c r="C77" s="443" t="s">
        <v>42</v>
      </c>
      <c r="D77" s="443">
        <v>1</v>
      </c>
      <c r="E77" s="443">
        <v>4</v>
      </c>
      <c r="F77" s="443">
        <v>63.80041208791199</v>
      </c>
    </row>
    <row r="78" spans="1:6" ht="12.75">
      <c r="A78" s="443">
        <f t="shared" si="1"/>
      </c>
      <c r="B78" s="443" t="s">
        <v>76</v>
      </c>
      <c r="C78" s="443" t="s">
        <v>42</v>
      </c>
      <c r="D78" s="443">
        <v>2</v>
      </c>
      <c r="E78" s="443">
        <v>5</v>
      </c>
      <c r="F78" s="443">
        <v>59.86414835164836</v>
      </c>
    </row>
    <row r="79" spans="1:6" ht="12.75">
      <c r="A79" s="443">
        <f t="shared" si="1"/>
      </c>
      <c r="B79" s="443" t="s">
        <v>76</v>
      </c>
      <c r="C79" s="443" t="s">
        <v>42</v>
      </c>
      <c r="D79" s="443">
        <v>3</v>
      </c>
      <c r="E79" s="443">
        <v>6</v>
      </c>
      <c r="F79" s="443">
        <v>50.09296703296715</v>
      </c>
    </row>
    <row r="80" spans="1:6" ht="12.75">
      <c r="A80" s="443">
        <f t="shared" si="1"/>
      </c>
      <c r="B80" s="443" t="s">
        <v>76</v>
      </c>
      <c r="C80" s="443" t="s">
        <v>48</v>
      </c>
      <c r="D80" s="443">
        <v>1</v>
      </c>
      <c r="E80" s="443">
        <v>7</v>
      </c>
      <c r="F80" s="443">
        <v>72.78076086956524</v>
      </c>
    </row>
    <row r="81" spans="1:6" ht="12.75">
      <c r="A81" s="443">
        <f t="shared" si="1"/>
      </c>
      <c r="B81" s="443" t="s">
        <v>76</v>
      </c>
      <c r="C81" s="443" t="s">
        <v>48</v>
      </c>
      <c r="D81" s="443">
        <v>2</v>
      </c>
      <c r="E81" s="443">
        <v>8</v>
      </c>
      <c r="F81" s="443">
        <v>69.09589673913037</v>
      </c>
    </row>
    <row r="82" spans="1:6" ht="12.75">
      <c r="A82" s="443">
        <f t="shared" si="1"/>
      </c>
      <c r="B82" s="443" t="s">
        <v>76</v>
      </c>
      <c r="C82" s="443" t="s">
        <v>48</v>
      </c>
      <c r="D82" s="443">
        <v>3</v>
      </c>
      <c r="E82" s="443">
        <v>9</v>
      </c>
      <c r="F82" s="443">
        <v>57.69671195652163</v>
      </c>
    </row>
    <row r="83" spans="1:6" ht="12.75">
      <c r="A83" s="443">
        <f t="shared" si="1"/>
      </c>
      <c r="B83" s="443" t="s">
        <v>76</v>
      </c>
      <c r="C83" s="443" t="s">
        <v>59</v>
      </c>
      <c r="D83" s="443">
        <v>1</v>
      </c>
      <c r="E83" s="443">
        <v>10</v>
      </c>
      <c r="F83" s="443">
        <v>51.88999999999993</v>
      </c>
    </row>
    <row r="84" spans="1:6" ht="12.75">
      <c r="A84" s="443">
        <f t="shared" si="1"/>
      </c>
      <c r="B84" s="443" t="s">
        <v>76</v>
      </c>
      <c r="C84" s="443" t="s">
        <v>59</v>
      </c>
      <c r="D84" s="443">
        <v>2</v>
      </c>
      <c r="E84" s="443">
        <v>11</v>
      </c>
      <c r="F84" s="443">
        <v>48.600353260869504</v>
      </c>
    </row>
    <row r="85" spans="1:6" ht="12.75">
      <c r="A85" s="443">
        <f t="shared" si="1"/>
      </c>
      <c r="B85" s="443" t="s">
        <v>76</v>
      </c>
      <c r="C85" s="443" t="s">
        <v>59</v>
      </c>
      <c r="D85" s="443">
        <v>3</v>
      </c>
      <c r="E85" s="443">
        <v>12</v>
      </c>
      <c r="F85" s="443">
        <v>44.72986413043471</v>
      </c>
    </row>
    <row r="86" spans="1:6" ht="12.75">
      <c r="A86" s="443" t="str">
        <f t="shared" si="1"/>
        <v>OR - Medford</v>
      </c>
      <c r="B86" s="443" t="s">
        <v>68</v>
      </c>
      <c r="C86" s="443" t="s">
        <v>38</v>
      </c>
      <c r="D86" s="443">
        <v>1</v>
      </c>
      <c r="E86" s="443">
        <v>1</v>
      </c>
      <c r="F86" s="443">
        <v>46.776500000000034</v>
      </c>
    </row>
    <row r="87" spans="1:6" ht="12.75">
      <c r="A87" s="443">
        <f t="shared" si="1"/>
      </c>
      <c r="B87" s="443" t="s">
        <v>68</v>
      </c>
      <c r="C87" s="443" t="s">
        <v>38</v>
      </c>
      <c r="D87" s="443">
        <v>2</v>
      </c>
      <c r="E87" s="443">
        <v>2</v>
      </c>
      <c r="F87" s="443">
        <v>43.44274999999998</v>
      </c>
    </row>
    <row r="88" spans="1:6" ht="12.75">
      <c r="A88" s="443">
        <f t="shared" si="1"/>
      </c>
      <c r="B88" s="443" t="s">
        <v>68</v>
      </c>
      <c r="C88" s="443" t="s">
        <v>38</v>
      </c>
      <c r="D88" s="443">
        <v>3</v>
      </c>
      <c r="E88" s="443">
        <v>3</v>
      </c>
      <c r="F88" s="443">
        <v>36.18125</v>
      </c>
    </row>
    <row r="89" spans="1:6" ht="12.75">
      <c r="A89" s="443">
        <f t="shared" si="1"/>
      </c>
      <c r="B89" s="443" t="s">
        <v>68</v>
      </c>
      <c r="C89" s="443" t="s">
        <v>42</v>
      </c>
      <c r="D89" s="443">
        <v>1</v>
      </c>
      <c r="E89" s="443">
        <v>4</v>
      </c>
      <c r="F89" s="443">
        <v>65.02357142857146</v>
      </c>
    </row>
    <row r="90" spans="1:6" ht="12.75">
      <c r="A90" s="443">
        <f t="shared" si="1"/>
      </c>
      <c r="B90" s="443" t="s">
        <v>68</v>
      </c>
      <c r="C90" s="443" t="s">
        <v>42</v>
      </c>
      <c r="D90" s="443">
        <v>2</v>
      </c>
      <c r="E90" s="443">
        <v>5</v>
      </c>
      <c r="F90" s="443">
        <v>59.33502747252746</v>
      </c>
    </row>
    <row r="91" spans="1:6" ht="12.75">
      <c r="A91" s="443">
        <f t="shared" si="1"/>
      </c>
      <c r="B91" s="443" t="s">
        <v>68</v>
      </c>
      <c r="C91" s="443" t="s">
        <v>42</v>
      </c>
      <c r="D91" s="443">
        <v>3</v>
      </c>
      <c r="E91" s="443">
        <v>6</v>
      </c>
      <c r="F91" s="443">
        <v>49.03744505494509</v>
      </c>
    </row>
    <row r="92" spans="1:6" ht="12.75">
      <c r="A92" s="443">
        <f t="shared" si="1"/>
      </c>
      <c r="B92" s="443" t="s">
        <v>68</v>
      </c>
      <c r="C92" s="443" t="s">
        <v>48</v>
      </c>
      <c r="D92" s="443">
        <v>1</v>
      </c>
      <c r="E92" s="443">
        <v>7</v>
      </c>
      <c r="F92" s="443">
        <v>76.58864130434786</v>
      </c>
    </row>
    <row r="93" spans="1:6" ht="12.75">
      <c r="A93" s="443">
        <f t="shared" si="1"/>
      </c>
      <c r="B93" s="443" t="s">
        <v>68</v>
      </c>
      <c r="C93" s="443" t="s">
        <v>48</v>
      </c>
      <c r="D93" s="443">
        <v>2</v>
      </c>
      <c r="E93" s="443">
        <v>8</v>
      </c>
      <c r="F93" s="443">
        <v>71.42220108695655</v>
      </c>
    </row>
    <row r="94" spans="1:6" ht="12.75">
      <c r="A94" s="443">
        <f t="shared" si="1"/>
      </c>
      <c r="B94" s="443" t="s">
        <v>68</v>
      </c>
      <c r="C94" s="443" t="s">
        <v>48</v>
      </c>
      <c r="D94" s="443">
        <v>3</v>
      </c>
      <c r="E94" s="443">
        <v>9</v>
      </c>
      <c r="F94" s="443">
        <v>57.95619565217385</v>
      </c>
    </row>
    <row r="95" spans="1:6" ht="12.75">
      <c r="A95" s="443">
        <f t="shared" si="1"/>
      </c>
      <c r="B95" s="443" t="s">
        <v>68</v>
      </c>
      <c r="C95" s="443" t="s">
        <v>59</v>
      </c>
      <c r="D95" s="443">
        <v>1</v>
      </c>
      <c r="E95" s="443">
        <v>10</v>
      </c>
      <c r="F95" s="443">
        <v>50.19907608695654</v>
      </c>
    </row>
    <row r="96" spans="1:6" ht="12.75">
      <c r="A96" s="443">
        <f t="shared" si="1"/>
      </c>
      <c r="B96" s="443" t="s">
        <v>68</v>
      </c>
      <c r="C96" s="443" t="s">
        <v>59</v>
      </c>
      <c r="D96" s="443">
        <v>2</v>
      </c>
      <c r="E96" s="443">
        <v>11</v>
      </c>
      <c r="F96" s="443">
        <v>46.16326086956517</v>
      </c>
    </row>
    <row r="97" spans="1:6" ht="12.75">
      <c r="A97" s="443">
        <f t="shared" si="1"/>
      </c>
      <c r="B97" s="443" t="s">
        <v>68</v>
      </c>
      <c r="C97" s="443" t="s">
        <v>59</v>
      </c>
      <c r="D97" s="443">
        <v>3</v>
      </c>
      <c r="E97" s="443">
        <v>12</v>
      </c>
      <c r="F97" s="443">
        <v>39.70209239130439</v>
      </c>
    </row>
    <row r="98" spans="1:6" ht="12.75">
      <c r="A98" s="443" t="str">
        <f t="shared" si="1"/>
        <v>OR - Klamath Falls</v>
      </c>
      <c r="B98" s="443" t="s">
        <v>64</v>
      </c>
      <c r="C98" s="443" t="s">
        <v>38</v>
      </c>
      <c r="D98" s="443">
        <v>1</v>
      </c>
      <c r="E98" s="443">
        <v>1</v>
      </c>
      <c r="F98" s="443">
        <v>39.65575000000002</v>
      </c>
    </row>
    <row r="99" spans="1:6" ht="12.75">
      <c r="A99" s="443">
        <f t="shared" si="1"/>
      </c>
      <c r="B99" s="443" t="s">
        <v>64</v>
      </c>
      <c r="C99" s="443" t="s">
        <v>38</v>
      </c>
      <c r="D99" s="443">
        <v>2</v>
      </c>
      <c r="E99" s="443">
        <v>2</v>
      </c>
      <c r="F99" s="443">
        <v>34.18100000000001</v>
      </c>
    </row>
    <row r="100" spans="1:6" ht="12.75">
      <c r="A100" s="443">
        <f t="shared" si="1"/>
      </c>
      <c r="B100" s="443" t="s">
        <v>64</v>
      </c>
      <c r="C100" s="443" t="s">
        <v>38</v>
      </c>
      <c r="D100" s="443">
        <v>3</v>
      </c>
      <c r="E100" s="443">
        <v>3</v>
      </c>
      <c r="F100" s="443">
        <v>29.36524999999998</v>
      </c>
    </row>
    <row r="101" spans="1:6" ht="12.75">
      <c r="A101" s="443">
        <f t="shared" si="1"/>
      </c>
      <c r="B101" s="443" t="s">
        <v>64</v>
      </c>
      <c r="C101" s="443" t="s">
        <v>42</v>
      </c>
      <c r="D101" s="443">
        <v>1</v>
      </c>
      <c r="E101" s="443">
        <v>4</v>
      </c>
      <c r="F101" s="443">
        <v>60.49464285714286</v>
      </c>
    </row>
    <row r="102" spans="1:6" ht="12.75">
      <c r="A102" s="443">
        <f t="shared" si="1"/>
      </c>
      <c r="B102" s="443" t="s">
        <v>64</v>
      </c>
      <c r="C102" s="443" t="s">
        <v>42</v>
      </c>
      <c r="D102" s="443">
        <v>2</v>
      </c>
      <c r="E102" s="443">
        <v>5</v>
      </c>
      <c r="F102" s="443">
        <v>52.9845879120879</v>
      </c>
    </row>
    <row r="103" spans="1:6" ht="12.75">
      <c r="A103" s="443">
        <f t="shared" si="1"/>
      </c>
      <c r="B103" s="443" t="s">
        <v>64</v>
      </c>
      <c r="C103" s="443" t="s">
        <v>42</v>
      </c>
      <c r="D103" s="443">
        <v>3</v>
      </c>
      <c r="E103" s="443">
        <v>6</v>
      </c>
      <c r="F103" s="443">
        <v>43.13848901098896</v>
      </c>
    </row>
    <row r="104" spans="1:6" ht="12.75">
      <c r="A104" s="443">
        <f t="shared" si="1"/>
      </c>
      <c r="B104" s="443" t="s">
        <v>64</v>
      </c>
      <c r="C104" s="443" t="s">
        <v>48</v>
      </c>
      <c r="D104" s="443">
        <v>1</v>
      </c>
      <c r="E104" s="443">
        <v>7</v>
      </c>
      <c r="F104" s="443">
        <v>74.19777173913042</v>
      </c>
    </row>
    <row r="105" spans="1:6" ht="12.75">
      <c r="A105" s="443">
        <f t="shared" si="1"/>
      </c>
      <c r="B105" s="443" t="s">
        <v>64</v>
      </c>
      <c r="C105" s="443" t="s">
        <v>48</v>
      </c>
      <c r="D105" s="443">
        <v>2</v>
      </c>
      <c r="E105" s="443">
        <v>8</v>
      </c>
      <c r="F105" s="443">
        <v>65.23029891304348</v>
      </c>
    </row>
    <row r="106" spans="1:6" ht="12.75">
      <c r="A106" s="443">
        <f t="shared" si="1"/>
      </c>
      <c r="B106" s="443" t="s">
        <v>64</v>
      </c>
      <c r="C106" s="443" t="s">
        <v>48</v>
      </c>
      <c r="D106" s="443">
        <v>3</v>
      </c>
      <c r="E106" s="443">
        <v>9</v>
      </c>
      <c r="F106" s="443">
        <v>51.86187500000006</v>
      </c>
    </row>
    <row r="107" spans="1:6" ht="12.75">
      <c r="A107" s="443">
        <f t="shared" si="1"/>
      </c>
      <c r="B107" s="443" t="s">
        <v>64</v>
      </c>
      <c r="C107" s="443" t="s">
        <v>59</v>
      </c>
      <c r="D107" s="443">
        <v>1</v>
      </c>
      <c r="E107" s="443">
        <v>10</v>
      </c>
      <c r="F107" s="443">
        <v>43.460326086956464</v>
      </c>
    </row>
    <row r="108" spans="1:6" ht="12.75">
      <c r="A108" s="443">
        <f t="shared" si="1"/>
      </c>
      <c r="B108" s="443" t="s">
        <v>64</v>
      </c>
      <c r="C108" s="443" t="s">
        <v>59</v>
      </c>
      <c r="D108" s="443">
        <v>2</v>
      </c>
      <c r="E108" s="443">
        <v>11</v>
      </c>
      <c r="F108" s="443">
        <v>36.252010869565204</v>
      </c>
    </row>
    <row r="109" spans="1:6" ht="12.75">
      <c r="A109" s="443">
        <f t="shared" si="1"/>
      </c>
      <c r="B109" s="443" t="s">
        <v>64</v>
      </c>
      <c r="C109" s="443" t="s">
        <v>59</v>
      </c>
      <c r="D109" s="443">
        <v>3</v>
      </c>
      <c r="E109" s="443">
        <v>12</v>
      </c>
      <c r="F109" s="443">
        <v>31.053777173913062</v>
      </c>
    </row>
    <row r="110" spans="1:6" ht="12.75">
      <c r="A110" s="443" t="str">
        <f t="shared" si="1"/>
        <v>OR - Eugene</v>
      </c>
      <c r="B110" s="443" t="s">
        <v>62</v>
      </c>
      <c r="C110" s="443" t="s">
        <v>38</v>
      </c>
      <c r="D110" s="443">
        <v>1</v>
      </c>
      <c r="E110" s="443">
        <v>1</v>
      </c>
      <c r="F110" s="443">
        <v>46.50824999999996</v>
      </c>
    </row>
    <row r="111" spans="1:6" ht="12.75">
      <c r="A111" s="443">
        <f t="shared" si="1"/>
      </c>
      <c r="B111" s="443" t="s">
        <v>62</v>
      </c>
      <c r="C111" s="443" t="s">
        <v>38</v>
      </c>
      <c r="D111" s="443">
        <v>2</v>
      </c>
      <c r="E111" s="443">
        <v>2</v>
      </c>
      <c r="F111" s="443">
        <v>43.04875</v>
      </c>
    </row>
    <row r="112" spans="1:6" ht="12.75">
      <c r="A112" s="443">
        <f t="shared" si="1"/>
      </c>
      <c r="B112" s="443" t="s">
        <v>62</v>
      </c>
      <c r="C112" s="443" t="s">
        <v>38</v>
      </c>
      <c r="D112" s="443">
        <v>3</v>
      </c>
      <c r="E112" s="443">
        <v>3</v>
      </c>
      <c r="F112" s="443">
        <v>39.03</v>
      </c>
    </row>
    <row r="113" spans="1:6" ht="12.75">
      <c r="A113" s="443">
        <f t="shared" si="1"/>
      </c>
      <c r="B113" s="443" t="s">
        <v>62</v>
      </c>
      <c r="C113" s="443" t="s">
        <v>42</v>
      </c>
      <c r="D113" s="443">
        <v>1</v>
      </c>
      <c r="E113" s="443">
        <v>4</v>
      </c>
      <c r="F113" s="443">
        <v>61.90324175824173</v>
      </c>
    </row>
    <row r="114" spans="1:6" ht="12.75">
      <c r="A114" s="443">
        <f t="shared" si="1"/>
      </c>
      <c r="B114" s="443" t="s">
        <v>62</v>
      </c>
      <c r="C114" s="443" t="s">
        <v>42</v>
      </c>
      <c r="D114" s="443">
        <v>2</v>
      </c>
      <c r="E114" s="443">
        <v>5</v>
      </c>
      <c r="F114" s="443">
        <v>56.17736263736262</v>
      </c>
    </row>
    <row r="115" spans="1:6" ht="12.75">
      <c r="A115" s="443">
        <f t="shared" si="1"/>
      </c>
      <c r="B115" s="443" t="s">
        <v>62</v>
      </c>
      <c r="C115" s="443" t="s">
        <v>42</v>
      </c>
      <c r="D115" s="443">
        <v>3</v>
      </c>
      <c r="E115" s="443">
        <v>6</v>
      </c>
      <c r="F115" s="443">
        <v>48.481126373626324</v>
      </c>
    </row>
    <row r="116" spans="1:6" ht="12.75">
      <c r="A116" s="443">
        <f t="shared" si="1"/>
      </c>
      <c r="B116" s="443" t="s">
        <v>62</v>
      </c>
      <c r="C116" s="443" t="s">
        <v>48</v>
      </c>
      <c r="D116" s="443">
        <v>1</v>
      </c>
      <c r="E116" s="443">
        <v>7</v>
      </c>
      <c r="F116" s="443">
        <v>73.659972826087</v>
      </c>
    </row>
    <row r="117" spans="1:6" ht="12.75">
      <c r="A117" s="443">
        <f t="shared" si="1"/>
      </c>
      <c r="B117" s="443" t="s">
        <v>62</v>
      </c>
      <c r="C117" s="443" t="s">
        <v>48</v>
      </c>
      <c r="D117" s="443">
        <v>2</v>
      </c>
      <c r="E117" s="443">
        <v>8</v>
      </c>
      <c r="F117" s="443">
        <v>66.55584239130424</v>
      </c>
    </row>
    <row r="118" spans="1:6" ht="12.75">
      <c r="A118" s="443">
        <f t="shared" si="1"/>
      </c>
      <c r="B118" s="443" t="s">
        <v>62</v>
      </c>
      <c r="C118" s="443" t="s">
        <v>48</v>
      </c>
      <c r="D118" s="443">
        <v>3</v>
      </c>
      <c r="E118" s="443">
        <v>9</v>
      </c>
      <c r="F118" s="443">
        <v>55.24470108695644</v>
      </c>
    </row>
    <row r="119" spans="1:6" ht="12.75">
      <c r="A119" s="443">
        <f t="shared" si="1"/>
      </c>
      <c r="B119" s="443" t="s">
        <v>62</v>
      </c>
      <c r="C119" s="443" t="s">
        <v>59</v>
      </c>
      <c r="D119" s="443">
        <v>1</v>
      </c>
      <c r="E119" s="443">
        <v>10</v>
      </c>
      <c r="F119" s="443">
        <v>49.544375</v>
      </c>
    </row>
    <row r="120" spans="1:6" ht="12.75">
      <c r="A120" s="443">
        <f t="shared" si="1"/>
      </c>
      <c r="B120" s="443" t="s">
        <v>62</v>
      </c>
      <c r="C120" s="443" t="s">
        <v>59</v>
      </c>
      <c r="D120" s="443">
        <v>2</v>
      </c>
      <c r="E120" s="443">
        <v>11</v>
      </c>
      <c r="F120" s="443">
        <v>45.06980978260865</v>
      </c>
    </row>
    <row r="121" spans="1:6" ht="12.75">
      <c r="A121" s="443">
        <f t="shared" si="1"/>
      </c>
      <c r="B121" s="443" t="s">
        <v>62</v>
      </c>
      <c r="C121" s="443" t="s">
        <v>59</v>
      </c>
      <c r="D121" s="443">
        <v>3</v>
      </c>
      <c r="E121" s="443">
        <v>12</v>
      </c>
      <c r="F121" s="443">
        <v>41.01222826086955</v>
      </c>
    </row>
    <row r="122" spans="1:6" ht="12.75">
      <c r="A122" s="443" t="str">
        <f t="shared" si="1"/>
        <v>OR - Corvallis</v>
      </c>
      <c r="B122" s="443" t="s">
        <v>61</v>
      </c>
      <c r="C122" s="443" t="s">
        <v>38</v>
      </c>
      <c r="D122" s="443">
        <v>1</v>
      </c>
      <c r="E122" s="443">
        <v>1</v>
      </c>
      <c r="F122" s="443">
        <v>48.73049999999996</v>
      </c>
    </row>
    <row r="123" spans="1:6" ht="12.75">
      <c r="A123" s="443">
        <f t="shared" si="1"/>
      </c>
      <c r="B123" s="443" t="s">
        <v>61</v>
      </c>
      <c r="C123" s="443" t="s">
        <v>38</v>
      </c>
      <c r="D123" s="443">
        <v>2</v>
      </c>
      <c r="E123" s="443">
        <v>2</v>
      </c>
      <c r="F123" s="443">
        <v>45.94225000000001</v>
      </c>
    </row>
    <row r="124" spans="1:6" ht="12.75">
      <c r="A124" s="443">
        <f t="shared" si="1"/>
      </c>
      <c r="B124" s="443" t="s">
        <v>61</v>
      </c>
      <c r="C124" s="443" t="s">
        <v>38</v>
      </c>
      <c r="D124" s="443">
        <v>3</v>
      </c>
      <c r="E124" s="443">
        <v>3</v>
      </c>
      <c r="F124" s="443">
        <v>42.47949999999998</v>
      </c>
    </row>
    <row r="125" spans="1:6" ht="12.75">
      <c r="A125" s="443">
        <f t="shared" si="1"/>
      </c>
      <c r="B125" s="443" t="s">
        <v>61</v>
      </c>
      <c r="C125" s="443" t="s">
        <v>42</v>
      </c>
      <c r="D125" s="443">
        <v>1</v>
      </c>
      <c r="E125" s="443">
        <v>4</v>
      </c>
      <c r="F125" s="443">
        <v>63.94876373626377</v>
      </c>
    </row>
    <row r="126" spans="1:6" ht="12.75">
      <c r="A126" s="443">
        <f t="shared" si="1"/>
      </c>
      <c r="B126" s="443" t="s">
        <v>61</v>
      </c>
      <c r="C126" s="443" t="s">
        <v>42</v>
      </c>
      <c r="D126" s="443">
        <v>2</v>
      </c>
      <c r="E126" s="443">
        <v>5</v>
      </c>
      <c r="F126" s="443">
        <v>57.309780219780194</v>
      </c>
    </row>
    <row r="127" spans="1:6" ht="12.75">
      <c r="A127" s="443">
        <f t="shared" si="1"/>
      </c>
      <c r="B127" s="443" t="s">
        <v>61</v>
      </c>
      <c r="C127" s="443" t="s">
        <v>42</v>
      </c>
      <c r="D127" s="443">
        <v>3</v>
      </c>
      <c r="E127" s="443">
        <v>6</v>
      </c>
      <c r="F127" s="443">
        <v>48.62527472527475</v>
      </c>
    </row>
    <row r="128" spans="1:6" ht="12.75">
      <c r="A128" s="443">
        <f t="shared" si="1"/>
      </c>
      <c r="B128" s="443" t="s">
        <v>61</v>
      </c>
      <c r="C128" s="443" t="s">
        <v>48</v>
      </c>
      <c r="D128" s="443">
        <v>1</v>
      </c>
      <c r="E128" s="443">
        <v>7</v>
      </c>
      <c r="F128" s="443">
        <v>76.77695652173905</v>
      </c>
    </row>
    <row r="129" spans="1:6" ht="12.75">
      <c r="A129" s="443">
        <f t="shared" si="1"/>
      </c>
      <c r="B129" s="443" t="s">
        <v>61</v>
      </c>
      <c r="C129" s="443" t="s">
        <v>48</v>
      </c>
      <c r="D129" s="443">
        <v>2</v>
      </c>
      <c r="E129" s="443">
        <v>8</v>
      </c>
      <c r="F129" s="443">
        <v>68.13035326086958</v>
      </c>
    </row>
    <row r="130" spans="1:6" ht="12.75">
      <c r="A130" s="443">
        <f t="shared" si="1"/>
      </c>
      <c r="B130" s="443" t="s">
        <v>61</v>
      </c>
      <c r="C130" s="443" t="s">
        <v>48</v>
      </c>
      <c r="D130" s="443">
        <v>3</v>
      </c>
      <c r="E130" s="443">
        <v>9</v>
      </c>
      <c r="F130" s="443">
        <v>57.212961956521696</v>
      </c>
    </row>
    <row r="131" spans="1:6" ht="12.75">
      <c r="A131" s="443">
        <f aca="true" t="shared" si="2" ref="A131:A194">IF(B131=B130,"",B131)</f>
      </c>
      <c r="B131" s="443" t="s">
        <v>61</v>
      </c>
      <c r="C131" s="443" t="s">
        <v>59</v>
      </c>
      <c r="D131" s="443">
        <v>1</v>
      </c>
      <c r="E131" s="443">
        <v>10</v>
      </c>
      <c r="F131" s="443">
        <v>51.34706521739125</v>
      </c>
    </row>
    <row r="132" spans="1:6" ht="12.75">
      <c r="A132" s="443">
        <f t="shared" si="2"/>
      </c>
      <c r="B132" s="443" t="s">
        <v>61</v>
      </c>
      <c r="C132" s="443" t="s">
        <v>59</v>
      </c>
      <c r="D132" s="443">
        <v>2</v>
      </c>
      <c r="E132" s="443">
        <v>11</v>
      </c>
      <c r="F132" s="443">
        <v>46.58758152173913</v>
      </c>
    </row>
    <row r="133" spans="1:6" ht="12.75">
      <c r="A133" s="443">
        <f t="shared" si="2"/>
      </c>
      <c r="B133" s="443" t="s">
        <v>61</v>
      </c>
      <c r="C133" s="443" t="s">
        <v>59</v>
      </c>
      <c r="D133" s="443">
        <v>3</v>
      </c>
      <c r="E133" s="443">
        <v>12</v>
      </c>
      <c r="F133" s="443">
        <v>42.94111413043467</v>
      </c>
    </row>
    <row r="134" spans="1:6" ht="12.75">
      <c r="A134" s="443" t="str">
        <f t="shared" si="2"/>
        <v>OR - The Dalles</v>
      </c>
      <c r="B134" s="443" t="s">
        <v>78</v>
      </c>
      <c r="C134" s="443" t="s">
        <v>38</v>
      </c>
      <c r="D134" s="443">
        <v>1</v>
      </c>
      <c r="E134" s="443">
        <v>1</v>
      </c>
      <c r="F134" s="443">
        <v>45.60424999999998</v>
      </c>
    </row>
    <row r="135" spans="1:6" ht="12.75">
      <c r="A135" s="443">
        <f t="shared" si="2"/>
      </c>
      <c r="B135" s="443" t="s">
        <v>78</v>
      </c>
      <c r="C135" s="443" t="s">
        <v>38</v>
      </c>
      <c r="D135" s="443">
        <v>2</v>
      </c>
      <c r="E135" s="443">
        <v>2</v>
      </c>
      <c r="F135" s="443">
        <v>42.475</v>
      </c>
    </row>
    <row r="136" spans="1:6" ht="12.75">
      <c r="A136" s="443">
        <f t="shared" si="2"/>
      </c>
      <c r="B136" s="443" t="s">
        <v>78</v>
      </c>
      <c r="C136" s="443" t="s">
        <v>38</v>
      </c>
      <c r="D136" s="443">
        <v>3</v>
      </c>
      <c r="E136" s="443">
        <v>3</v>
      </c>
      <c r="F136" s="443">
        <v>37.11774999999999</v>
      </c>
    </row>
    <row r="137" spans="1:6" ht="12.75">
      <c r="A137" s="443">
        <f t="shared" si="2"/>
      </c>
      <c r="B137" s="443" t="s">
        <v>78</v>
      </c>
      <c r="C137" s="443" t="s">
        <v>42</v>
      </c>
      <c r="D137" s="443">
        <v>1</v>
      </c>
      <c r="E137" s="443">
        <v>4</v>
      </c>
      <c r="F137" s="443">
        <v>67.63950549450547</v>
      </c>
    </row>
    <row r="138" spans="1:6" ht="12.75">
      <c r="A138" s="443">
        <f t="shared" si="2"/>
      </c>
      <c r="B138" s="443" t="s">
        <v>78</v>
      </c>
      <c r="C138" s="443" t="s">
        <v>42</v>
      </c>
      <c r="D138" s="443">
        <v>2</v>
      </c>
      <c r="E138" s="443">
        <v>5</v>
      </c>
      <c r="F138" s="443">
        <v>61.87282967032968</v>
      </c>
    </row>
    <row r="139" spans="1:6" ht="12.75">
      <c r="A139" s="443">
        <f t="shared" si="2"/>
      </c>
      <c r="B139" s="443" t="s">
        <v>78</v>
      </c>
      <c r="C139" s="443" t="s">
        <v>42</v>
      </c>
      <c r="D139" s="443">
        <v>3</v>
      </c>
      <c r="E139" s="443">
        <v>6</v>
      </c>
      <c r="F139" s="443">
        <v>53.33989010989016</v>
      </c>
    </row>
    <row r="140" spans="1:6" ht="12.75">
      <c r="A140" s="443">
        <f t="shared" si="2"/>
      </c>
      <c r="B140" s="443" t="s">
        <v>78</v>
      </c>
      <c r="C140" s="443" t="s">
        <v>48</v>
      </c>
      <c r="D140" s="443">
        <v>1</v>
      </c>
      <c r="E140" s="443">
        <v>7</v>
      </c>
      <c r="F140" s="443">
        <v>78.98097826086962</v>
      </c>
    </row>
    <row r="141" spans="1:6" ht="12.75">
      <c r="A141" s="443">
        <f t="shared" si="2"/>
      </c>
      <c r="B141" s="443" t="s">
        <v>78</v>
      </c>
      <c r="C141" s="443" t="s">
        <v>48</v>
      </c>
      <c r="D141" s="443">
        <v>2</v>
      </c>
      <c r="E141" s="443">
        <v>8</v>
      </c>
      <c r="F141" s="443">
        <v>73.60714673913037</v>
      </c>
    </row>
    <row r="142" spans="1:6" ht="12.75">
      <c r="A142" s="443">
        <f t="shared" si="2"/>
      </c>
      <c r="B142" s="443" t="s">
        <v>78</v>
      </c>
      <c r="C142" s="443" t="s">
        <v>48</v>
      </c>
      <c r="D142" s="443">
        <v>3</v>
      </c>
      <c r="E142" s="443">
        <v>9</v>
      </c>
      <c r="F142" s="443">
        <v>63.169592391304356</v>
      </c>
    </row>
    <row r="143" spans="1:6" ht="12.75">
      <c r="A143" s="443">
        <f t="shared" si="2"/>
      </c>
      <c r="B143" s="443" t="s">
        <v>78</v>
      </c>
      <c r="C143" s="443" t="s">
        <v>59</v>
      </c>
      <c r="D143" s="443">
        <v>1</v>
      </c>
      <c r="E143" s="443">
        <v>10</v>
      </c>
      <c r="F143" s="443">
        <v>49.33038043478259</v>
      </c>
    </row>
    <row r="144" spans="1:6" ht="12.75">
      <c r="A144" s="443">
        <f t="shared" si="2"/>
      </c>
      <c r="B144" s="443" t="s">
        <v>78</v>
      </c>
      <c r="C144" s="443" t="s">
        <v>59</v>
      </c>
      <c r="D144" s="443">
        <v>2</v>
      </c>
      <c r="E144" s="443">
        <v>11</v>
      </c>
      <c r="F144" s="443">
        <v>44.66383152173909</v>
      </c>
    </row>
    <row r="145" spans="1:6" ht="12.75">
      <c r="A145" s="443">
        <f t="shared" si="2"/>
      </c>
      <c r="B145" s="443" t="s">
        <v>78</v>
      </c>
      <c r="C145" s="443" t="s">
        <v>59</v>
      </c>
      <c r="D145" s="443">
        <v>3</v>
      </c>
      <c r="E145" s="443">
        <v>12</v>
      </c>
      <c r="F145" s="443">
        <v>40.585951086956534</v>
      </c>
    </row>
    <row r="146" spans="1:6" ht="12.75">
      <c r="A146" s="443" t="str">
        <f t="shared" si="2"/>
        <v>ID - Salmon</v>
      </c>
      <c r="B146" s="443" t="s">
        <v>45</v>
      </c>
      <c r="C146" s="443" t="s">
        <v>38</v>
      </c>
      <c r="D146" s="443">
        <v>1</v>
      </c>
      <c r="E146" s="443">
        <v>1</v>
      </c>
      <c r="F146" s="443">
        <v>32.13224999999997</v>
      </c>
    </row>
    <row r="147" spans="1:6" ht="12.75">
      <c r="A147" s="443">
        <f t="shared" si="2"/>
      </c>
      <c r="B147" s="443" t="s">
        <v>45</v>
      </c>
      <c r="C147" s="443" t="s">
        <v>38</v>
      </c>
      <c r="D147" s="443">
        <v>2</v>
      </c>
      <c r="E147" s="443">
        <v>2</v>
      </c>
      <c r="F147" s="443">
        <v>30.103000000000005</v>
      </c>
    </row>
    <row r="148" spans="1:6" ht="12.75">
      <c r="A148" s="443">
        <f t="shared" si="2"/>
      </c>
      <c r="B148" s="443" t="s">
        <v>45</v>
      </c>
      <c r="C148" s="443" t="s">
        <v>38</v>
      </c>
      <c r="D148" s="443">
        <v>3</v>
      </c>
      <c r="E148" s="443">
        <v>3</v>
      </c>
      <c r="F148" s="443">
        <v>23.518000000000004</v>
      </c>
    </row>
    <row r="149" spans="1:6" ht="12.75">
      <c r="A149" s="443">
        <f t="shared" si="2"/>
      </c>
      <c r="B149" s="443" t="s">
        <v>45</v>
      </c>
      <c r="C149" s="443" t="s">
        <v>42</v>
      </c>
      <c r="D149" s="443">
        <v>1</v>
      </c>
      <c r="E149" s="443">
        <v>4</v>
      </c>
      <c r="F149" s="443">
        <v>60.21747252747254</v>
      </c>
    </row>
    <row r="150" spans="1:6" ht="12.75">
      <c r="A150" s="443">
        <f t="shared" si="2"/>
      </c>
      <c r="B150" s="443" t="s">
        <v>45</v>
      </c>
      <c r="C150" s="443" t="s">
        <v>42</v>
      </c>
      <c r="D150" s="443">
        <v>2</v>
      </c>
      <c r="E150" s="443">
        <v>5</v>
      </c>
      <c r="F150" s="443">
        <v>57.26453296703298</v>
      </c>
    </row>
    <row r="151" spans="1:6" ht="12.75">
      <c r="A151" s="443">
        <f t="shared" si="2"/>
      </c>
      <c r="B151" s="443" t="s">
        <v>45</v>
      </c>
      <c r="C151" s="443" t="s">
        <v>42</v>
      </c>
      <c r="D151" s="443">
        <v>3</v>
      </c>
      <c r="E151" s="443">
        <v>6</v>
      </c>
      <c r="F151" s="443">
        <v>44.631648351648344</v>
      </c>
    </row>
    <row r="152" spans="1:6" ht="12.75">
      <c r="A152" s="443">
        <f t="shared" si="2"/>
      </c>
      <c r="B152" s="443" t="s">
        <v>45</v>
      </c>
      <c r="C152" s="443" t="s">
        <v>48</v>
      </c>
      <c r="D152" s="443">
        <v>1</v>
      </c>
      <c r="E152" s="443">
        <v>7</v>
      </c>
      <c r="F152" s="443">
        <v>73.10309782608707</v>
      </c>
    </row>
    <row r="153" spans="1:6" ht="12.75">
      <c r="A153" s="443">
        <f t="shared" si="2"/>
      </c>
      <c r="B153" s="443" t="s">
        <v>45</v>
      </c>
      <c r="C153" s="443" t="s">
        <v>48</v>
      </c>
      <c r="D153" s="443">
        <v>2</v>
      </c>
      <c r="E153" s="443">
        <v>8</v>
      </c>
      <c r="F153" s="443">
        <v>68.62192934782618</v>
      </c>
    </row>
    <row r="154" spans="1:6" ht="12.75">
      <c r="A154" s="443">
        <f t="shared" si="2"/>
      </c>
      <c r="B154" s="443" t="s">
        <v>45</v>
      </c>
      <c r="C154" s="443" t="s">
        <v>48</v>
      </c>
      <c r="D154" s="443">
        <v>3</v>
      </c>
      <c r="E154" s="443">
        <v>9</v>
      </c>
      <c r="F154" s="443">
        <v>51.394266304347816</v>
      </c>
    </row>
    <row r="155" spans="1:6" ht="12.75">
      <c r="A155" s="443">
        <f t="shared" si="2"/>
      </c>
      <c r="B155" s="443" t="s">
        <v>45</v>
      </c>
      <c r="C155" s="443" t="s">
        <v>59</v>
      </c>
      <c r="D155" s="443">
        <v>1</v>
      </c>
      <c r="E155" s="443">
        <v>10</v>
      </c>
      <c r="F155" s="443">
        <v>38.148858695652166</v>
      </c>
    </row>
    <row r="156" spans="1:6" ht="12.75">
      <c r="A156" s="443">
        <f t="shared" si="2"/>
      </c>
      <c r="B156" s="443" t="s">
        <v>45</v>
      </c>
      <c r="C156" s="443" t="s">
        <v>59</v>
      </c>
      <c r="D156" s="443">
        <v>2</v>
      </c>
      <c r="E156" s="443">
        <v>11</v>
      </c>
      <c r="F156" s="443">
        <v>34.47035326086956</v>
      </c>
    </row>
    <row r="157" spans="1:6" ht="12.75">
      <c r="A157" s="443">
        <f t="shared" si="2"/>
      </c>
      <c r="B157" s="443" t="s">
        <v>45</v>
      </c>
      <c r="C157" s="443" t="s">
        <v>59</v>
      </c>
      <c r="D157" s="443">
        <v>3</v>
      </c>
      <c r="E157" s="443">
        <v>12</v>
      </c>
      <c r="F157" s="443">
        <v>27.85584239130435</v>
      </c>
    </row>
    <row r="158" spans="1:6" ht="12.75">
      <c r="A158" s="443" t="str">
        <f t="shared" si="2"/>
        <v>ID - Pocatello</v>
      </c>
      <c r="B158" s="443" t="s">
        <v>44</v>
      </c>
      <c r="C158" s="443" t="s">
        <v>38</v>
      </c>
      <c r="D158" s="443">
        <v>1</v>
      </c>
      <c r="E158" s="443">
        <v>1</v>
      </c>
      <c r="F158" s="443">
        <v>34.189250000000015</v>
      </c>
    </row>
    <row r="159" spans="1:6" ht="12.75">
      <c r="A159" s="443">
        <f t="shared" si="2"/>
      </c>
      <c r="B159" s="443" t="s">
        <v>44</v>
      </c>
      <c r="C159" s="443" t="s">
        <v>38</v>
      </c>
      <c r="D159" s="443">
        <v>2</v>
      </c>
      <c r="E159" s="443">
        <v>2</v>
      </c>
      <c r="F159" s="443">
        <v>30.984500000000004</v>
      </c>
    </row>
    <row r="160" spans="1:6" ht="12.75">
      <c r="A160" s="443">
        <f t="shared" si="2"/>
      </c>
      <c r="B160" s="443" t="s">
        <v>44</v>
      </c>
      <c r="C160" s="443" t="s">
        <v>38</v>
      </c>
      <c r="D160" s="443">
        <v>3</v>
      </c>
      <c r="E160" s="443">
        <v>3</v>
      </c>
      <c r="F160" s="443">
        <v>25.27849999999997</v>
      </c>
    </row>
    <row r="161" spans="1:6" ht="12.75">
      <c r="A161" s="443">
        <f t="shared" si="2"/>
      </c>
      <c r="B161" s="443" t="s">
        <v>44</v>
      </c>
      <c r="C161" s="443" t="s">
        <v>42</v>
      </c>
      <c r="D161" s="443">
        <v>1</v>
      </c>
      <c r="E161" s="443">
        <v>4</v>
      </c>
      <c r="F161" s="443">
        <v>63.21096153846147</v>
      </c>
    </row>
    <row r="162" spans="1:6" ht="12.75">
      <c r="A162" s="443">
        <f t="shared" si="2"/>
      </c>
      <c r="B162" s="443" t="s">
        <v>44</v>
      </c>
      <c r="C162" s="443" t="s">
        <v>42</v>
      </c>
      <c r="D162" s="443">
        <v>2</v>
      </c>
      <c r="E162" s="443">
        <v>5</v>
      </c>
      <c r="F162" s="443">
        <v>57.71057692307693</v>
      </c>
    </row>
    <row r="163" spans="1:6" ht="12.75">
      <c r="A163" s="443">
        <f t="shared" si="2"/>
      </c>
      <c r="B163" s="443" t="s">
        <v>44</v>
      </c>
      <c r="C163" s="443" t="s">
        <v>42</v>
      </c>
      <c r="D163" s="443">
        <v>3</v>
      </c>
      <c r="E163" s="443">
        <v>6</v>
      </c>
      <c r="F163" s="443">
        <v>46.10131868131868</v>
      </c>
    </row>
    <row r="164" spans="1:6" ht="12.75">
      <c r="A164" s="443">
        <f t="shared" si="2"/>
      </c>
      <c r="B164" s="443" t="s">
        <v>44</v>
      </c>
      <c r="C164" s="443" t="s">
        <v>48</v>
      </c>
      <c r="D164" s="443">
        <v>1</v>
      </c>
      <c r="E164" s="443">
        <v>7</v>
      </c>
      <c r="F164" s="443">
        <v>76.58766304347817</v>
      </c>
    </row>
    <row r="165" spans="1:6" ht="12.75">
      <c r="A165" s="443">
        <f t="shared" si="2"/>
      </c>
      <c r="B165" s="443" t="s">
        <v>44</v>
      </c>
      <c r="C165" s="443" t="s">
        <v>48</v>
      </c>
      <c r="D165" s="443">
        <v>2</v>
      </c>
      <c r="E165" s="443">
        <v>8</v>
      </c>
      <c r="F165" s="443">
        <v>69.24801630434781</v>
      </c>
    </row>
    <row r="166" spans="1:6" ht="12.75">
      <c r="A166" s="443">
        <f t="shared" si="2"/>
      </c>
      <c r="B166" s="443" t="s">
        <v>44</v>
      </c>
      <c r="C166" s="443" t="s">
        <v>48</v>
      </c>
      <c r="D166" s="443">
        <v>3</v>
      </c>
      <c r="E166" s="443">
        <v>9</v>
      </c>
      <c r="F166" s="443">
        <v>54.37086956521728</v>
      </c>
    </row>
    <row r="167" spans="1:6" ht="12.75">
      <c r="A167" s="443">
        <f t="shared" si="2"/>
      </c>
      <c r="B167" s="443" t="s">
        <v>44</v>
      </c>
      <c r="C167" s="443" t="s">
        <v>59</v>
      </c>
      <c r="D167" s="443">
        <v>1</v>
      </c>
      <c r="E167" s="443">
        <v>10</v>
      </c>
      <c r="F167" s="443">
        <v>40.688668478260844</v>
      </c>
    </row>
    <row r="168" spans="1:6" ht="12.75">
      <c r="A168" s="443">
        <f t="shared" si="2"/>
      </c>
      <c r="B168" s="443" t="s">
        <v>44</v>
      </c>
      <c r="C168" s="443" t="s">
        <v>59</v>
      </c>
      <c r="D168" s="443">
        <v>2</v>
      </c>
      <c r="E168" s="443">
        <v>11</v>
      </c>
      <c r="F168" s="443">
        <v>35.90839673913047</v>
      </c>
    </row>
    <row r="169" spans="1:6" ht="12.75">
      <c r="A169" s="443">
        <f t="shared" si="2"/>
      </c>
      <c r="B169" s="443" t="s">
        <v>44</v>
      </c>
      <c r="C169" s="443" t="s">
        <v>59</v>
      </c>
      <c r="D169" s="443">
        <v>3</v>
      </c>
      <c r="E169" s="443">
        <v>12</v>
      </c>
      <c r="F169" s="443">
        <v>30.063288043478284</v>
      </c>
    </row>
    <row r="170" spans="1:6" ht="12.75">
      <c r="A170" s="443" t="str">
        <f t="shared" si="2"/>
        <v>ID - Malad City</v>
      </c>
      <c r="B170" s="443" t="s">
        <v>41</v>
      </c>
      <c r="C170" s="443" t="s">
        <v>38</v>
      </c>
      <c r="D170" s="443">
        <v>1</v>
      </c>
      <c r="E170" s="443">
        <v>1</v>
      </c>
      <c r="F170" s="443">
        <v>38.05825</v>
      </c>
    </row>
    <row r="171" spans="1:6" ht="12.75">
      <c r="A171" s="443">
        <f t="shared" si="2"/>
      </c>
      <c r="B171" s="443" t="s">
        <v>41</v>
      </c>
      <c r="C171" s="443" t="s">
        <v>38</v>
      </c>
      <c r="D171" s="443">
        <v>2</v>
      </c>
      <c r="E171" s="443">
        <v>2</v>
      </c>
      <c r="F171" s="443">
        <v>35.23599999999999</v>
      </c>
    </row>
    <row r="172" spans="1:6" ht="12.75">
      <c r="A172" s="443">
        <f t="shared" si="2"/>
      </c>
      <c r="B172" s="443" t="s">
        <v>41</v>
      </c>
      <c r="C172" s="443" t="s">
        <v>38</v>
      </c>
      <c r="D172" s="443">
        <v>3</v>
      </c>
      <c r="E172" s="443">
        <v>3</v>
      </c>
      <c r="F172" s="443">
        <v>29.182250000000028</v>
      </c>
    </row>
    <row r="173" spans="1:6" ht="12.75">
      <c r="A173" s="443">
        <f t="shared" si="2"/>
      </c>
      <c r="B173" s="443" t="s">
        <v>41</v>
      </c>
      <c r="C173" s="443" t="s">
        <v>42</v>
      </c>
      <c r="D173" s="443">
        <v>1</v>
      </c>
      <c r="E173" s="443">
        <v>4</v>
      </c>
      <c r="F173" s="443">
        <v>63.806840659340565</v>
      </c>
    </row>
    <row r="174" spans="1:6" ht="12.75">
      <c r="A174" s="443">
        <f t="shared" si="2"/>
      </c>
      <c r="B174" s="443" t="s">
        <v>41</v>
      </c>
      <c r="C174" s="443" t="s">
        <v>42</v>
      </c>
      <c r="D174" s="443">
        <v>2</v>
      </c>
      <c r="E174" s="443">
        <v>5</v>
      </c>
      <c r="F174" s="443">
        <v>57.47148351648353</v>
      </c>
    </row>
    <row r="175" spans="1:6" ht="12.75">
      <c r="A175" s="443">
        <f t="shared" si="2"/>
      </c>
      <c r="B175" s="443" t="s">
        <v>41</v>
      </c>
      <c r="C175" s="443" t="s">
        <v>42</v>
      </c>
      <c r="D175" s="443">
        <v>3</v>
      </c>
      <c r="E175" s="443">
        <v>6</v>
      </c>
      <c r="F175" s="443">
        <v>45.05865384615378</v>
      </c>
    </row>
    <row r="176" spans="1:6" ht="12.75">
      <c r="A176" s="443">
        <f t="shared" si="2"/>
      </c>
      <c r="B176" s="443" t="s">
        <v>41</v>
      </c>
      <c r="C176" s="443" t="s">
        <v>48</v>
      </c>
      <c r="D176" s="443">
        <v>1</v>
      </c>
      <c r="E176" s="443">
        <v>7</v>
      </c>
      <c r="F176" s="443">
        <v>78.79266304347827</v>
      </c>
    </row>
    <row r="177" spans="1:6" ht="12.75">
      <c r="A177" s="443">
        <f t="shared" si="2"/>
      </c>
      <c r="B177" s="443" t="s">
        <v>41</v>
      </c>
      <c r="C177" s="443" t="s">
        <v>48</v>
      </c>
      <c r="D177" s="443">
        <v>2</v>
      </c>
      <c r="E177" s="443">
        <v>8</v>
      </c>
      <c r="F177" s="443">
        <v>69.613152173913</v>
      </c>
    </row>
    <row r="178" spans="1:6" ht="12.75">
      <c r="A178" s="443">
        <f t="shared" si="2"/>
      </c>
      <c r="B178" s="443" t="s">
        <v>41</v>
      </c>
      <c r="C178" s="443" t="s">
        <v>48</v>
      </c>
      <c r="D178" s="443">
        <v>3</v>
      </c>
      <c r="E178" s="443">
        <v>9</v>
      </c>
      <c r="F178" s="443">
        <v>53.83111413043473</v>
      </c>
    </row>
    <row r="179" spans="1:6" ht="12.75">
      <c r="A179" s="443">
        <f t="shared" si="2"/>
      </c>
      <c r="B179" s="443" t="s">
        <v>41</v>
      </c>
      <c r="C179" s="443" t="s">
        <v>59</v>
      </c>
      <c r="D179" s="443">
        <v>1</v>
      </c>
      <c r="E179" s="443">
        <v>10</v>
      </c>
      <c r="F179" s="443">
        <v>42.18516304347823</v>
      </c>
    </row>
    <row r="180" spans="1:6" ht="12.75">
      <c r="A180" s="443">
        <f t="shared" si="2"/>
      </c>
      <c r="B180" s="443" t="s">
        <v>41</v>
      </c>
      <c r="C180" s="443" t="s">
        <v>59</v>
      </c>
      <c r="D180" s="443">
        <v>2</v>
      </c>
      <c r="E180" s="443">
        <v>11</v>
      </c>
      <c r="F180" s="443">
        <v>37.04782608695644</v>
      </c>
    </row>
    <row r="181" spans="1:6" ht="12.75">
      <c r="A181" s="443">
        <f t="shared" si="2"/>
      </c>
      <c r="B181" s="443" t="s">
        <v>41</v>
      </c>
      <c r="C181" s="443" t="s">
        <v>59</v>
      </c>
      <c r="D181" s="443">
        <v>3</v>
      </c>
      <c r="E181" s="443">
        <v>12</v>
      </c>
      <c r="F181" s="443">
        <v>30.3941847826087</v>
      </c>
    </row>
    <row r="182" spans="1:6" ht="12.75">
      <c r="A182" s="443" t="str">
        <f t="shared" si="2"/>
        <v>ID - Lewiston</v>
      </c>
      <c r="B182" s="443" t="s">
        <v>40</v>
      </c>
      <c r="C182" s="443" t="s">
        <v>38</v>
      </c>
      <c r="D182" s="443">
        <v>1</v>
      </c>
      <c r="E182" s="443">
        <v>1</v>
      </c>
      <c r="F182" s="443">
        <v>40.35074999999994</v>
      </c>
    </row>
    <row r="183" spans="1:6" ht="12.75">
      <c r="A183" s="443">
        <f t="shared" si="2"/>
      </c>
      <c r="B183" s="443" t="s">
        <v>40</v>
      </c>
      <c r="C183" s="443" t="s">
        <v>38</v>
      </c>
      <c r="D183" s="443">
        <v>2</v>
      </c>
      <c r="E183" s="443">
        <v>2</v>
      </c>
      <c r="F183" s="443">
        <v>37.89125</v>
      </c>
    </row>
    <row r="184" spans="1:6" ht="12.75">
      <c r="A184" s="443">
        <f t="shared" si="2"/>
      </c>
      <c r="B184" s="443" t="s">
        <v>40</v>
      </c>
      <c r="C184" s="443" t="s">
        <v>38</v>
      </c>
      <c r="D184" s="443">
        <v>3</v>
      </c>
      <c r="E184" s="443">
        <v>3</v>
      </c>
      <c r="F184" s="443">
        <v>33.81650000000005</v>
      </c>
    </row>
    <row r="185" spans="1:6" ht="12.75">
      <c r="A185" s="443">
        <f t="shared" si="2"/>
      </c>
      <c r="B185" s="443" t="s">
        <v>40</v>
      </c>
      <c r="C185" s="443" t="s">
        <v>42</v>
      </c>
      <c r="D185" s="443">
        <v>1</v>
      </c>
      <c r="E185" s="443">
        <v>4</v>
      </c>
      <c r="F185" s="443">
        <v>64.92293956043957</v>
      </c>
    </row>
    <row r="186" spans="1:6" ht="12.75">
      <c r="A186" s="443">
        <f t="shared" si="2"/>
      </c>
      <c r="B186" s="443" t="s">
        <v>40</v>
      </c>
      <c r="C186" s="443" t="s">
        <v>42</v>
      </c>
      <c r="D186" s="443">
        <v>2</v>
      </c>
      <c r="E186" s="443">
        <v>5</v>
      </c>
      <c r="F186" s="443">
        <v>59.84857142857143</v>
      </c>
    </row>
    <row r="187" spans="1:6" ht="12.75">
      <c r="A187" s="443">
        <f t="shared" si="2"/>
      </c>
      <c r="B187" s="443" t="s">
        <v>40</v>
      </c>
      <c r="C187" s="443" t="s">
        <v>42</v>
      </c>
      <c r="D187" s="443">
        <v>3</v>
      </c>
      <c r="E187" s="443">
        <v>6</v>
      </c>
      <c r="F187" s="443">
        <v>50.995439560439564</v>
      </c>
    </row>
    <row r="188" spans="1:6" ht="12.75">
      <c r="A188" s="443">
        <f t="shared" si="2"/>
      </c>
      <c r="B188" s="443" t="s">
        <v>40</v>
      </c>
      <c r="C188" s="443" t="s">
        <v>48</v>
      </c>
      <c r="D188" s="443">
        <v>1</v>
      </c>
      <c r="E188" s="443">
        <v>7</v>
      </c>
      <c r="F188" s="443">
        <v>79.08565217391306</v>
      </c>
    </row>
    <row r="189" spans="1:6" ht="12.75">
      <c r="A189" s="443">
        <f t="shared" si="2"/>
      </c>
      <c r="B189" s="443" t="s">
        <v>40</v>
      </c>
      <c r="C189" s="443" t="s">
        <v>48</v>
      </c>
      <c r="D189" s="443">
        <v>2</v>
      </c>
      <c r="E189" s="443">
        <v>8</v>
      </c>
      <c r="F189" s="443">
        <v>74.25573369565221</v>
      </c>
    </row>
    <row r="190" spans="1:6" ht="12.75">
      <c r="A190" s="443">
        <f t="shared" si="2"/>
      </c>
      <c r="B190" s="443" t="s">
        <v>40</v>
      </c>
      <c r="C190" s="443" t="s">
        <v>48</v>
      </c>
      <c r="D190" s="443">
        <v>3</v>
      </c>
      <c r="E190" s="443">
        <v>9</v>
      </c>
      <c r="F190" s="443">
        <v>62.427092391304335</v>
      </c>
    </row>
    <row r="191" spans="1:6" ht="12.75">
      <c r="A191" s="443">
        <f t="shared" si="2"/>
      </c>
      <c r="B191" s="443" t="s">
        <v>40</v>
      </c>
      <c r="C191" s="443" t="s">
        <v>59</v>
      </c>
      <c r="D191" s="443">
        <v>1</v>
      </c>
      <c r="E191" s="443">
        <v>10</v>
      </c>
      <c r="F191" s="443">
        <v>44.6564945652174</v>
      </c>
    </row>
    <row r="192" spans="1:6" ht="12.75">
      <c r="A192" s="443">
        <f t="shared" si="2"/>
      </c>
      <c r="B192" s="443" t="s">
        <v>40</v>
      </c>
      <c r="C192" s="443" t="s">
        <v>59</v>
      </c>
      <c r="D192" s="443">
        <v>2</v>
      </c>
      <c r="E192" s="443">
        <v>11</v>
      </c>
      <c r="F192" s="443">
        <v>41.39105978260863</v>
      </c>
    </row>
    <row r="193" spans="1:6" ht="12.75">
      <c r="A193" s="443">
        <f t="shared" si="2"/>
      </c>
      <c r="B193" s="443" t="s">
        <v>40</v>
      </c>
      <c r="C193" s="443" t="s">
        <v>59</v>
      </c>
      <c r="D193" s="443">
        <v>3</v>
      </c>
      <c r="E193" s="443">
        <v>12</v>
      </c>
      <c r="F193" s="443">
        <v>38.206086956521816</v>
      </c>
    </row>
    <row r="194" spans="1:6" ht="12.75">
      <c r="A194" s="443" t="str">
        <f t="shared" si="2"/>
        <v>ID - Idaho Falls</v>
      </c>
      <c r="B194" s="443" t="s">
        <v>39</v>
      </c>
      <c r="C194" s="443" t="s">
        <v>38</v>
      </c>
      <c r="D194" s="443">
        <v>1</v>
      </c>
      <c r="E194" s="443">
        <v>1</v>
      </c>
      <c r="F194" s="443">
        <v>27.94375</v>
      </c>
    </row>
    <row r="195" spans="1:6" ht="12.75">
      <c r="A195" s="443">
        <f aca="true" t="shared" si="3" ref="A195:A258">IF(B195=B194,"",B195)</f>
      </c>
      <c r="B195" s="443" t="s">
        <v>39</v>
      </c>
      <c r="C195" s="443" t="s">
        <v>38</v>
      </c>
      <c r="D195" s="443">
        <v>2</v>
      </c>
      <c r="E195" s="443">
        <v>2</v>
      </c>
      <c r="F195" s="443">
        <v>25.82224999999999</v>
      </c>
    </row>
    <row r="196" spans="1:6" ht="12.75">
      <c r="A196" s="443">
        <f t="shared" si="3"/>
      </c>
      <c r="B196" s="443" t="s">
        <v>39</v>
      </c>
      <c r="C196" s="443" t="s">
        <v>38</v>
      </c>
      <c r="D196" s="443">
        <v>3</v>
      </c>
      <c r="E196" s="443">
        <v>3</v>
      </c>
      <c r="F196" s="443">
        <v>20.75024999999998</v>
      </c>
    </row>
    <row r="197" spans="1:6" ht="12.75">
      <c r="A197" s="443">
        <f t="shared" si="3"/>
      </c>
      <c r="B197" s="443" t="s">
        <v>39</v>
      </c>
      <c r="C197" s="443" t="s">
        <v>42</v>
      </c>
      <c r="D197" s="443">
        <v>1</v>
      </c>
      <c r="E197" s="443">
        <v>4</v>
      </c>
      <c r="F197" s="443">
        <v>61.74821428571421</v>
      </c>
    </row>
    <row r="198" spans="1:6" ht="12.75">
      <c r="A198" s="443">
        <f t="shared" si="3"/>
      </c>
      <c r="B198" s="443" t="s">
        <v>39</v>
      </c>
      <c r="C198" s="443" t="s">
        <v>42</v>
      </c>
      <c r="D198" s="443">
        <v>2</v>
      </c>
      <c r="E198" s="443">
        <v>5</v>
      </c>
      <c r="F198" s="443">
        <v>56.11332417582415</v>
      </c>
    </row>
    <row r="199" spans="1:6" ht="12.75">
      <c r="A199" s="443">
        <f t="shared" si="3"/>
      </c>
      <c r="B199" s="443" t="s">
        <v>39</v>
      </c>
      <c r="C199" s="443" t="s">
        <v>42</v>
      </c>
      <c r="D199" s="443">
        <v>3</v>
      </c>
      <c r="E199" s="443">
        <v>6</v>
      </c>
      <c r="F199" s="443">
        <v>44.27881868131867</v>
      </c>
    </row>
    <row r="200" spans="1:6" ht="12.75">
      <c r="A200" s="443">
        <f t="shared" si="3"/>
      </c>
      <c r="B200" s="443" t="s">
        <v>39</v>
      </c>
      <c r="C200" s="443" t="s">
        <v>48</v>
      </c>
      <c r="D200" s="443">
        <v>1</v>
      </c>
      <c r="E200" s="443">
        <v>7</v>
      </c>
      <c r="F200" s="443">
        <v>73.98915760869566</v>
      </c>
    </row>
    <row r="201" spans="1:6" ht="12.75">
      <c r="A201" s="443">
        <f t="shared" si="3"/>
      </c>
      <c r="B201" s="443" t="s">
        <v>39</v>
      </c>
      <c r="C201" s="443" t="s">
        <v>48</v>
      </c>
      <c r="D201" s="443">
        <v>2</v>
      </c>
      <c r="E201" s="443">
        <v>8</v>
      </c>
      <c r="F201" s="443">
        <v>67.18241847826089</v>
      </c>
    </row>
    <row r="202" spans="1:6" ht="12.75">
      <c r="A202" s="443">
        <f t="shared" si="3"/>
      </c>
      <c r="B202" s="443" t="s">
        <v>39</v>
      </c>
      <c r="C202" s="443" t="s">
        <v>48</v>
      </c>
      <c r="D202" s="443">
        <v>3</v>
      </c>
      <c r="E202" s="443">
        <v>9</v>
      </c>
      <c r="F202" s="443">
        <v>51.03744565217392</v>
      </c>
    </row>
    <row r="203" spans="1:6" ht="12.75">
      <c r="A203" s="443">
        <f t="shared" si="3"/>
      </c>
      <c r="B203" s="443" t="s">
        <v>39</v>
      </c>
      <c r="C203" s="443" t="s">
        <v>59</v>
      </c>
      <c r="D203" s="443">
        <v>1</v>
      </c>
      <c r="E203" s="443">
        <v>10</v>
      </c>
      <c r="F203" s="443">
        <v>40.11540760869559</v>
      </c>
    </row>
    <row r="204" spans="1:6" ht="12.75">
      <c r="A204" s="443">
        <f t="shared" si="3"/>
      </c>
      <c r="B204" s="443" t="s">
        <v>39</v>
      </c>
      <c r="C204" s="443" t="s">
        <v>59</v>
      </c>
      <c r="D204" s="443">
        <v>2</v>
      </c>
      <c r="E204" s="443">
        <v>11</v>
      </c>
      <c r="F204" s="443">
        <v>34.832065217391325</v>
      </c>
    </row>
    <row r="205" spans="1:6" ht="12.75">
      <c r="A205" s="443">
        <f t="shared" si="3"/>
      </c>
      <c r="B205" s="443" t="s">
        <v>39</v>
      </c>
      <c r="C205" s="443" t="s">
        <v>59</v>
      </c>
      <c r="D205" s="443">
        <v>3</v>
      </c>
      <c r="E205" s="443">
        <v>12</v>
      </c>
      <c r="F205" s="443">
        <v>29.203152173913058</v>
      </c>
    </row>
    <row r="206" spans="1:6" ht="12.75">
      <c r="A206" s="443" t="str">
        <f t="shared" si="3"/>
        <v>ID - Boise</v>
      </c>
      <c r="B206" s="443" t="s">
        <v>37</v>
      </c>
      <c r="C206" s="443" t="s">
        <v>38</v>
      </c>
      <c r="D206" s="443">
        <v>1</v>
      </c>
      <c r="E206" s="443">
        <v>1</v>
      </c>
      <c r="F206" s="443">
        <v>40.31600000000004</v>
      </c>
    </row>
    <row r="207" spans="1:6" ht="12.75">
      <c r="A207" s="443">
        <f t="shared" si="3"/>
      </c>
      <c r="B207" s="443" t="s">
        <v>37</v>
      </c>
      <c r="C207" s="443" t="s">
        <v>38</v>
      </c>
      <c r="D207" s="443">
        <v>2</v>
      </c>
      <c r="E207" s="443">
        <v>2</v>
      </c>
      <c r="F207" s="443">
        <v>37.06299999999996</v>
      </c>
    </row>
    <row r="208" spans="1:6" ht="12.75">
      <c r="A208" s="443">
        <f t="shared" si="3"/>
      </c>
      <c r="B208" s="443" t="s">
        <v>37</v>
      </c>
      <c r="C208" s="443" t="s">
        <v>38</v>
      </c>
      <c r="D208" s="443">
        <v>3</v>
      </c>
      <c r="E208" s="443">
        <v>3</v>
      </c>
      <c r="F208" s="443">
        <v>31.3325</v>
      </c>
    </row>
    <row r="209" spans="1:6" ht="12.75">
      <c r="A209" s="443">
        <f t="shared" si="3"/>
      </c>
      <c r="B209" s="443" t="s">
        <v>37</v>
      </c>
      <c r="C209" s="443" t="s">
        <v>42</v>
      </c>
      <c r="D209" s="443">
        <v>1</v>
      </c>
      <c r="E209" s="443">
        <v>4</v>
      </c>
      <c r="F209" s="443">
        <v>65.38208791208794</v>
      </c>
    </row>
    <row r="210" spans="1:6" ht="12.75">
      <c r="A210" s="443">
        <f t="shared" si="3"/>
      </c>
      <c r="B210" s="443" t="s">
        <v>37</v>
      </c>
      <c r="C210" s="443" t="s">
        <v>42</v>
      </c>
      <c r="D210" s="443">
        <v>2</v>
      </c>
      <c r="E210" s="443">
        <v>5</v>
      </c>
      <c r="F210" s="443">
        <v>62.337417582417665</v>
      </c>
    </row>
    <row r="211" spans="1:6" ht="12.75">
      <c r="A211" s="443">
        <f t="shared" si="3"/>
      </c>
      <c r="B211" s="443" t="s">
        <v>37</v>
      </c>
      <c r="C211" s="443" t="s">
        <v>42</v>
      </c>
      <c r="D211" s="443">
        <v>3</v>
      </c>
      <c r="E211" s="443">
        <v>6</v>
      </c>
      <c r="F211" s="443">
        <v>50.99519230769227</v>
      </c>
    </row>
    <row r="212" spans="1:6" ht="12.75">
      <c r="A212" s="443">
        <f t="shared" si="3"/>
      </c>
      <c r="B212" s="443" t="s">
        <v>37</v>
      </c>
      <c r="C212" s="443" t="s">
        <v>48</v>
      </c>
      <c r="D212" s="443">
        <v>1</v>
      </c>
      <c r="E212" s="443">
        <v>7</v>
      </c>
      <c r="F212" s="443">
        <v>76.66127717391308</v>
      </c>
    </row>
    <row r="213" spans="1:6" ht="12.75">
      <c r="A213" s="443">
        <f t="shared" si="3"/>
      </c>
      <c r="B213" s="443" t="s">
        <v>37</v>
      </c>
      <c r="C213" s="443" t="s">
        <v>48</v>
      </c>
      <c r="D213" s="443">
        <v>2</v>
      </c>
      <c r="E213" s="443">
        <v>8</v>
      </c>
      <c r="F213" s="443">
        <v>73.41907608695648</v>
      </c>
    </row>
    <row r="214" spans="1:6" ht="12.75">
      <c r="A214" s="443">
        <f t="shared" si="3"/>
      </c>
      <c r="B214" s="443" t="s">
        <v>37</v>
      </c>
      <c r="C214" s="443" t="s">
        <v>48</v>
      </c>
      <c r="D214" s="443">
        <v>3</v>
      </c>
      <c r="E214" s="443">
        <v>9</v>
      </c>
      <c r="F214" s="443">
        <v>59.76377717391302</v>
      </c>
    </row>
    <row r="215" spans="1:6" ht="12.75">
      <c r="A215" s="443">
        <f t="shared" si="3"/>
      </c>
      <c r="B215" s="443" t="s">
        <v>37</v>
      </c>
      <c r="C215" s="443" t="s">
        <v>59</v>
      </c>
      <c r="D215" s="443">
        <v>1</v>
      </c>
      <c r="E215" s="443">
        <v>10</v>
      </c>
      <c r="F215" s="443">
        <v>47.17600543478262</v>
      </c>
    </row>
    <row r="216" spans="1:6" ht="12.75">
      <c r="A216" s="443">
        <f t="shared" si="3"/>
      </c>
      <c r="B216" s="443" t="s">
        <v>37</v>
      </c>
      <c r="C216" s="443" t="s">
        <v>59</v>
      </c>
      <c r="D216" s="443">
        <v>2</v>
      </c>
      <c r="E216" s="443">
        <v>11</v>
      </c>
      <c r="F216" s="443">
        <v>42.7801902173913</v>
      </c>
    </row>
    <row r="217" spans="1:6" ht="12.75">
      <c r="A217" s="443">
        <f t="shared" si="3"/>
      </c>
      <c r="B217" s="443" t="s">
        <v>37</v>
      </c>
      <c r="C217" s="443" t="s">
        <v>59</v>
      </c>
      <c r="D217" s="443">
        <v>3</v>
      </c>
      <c r="E217" s="443">
        <v>12</v>
      </c>
      <c r="F217" s="443">
        <v>37.830923913043414</v>
      </c>
    </row>
    <row r="218" spans="1:6" ht="12.75">
      <c r="A218" s="443" t="str">
        <f t="shared" si="3"/>
        <v>UT -Wendover</v>
      </c>
      <c r="B218" s="443" t="s">
        <v>93</v>
      </c>
      <c r="C218" s="443" t="s">
        <v>38</v>
      </c>
      <c r="D218" s="443">
        <v>1</v>
      </c>
      <c r="E218" s="443">
        <v>1</v>
      </c>
      <c r="F218" s="443">
        <v>38.622999999999884</v>
      </c>
    </row>
    <row r="219" spans="1:6" ht="12.75">
      <c r="A219" s="443">
        <f t="shared" si="3"/>
      </c>
      <c r="B219" s="443" t="s">
        <v>93</v>
      </c>
      <c r="C219" s="443" t="s">
        <v>38</v>
      </c>
      <c r="D219" s="443">
        <v>2</v>
      </c>
      <c r="E219" s="443">
        <v>2</v>
      </c>
      <c r="F219" s="443">
        <v>33.871749999999906</v>
      </c>
    </row>
    <row r="220" spans="1:6" ht="12.75">
      <c r="A220" s="443">
        <f t="shared" si="3"/>
      </c>
      <c r="B220" s="443" t="s">
        <v>93</v>
      </c>
      <c r="C220" s="443" t="s">
        <v>38</v>
      </c>
      <c r="D220" s="443">
        <v>3</v>
      </c>
      <c r="E220" s="443">
        <v>3</v>
      </c>
      <c r="F220" s="443">
        <v>29.730249999999906</v>
      </c>
    </row>
    <row r="221" spans="1:6" ht="12.75">
      <c r="A221" s="443">
        <f t="shared" si="3"/>
      </c>
      <c r="B221" s="443" t="s">
        <v>93</v>
      </c>
      <c r="C221" s="443" t="s">
        <v>42</v>
      </c>
      <c r="D221" s="443">
        <v>1</v>
      </c>
      <c r="E221" s="443">
        <v>4</v>
      </c>
      <c r="F221" s="443">
        <v>68.54593406593405</v>
      </c>
    </row>
    <row r="222" spans="1:6" ht="12.75">
      <c r="A222" s="443">
        <f t="shared" si="3"/>
      </c>
      <c r="B222" s="443" t="s">
        <v>93</v>
      </c>
      <c r="C222" s="443" t="s">
        <v>42</v>
      </c>
      <c r="D222" s="443">
        <v>2</v>
      </c>
      <c r="E222" s="443">
        <v>5</v>
      </c>
      <c r="F222" s="443">
        <v>63.85728021978021</v>
      </c>
    </row>
    <row r="223" spans="1:6" ht="12.75">
      <c r="A223" s="443">
        <f t="shared" si="3"/>
      </c>
      <c r="B223" s="443" t="s">
        <v>93</v>
      </c>
      <c r="C223" s="443" t="s">
        <v>42</v>
      </c>
      <c r="D223" s="443">
        <v>3</v>
      </c>
      <c r="E223" s="443">
        <v>6</v>
      </c>
      <c r="F223" s="443">
        <v>55.82997252747258</v>
      </c>
    </row>
    <row r="224" spans="1:6" ht="12.75">
      <c r="A224" s="443">
        <f t="shared" si="3"/>
      </c>
      <c r="B224" s="443" t="s">
        <v>93</v>
      </c>
      <c r="C224" s="443" t="s">
        <v>48</v>
      </c>
      <c r="D224" s="443">
        <v>1</v>
      </c>
      <c r="E224" s="443">
        <v>7</v>
      </c>
      <c r="F224" s="443">
        <v>80.65282608695665</v>
      </c>
    </row>
    <row r="225" spans="1:6" ht="12.75">
      <c r="A225" s="443">
        <f t="shared" si="3"/>
      </c>
      <c r="B225" s="443" t="s">
        <v>93</v>
      </c>
      <c r="C225" s="443" t="s">
        <v>48</v>
      </c>
      <c r="D225" s="443">
        <v>2</v>
      </c>
      <c r="E225" s="443">
        <v>8</v>
      </c>
      <c r="F225" s="443">
        <v>74.79402173913032</v>
      </c>
    </row>
    <row r="226" spans="1:6" ht="12.75">
      <c r="A226" s="443">
        <f t="shared" si="3"/>
      </c>
      <c r="B226" s="443" t="s">
        <v>93</v>
      </c>
      <c r="C226" s="443" t="s">
        <v>48</v>
      </c>
      <c r="D226" s="443">
        <v>3</v>
      </c>
      <c r="E226" s="443">
        <v>9</v>
      </c>
      <c r="F226" s="443">
        <v>65.76809782608699</v>
      </c>
    </row>
    <row r="227" spans="1:6" ht="12.75">
      <c r="A227" s="443">
        <f t="shared" si="3"/>
      </c>
      <c r="B227" s="443" t="s">
        <v>93</v>
      </c>
      <c r="C227" s="443" t="s">
        <v>59</v>
      </c>
      <c r="D227" s="443">
        <v>1</v>
      </c>
      <c r="E227" s="443">
        <v>10</v>
      </c>
      <c r="F227" s="443">
        <v>43.1140217391304</v>
      </c>
    </row>
    <row r="228" spans="1:6" ht="12.75">
      <c r="A228" s="443">
        <f t="shared" si="3"/>
      </c>
      <c r="B228" s="443" t="s">
        <v>93</v>
      </c>
      <c r="C228" s="443" t="s">
        <v>59</v>
      </c>
      <c r="D228" s="443">
        <v>2</v>
      </c>
      <c r="E228" s="443">
        <v>11</v>
      </c>
      <c r="F228" s="443">
        <v>37.426413043478185</v>
      </c>
    </row>
    <row r="229" spans="1:6" ht="12.75">
      <c r="A229" s="443">
        <f t="shared" si="3"/>
      </c>
      <c r="B229" s="443" t="s">
        <v>93</v>
      </c>
      <c r="C229" s="443" t="s">
        <v>59</v>
      </c>
      <c r="D229" s="443">
        <v>3</v>
      </c>
      <c r="E229" s="443">
        <v>12</v>
      </c>
      <c r="F229" s="443">
        <v>33.411630434782545</v>
      </c>
    </row>
    <row r="230" spans="1:6" ht="12.75">
      <c r="A230" s="443" t="str">
        <f t="shared" si="3"/>
        <v>UT - Vernal</v>
      </c>
      <c r="B230" s="443" t="s">
        <v>91</v>
      </c>
      <c r="C230" s="443" t="s">
        <v>38</v>
      </c>
      <c r="D230" s="443">
        <v>1</v>
      </c>
      <c r="E230" s="443">
        <v>1</v>
      </c>
      <c r="F230" s="443">
        <v>37.89424999999999</v>
      </c>
    </row>
    <row r="231" spans="1:6" ht="12.75">
      <c r="A231" s="443">
        <f t="shared" si="3"/>
      </c>
      <c r="B231" s="443" t="s">
        <v>91</v>
      </c>
      <c r="C231" s="443" t="s">
        <v>38</v>
      </c>
      <c r="D231" s="443">
        <v>2</v>
      </c>
      <c r="E231" s="443">
        <v>2</v>
      </c>
      <c r="F231" s="443">
        <v>32.55474999999998</v>
      </c>
    </row>
    <row r="232" spans="1:6" ht="12.75">
      <c r="A232" s="443">
        <f t="shared" si="3"/>
      </c>
      <c r="B232" s="443" t="s">
        <v>91</v>
      </c>
      <c r="C232" s="443" t="s">
        <v>38</v>
      </c>
      <c r="D232" s="443">
        <v>3</v>
      </c>
      <c r="E232" s="443">
        <v>3</v>
      </c>
      <c r="F232" s="443">
        <v>25.93025000000002</v>
      </c>
    </row>
    <row r="233" spans="1:6" ht="12.75">
      <c r="A233" s="443">
        <f t="shared" si="3"/>
      </c>
      <c r="B233" s="443" t="s">
        <v>91</v>
      </c>
      <c r="C233" s="443" t="s">
        <v>42</v>
      </c>
      <c r="D233" s="443">
        <v>1</v>
      </c>
      <c r="E233" s="443">
        <v>4</v>
      </c>
      <c r="F233" s="443">
        <v>67.65879120879113</v>
      </c>
    </row>
    <row r="234" spans="1:6" ht="12.75">
      <c r="A234" s="443">
        <f t="shared" si="3"/>
      </c>
      <c r="B234" s="443" t="s">
        <v>91</v>
      </c>
      <c r="C234" s="443" t="s">
        <v>42</v>
      </c>
      <c r="D234" s="443">
        <v>2</v>
      </c>
      <c r="E234" s="443">
        <v>5</v>
      </c>
      <c r="F234" s="443">
        <v>60.318104395604365</v>
      </c>
    </row>
    <row r="235" spans="1:6" ht="12.75">
      <c r="A235" s="443">
        <f t="shared" si="3"/>
      </c>
      <c r="B235" s="443" t="s">
        <v>91</v>
      </c>
      <c r="C235" s="443" t="s">
        <v>42</v>
      </c>
      <c r="D235" s="443">
        <v>3</v>
      </c>
      <c r="E235" s="443">
        <v>6</v>
      </c>
      <c r="F235" s="443">
        <v>48.55554945054951</v>
      </c>
    </row>
    <row r="236" spans="1:6" ht="12.75">
      <c r="A236" s="443">
        <f t="shared" si="3"/>
      </c>
      <c r="B236" s="443" t="s">
        <v>91</v>
      </c>
      <c r="C236" s="443" t="s">
        <v>48</v>
      </c>
      <c r="D236" s="443">
        <v>1</v>
      </c>
      <c r="E236" s="443">
        <v>7</v>
      </c>
      <c r="F236" s="443">
        <v>77.21864130434788</v>
      </c>
    </row>
    <row r="237" spans="1:6" ht="12.75">
      <c r="A237" s="443">
        <f t="shared" si="3"/>
      </c>
      <c r="B237" s="443" t="s">
        <v>91</v>
      </c>
      <c r="C237" s="443" t="s">
        <v>48</v>
      </c>
      <c r="D237" s="443">
        <v>2</v>
      </c>
      <c r="E237" s="443">
        <v>8</v>
      </c>
      <c r="F237" s="443">
        <v>69.12940217391308</v>
      </c>
    </row>
    <row r="238" spans="1:6" ht="12.75">
      <c r="A238" s="443">
        <f t="shared" si="3"/>
      </c>
      <c r="B238" s="443" t="s">
        <v>91</v>
      </c>
      <c r="C238" s="443" t="s">
        <v>48</v>
      </c>
      <c r="D238" s="443">
        <v>3</v>
      </c>
      <c r="E238" s="443">
        <v>9</v>
      </c>
      <c r="F238" s="443">
        <v>57.65855978260866</v>
      </c>
    </row>
    <row r="239" spans="1:6" ht="12.75">
      <c r="A239" s="443">
        <f t="shared" si="3"/>
      </c>
      <c r="B239" s="443" t="s">
        <v>91</v>
      </c>
      <c r="C239" s="443" t="s">
        <v>59</v>
      </c>
      <c r="D239" s="443">
        <v>1</v>
      </c>
      <c r="E239" s="443">
        <v>10</v>
      </c>
      <c r="F239" s="443">
        <v>41.189538043478294</v>
      </c>
    </row>
    <row r="240" spans="1:6" ht="12.75">
      <c r="A240" s="443">
        <f t="shared" si="3"/>
      </c>
      <c r="B240" s="443" t="s">
        <v>91</v>
      </c>
      <c r="C240" s="443" t="s">
        <v>59</v>
      </c>
      <c r="D240" s="443">
        <v>2</v>
      </c>
      <c r="E240" s="443">
        <v>11</v>
      </c>
      <c r="F240" s="443">
        <v>33.547608695652166</v>
      </c>
    </row>
    <row r="241" spans="1:6" ht="12.75">
      <c r="A241" s="443">
        <f t="shared" si="3"/>
      </c>
      <c r="B241" s="443" t="s">
        <v>91</v>
      </c>
      <c r="C241" s="443" t="s">
        <v>59</v>
      </c>
      <c r="D241" s="443">
        <v>3</v>
      </c>
      <c r="E241" s="443">
        <v>12</v>
      </c>
      <c r="F241" s="443">
        <v>26.27423913043478</v>
      </c>
    </row>
    <row r="242" spans="1:6" ht="12.75">
      <c r="A242" s="443" t="str">
        <f t="shared" si="3"/>
        <v>UT - Salt Lake City</v>
      </c>
      <c r="B242" s="443" t="s">
        <v>89</v>
      </c>
      <c r="C242" s="443" t="s">
        <v>38</v>
      </c>
      <c r="D242" s="443">
        <v>1</v>
      </c>
      <c r="E242" s="443">
        <v>1</v>
      </c>
      <c r="F242" s="443">
        <v>41.49150000000006</v>
      </c>
    </row>
    <row r="243" spans="1:6" ht="12.75">
      <c r="A243" s="443">
        <f t="shared" si="3"/>
      </c>
      <c r="B243" s="443" t="s">
        <v>89</v>
      </c>
      <c r="C243" s="443" t="s">
        <v>38</v>
      </c>
      <c r="D243" s="443">
        <v>2</v>
      </c>
      <c r="E243" s="443">
        <v>2</v>
      </c>
      <c r="F243" s="443">
        <v>37.2875</v>
      </c>
    </row>
    <row r="244" spans="1:6" ht="12.75">
      <c r="A244" s="443">
        <f t="shared" si="3"/>
      </c>
      <c r="B244" s="443" t="s">
        <v>89</v>
      </c>
      <c r="C244" s="443" t="s">
        <v>38</v>
      </c>
      <c r="D244" s="443">
        <v>3</v>
      </c>
      <c r="E244" s="443">
        <v>3</v>
      </c>
      <c r="F244" s="443">
        <v>32.9225</v>
      </c>
    </row>
    <row r="245" spans="1:6" ht="12.75">
      <c r="A245" s="443">
        <f t="shared" si="3"/>
      </c>
      <c r="B245" s="443" t="s">
        <v>89</v>
      </c>
      <c r="C245" s="443" t="s">
        <v>42</v>
      </c>
      <c r="D245" s="443">
        <v>1</v>
      </c>
      <c r="E245" s="443">
        <v>4</v>
      </c>
      <c r="F245" s="443">
        <v>66.50090659340661</v>
      </c>
    </row>
    <row r="246" spans="1:6" ht="12.75">
      <c r="A246" s="443">
        <f t="shared" si="3"/>
      </c>
      <c r="B246" s="443" t="s">
        <v>89</v>
      </c>
      <c r="C246" s="443" t="s">
        <v>42</v>
      </c>
      <c r="D246" s="443">
        <v>2</v>
      </c>
      <c r="E246" s="443">
        <v>5</v>
      </c>
      <c r="F246" s="443">
        <v>60.68923076923076</v>
      </c>
    </row>
    <row r="247" spans="1:6" ht="12.75">
      <c r="A247" s="443">
        <f t="shared" si="3"/>
      </c>
      <c r="B247" s="443" t="s">
        <v>89</v>
      </c>
      <c r="C247" s="443" t="s">
        <v>42</v>
      </c>
      <c r="D247" s="443">
        <v>3</v>
      </c>
      <c r="E247" s="443">
        <v>6</v>
      </c>
      <c r="F247" s="443">
        <v>52.51381868131871</v>
      </c>
    </row>
    <row r="248" spans="1:6" ht="12.75">
      <c r="A248" s="443">
        <f t="shared" si="3"/>
      </c>
      <c r="B248" s="443" t="s">
        <v>89</v>
      </c>
      <c r="C248" s="443" t="s">
        <v>48</v>
      </c>
      <c r="D248" s="443">
        <v>1</v>
      </c>
      <c r="E248" s="443">
        <v>7</v>
      </c>
      <c r="F248" s="443">
        <v>82.25839673913045</v>
      </c>
    </row>
    <row r="249" spans="1:6" ht="12.75">
      <c r="A249" s="443">
        <f t="shared" si="3"/>
      </c>
      <c r="B249" s="443" t="s">
        <v>89</v>
      </c>
      <c r="C249" s="443" t="s">
        <v>48</v>
      </c>
      <c r="D249" s="443">
        <v>2</v>
      </c>
      <c r="E249" s="443">
        <v>8</v>
      </c>
      <c r="F249" s="443">
        <v>74.80698369565215</v>
      </c>
    </row>
    <row r="250" spans="1:6" ht="12.75">
      <c r="A250" s="443">
        <f t="shared" si="3"/>
      </c>
      <c r="B250" s="443" t="s">
        <v>89</v>
      </c>
      <c r="C250" s="443" t="s">
        <v>48</v>
      </c>
      <c r="D250" s="443">
        <v>3</v>
      </c>
      <c r="E250" s="443">
        <v>9</v>
      </c>
      <c r="F250" s="443">
        <v>66.01461956521743</v>
      </c>
    </row>
    <row r="251" spans="1:6" ht="12.75">
      <c r="A251" s="443">
        <f t="shared" si="3"/>
      </c>
      <c r="B251" s="443" t="s">
        <v>89</v>
      </c>
      <c r="C251" s="443" t="s">
        <v>59</v>
      </c>
      <c r="D251" s="443">
        <v>1</v>
      </c>
      <c r="E251" s="443">
        <v>10</v>
      </c>
      <c r="F251" s="443">
        <v>46.670244565217374</v>
      </c>
    </row>
    <row r="252" spans="1:6" ht="12.75">
      <c r="A252" s="443">
        <f t="shared" si="3"/>
      </c>
      <c r="B252" s="443" t="s">
        <v>89</v>
      </c>
      <c r="C252" s="443" t="s">
        <v>59</v>
      </c>
      <c r="D252" s="443">
        <v>2</v>
      </c>
      <c r="E252" s="443">
        <v>11</v>
      </c>
      <c r="F252" s="443">
        <v>41.20714673913046</v>
      </c>
    </row>
    <row r="253" spans="1:6" ht="12.75">
      <c r="A253" s="443">
        <f t="shared" si="3"/>
      </c>
      <c r="B253" s="443" t="s">
        <v>89</v>
      </c>
      <c r="C253" s="443" t="s">
        <v>59</v>
      </c>
      <c r="D253" s="443">
        <v>3</v>
      </c>
      <c r="E253" s="443">
        <v>12</v>
      </c>
      <c r="F253" s="443">
        <v>37.10211956521742</v>
      </c>
    </row>
    <row r="254" spans="1:6" ht="12.75">
      <c r="A254" s="443" t="str">
        <f t="shared" si="3"/>
        <v>UT - Saint George</v>
      </c>
      <c r="B254" s="443" t="s">
        <v>87</v>
      </c>
      <c r="C254" s="443" t="s">
        <v>38</v>
      </c>
      <c r="D254" s="443">
        <v>1</v>
      </c>
      <c r="E254" s="443">
        <v>1</v>
      </c>
      <c r="F254" s="443">
        <v>52.76950000000001</v>
      </c>
    </row>
    <row r="255" spans="1:6" ht="12.75">
      <c r="A255" s="443">
        <f t="shared" si="3"/>
      </c>
      <c r="B255" s="443" t="s">
        <v>87</v>
      </c>
      <c r="C255" s="443" t="s">
        <v>38</v>
      </c>
      <c r="D255" s="443">
        <v>2</v>
      </c>
      <c r="E255" s="443">
        <v>2</v>
      </c>
      <c r="F255" s="443">
        <v>52.916999999999916</v>
      </c>
    </row>
    <row r="256" spans="1:6" ht="12.75">
      <c r="A256" s="443">
        <f t="shared" si="3"/>
      </c>
      <c r="B256" s="443" t="s">
        <v>87</v>
      </c>
      <c r="C256" s="443" t="s">
        <v>38</v>
      </c>
      <c r="D256" s="443">
        <v>3</v>
      </c>
      <c r="E256" s="443">
        <v>3</v>
      </c>
      <c r="F256" s="443">
        <v>43.19024999999993</v>
      </c>
    </row>
    <row r="257" spans="1:6" ht="12.75">
      <c r="A257" s="443">
        <f t="shared" si="3"/>
      </c>
      <c r="B257" s="443" t="s">
        <v>87</v>
      </c>
      <c r="C257" s="443" t="s">
        <v>42</v>
      </c>
      <c r="D257" s="443">
        <v>1</v>
      </c>
      <c r="E257" s="443">
        <v>4</v>
      </c>
      <c r="F257" s="443">
        <v>80.81239010989013</v>
      </c>
    </row>
    <row r="258" spans="1:6" ht="12.75">
      <c r="A258" s="443">
        <f t="shared" si="3"/>
      </c>
      <c r="B258" s="443" t="s">
        <v>87</v>
      </c>
      <c r="C258" s="443" t="s">
        <v>42</v>
      </c>
      <c r="D258" s="443">
        <v>2</v>
      </c>
      <c r="E258" s="443">
        <v>5</v>
      </c>
      <c r="F258" s="443">
        <v>79.6092582417583</v>
      </c>
    </row>
    <row r="259" spans="1:6" ht="12.75">
      <c r="A259" s="443">
        <f aca="true" t="shared" si="4" ref="A259:A322">IF(B259=B258,"",B259)</f>
      </c>
      <c r="B259" s="443" t="s">
        <v>87</v>
      </c>
      <c r="C259" s="443" t="s">
        <v>42</v>
      </c>
      <c r="D259" s="443">
        <v>3</v>
      </c>
      <c r="E259" s="443">
        <v>6</v>
      </c>
      <c r="F259" s="443">
        <v>65.21024725274728</v>
      </c>
    </row>
    <row r="260" spans="1:6" ht="12.75">
      <c r="A260" s="443">
        <f t="shared" si="4"/>
      </c>
      <c r="B260" s="443" t="s">
        <v>87</v>
      </c>
      <c r="C260" s="443" t="s">
        <v>48</v>
      </c>
      <c r="D260" s="443">
        <v>1</v>
      </c>
      <c r="E260" s="443">
        <v>7</v>
      </c>
      <c r="F260" s="443">
        <v>90.30239130434786</v>
      </c>
    </row>
    <row r="261" spans="1:6" ht="12.75">
      <c r="A261" s="443">
        <f t="shared" si="4"/>
      </c>
      <c r="B261" s="443" t="s">
        <v>87</v>
      </c>
      <c r="C261" s="443" t="s">
        <v>48</v>
      </c>
      <c r="D261" s="443">
        <v>2</v>
      </c>
      <c r="E261" s="443">
        <v>8</v>
      </c>
      <c r="F261" s="443">
        <v>88.6628260869565</v>
      </c>
    </row>
    <row r="262" spans="1:6" ht="12.75">
      <c r="A262" s="443">
        <f t="shared" si="4"/>
      </c>
      <c r="B262" s="443" t="s">
        <v>87</v>
      </c>
      <c r="C262" s="443" t="s">
        <v>48</v>
      </c>
      <c r="D262" s="443">
        <v>3</v>
      </c>
      <c r="E262" s="443">
        <v>9</v>
      </c>
      <c r="F262" s="443">
        <v>76.12690217391304</v>
      </c>
    </row>
    <row r="263" spans="1:6" ht="12.75">
      <c r="A263" s="443">
        <f t="shared" si="4"/>
      </c>
      <c r="B263" s="443" t="s">
        <v>87</v>
      </c>
      <c r="C263" s="443" t="s">
        <v>59</v>
      </c>
      <c r="D263" s="443">
        <v>1</v>
      </c>
      <c r="E263" s="443">
        <v>10</v>
      </c>
      <c r="F263" s="443">
        <v>54.45622282608689</v>
      </c>
    </row>
    <row r="264" spans="1:6" ht="12.75">
      <c r="A264" s="443">
        <f t="shared" si="4"/>
      </c>
      <c r="B264" s="443" t="s">
        <v>87</v>
      </c>
      <c r="C264" s="443" t="s">
        <v>59</v>
      </c>
      <c r="D264" s="443">
        <v>2</v>
      </c>
      <c r="E264" s="443">
        <v>11</v>
      </c>
      <c r="F264" s="443">
        <v>53.60855978260853</v>
      </c>
    </row>
    <row r="265" spans="1:6" ht="12.75">
      <c r="A265" s="443">
        <f t="shared" si="4"/>
      </c>
      <c r="B265" s="443" t="s">
        <v>87</v>
      </c>
      <c r="C265" s="443" t="s">
        <v>59</v>
      </c>
      <c r="D265" s="443">
        <v>3</v>
      </c>
      <c r="E265" s="443">
        <v>12</v>
      </c>
      <c r="F265" s="443">
        <v>45.674375</v>
      </c>
    </row>
    <row r="266" spans="1:6" ht="12.75">
      <c r="A266" s="443" t="str">
        <f t="shared" si="4"/>
        <v>UT - Provo</v>
      </c>
      <c r="B266" s="443" t="s">
        <v>85</v>
      </c>
      <c r="C266" s="443" t="s">
        <v>38</v>
      </c>
      <c r="D266" s="443">
        <v>1</v>
      </c>
      <c r="E266" s="443">
        <v>1</v>
      </c>
      <c r="F266" s="443">
        <v>39.61649999999999</v>
      </c>
    </row>
    <row r="267" spans="1:6" ht="12.75">
      <c r="A267" s="443">
        <f t="shared" si="4"/>
      </c>
      <c r="B267" s="443" t="s">
        <v>85</v>
      </c>
      <c r="C267" s="443" t="s">
        <v>38</v>
      </c>
      <c r="D267" s="443">
        <v>2</v>
      </c>
      <c r="E267" s="443">
        <v>2</v>
      </c>
      <c r="F267" s="443">
        <v>36.905499999999996</v>
      </c>
    </row>
    <row r="268" spans="1:6" ht="12.75">
      <c r="A268" s="443">
        <f t="shared" si="4"/>
      </c>
      <c r="B268" s="443" t="s">
        <v>85</v>
      </c>
      <c r="C268" s="443" t="s">
        <v>38</v>
      </c>
      <c r="D268" s="443">
        <v>3</v>
      </c>
      <c r="E268" s="443">
        <v>3</v>
      </c>
      <c r="F268" s="443">
        <v>31.949000000000083</v>
      </c>
    </row>
    <row r="269" spans="1:6" ht="12.75">
      <c r="A269" s="443">
        <f t="shared" si="4"/>
      </c>
      <c r="B269" s="443" t="s">
        <v>85</v>
      </c>
      <c r="C269" s="443" t="s">
        <v>42</v>
      </c>
      <c r="D269" s="443">
        <v>1</v>
      </c>
      <c r="E269" s="443">
        <v>4</v>
      </c>
      <c r="F269" s="443">
        <v>66.9622802197802</v>
      </c>
    </row>
    <row r="270" spans="1:6" ht="12.75">
      <c r="A270" s="443">
        <f t="shared" si="4"/>
      </c>
      <c r="B270" s="443" t="s">
        <v>85</v>
      </c>
      <c r="C270" s="443" t="s">
        <v>42</v>
      </c>
      <c r="D270" s="443">
        <v>2</v>
      </c>
      <c r="E270" s="443">
        <v>5</v>
      </c>
      <c r="F270" s="443">
        <v>61.74549450549448</v>
      </c>
    </row>
    <row r="271" spans="1:6" ht="12.75">
      <c r="A271" s="443">
        <f t="shared" si="4"/>
      </c>
      <c r="B271" s="443" t="s">
        <v>85</v>
      </c>
      <c r="C271" s="443" t="s">
        <v>42</v>
      </c>
      <c r="D271" s="443">
        <v>3</v>
      </c>
      <c r="E271" s="443">
        <v>6</v>
      </c>
      <c r="F271" s="443">
        <v>51.310192307692304</v>
      </c>
    </row>
    <row r="272" spans="1:6" ht="12.75">
      <c r="A272" s="443">
        <f t="shared" si="4"/>
      </c>
      <c r="B272" s="443" t="s">
        <v>85</v>
      </c>
      <c r="C272" s="443" t="s">
        <v>48</v>
      </c>
      <c r="D272" s="443">
        <v>1</v>
      </c>
      <c r="E272" s="443">
        <v>7</v>
      </c>
      <c r="F272" s="443">
        <v>79.53760869565218</v>
      </c>
    </row>
    <row r="273" spans="1:6" ht="12.75">
      <c r="A273" s="443">
        <f t="shared" si="4"/>
      </c>
      <c r="B273" s="443" t="s">
        <v>85</v>
      </c>
      <c r="C273" s="443" t="s">
        <v>48</v>
      </c>
      <c r="D273" s="443">
        <v>2</v>
      </c>
      <c r="E273" s="443">
        <v>8</v>
      </c>
      <c r="F273" s="443">
        <v>72.14097826086957</v>
      </c>
    </row>
    <row r="274" spans="1:6" ht="12.75">
      <c r="A274" s="443">
        <f t="shared" si="4"/>
      </c>
      <c r="B274" s="443" t="s">
        <v>85</v>
      </c>
      <c r="C274" s="443" t="s">
        <v>48</v>
      </c>
      <c r="D274" s="443">
        <v>3</v>
      </c>
      <c r="E274" s="443">
        <v>9</v>
      </c>
      <c r="F274" s="443">
        <v>60.540760869565226</v>
      </c>
    </row>
    <row r="275" spans="1:6" ht="12.75">
      <c r="A275" s="443">
        <f t="shared" si="4"/>
      </c>
      <c r="B275" s="443" t="s">
        <v>85</v>
      </c>
      <c r="C275" s="443" t="s">
        <v>59</v>
      </c>
      <c r="D275" s="443">
        <v>1</v>
      </c>
      <c r="E275" s="443">
        <v>10</v>
      </c>
      <c r="F275" s="443">
        <v>43.23679347826085</v>
      </c>
    </row>
    <row r="276" spans="1:6" ht="12.75">
      <c r="A276" s="443">
        <f t="shared" si="4"/>
      </c>
      <c r="B276" s="443" t="s">
        <v>85</v>
      </c>
      <c r="C276" s="443" t="s">
        <v>59</v>
      </c>
      <c r="D276" s="443">
        <v>2</v>
      </c>
      <c r="E276" s="443">
        <v>11</v>
      </c>
      <c r="F276" s="443">
        <v>38.92706521739128</v>
      </c>
    </row>
    <row r="277" spans="1:6" ht="12.75">
      <c r="A277" s="443">
        <f t="shared" si="4"/>
      </c>
      <c r="B277" s="443" t="s">
        <v>85</v>
      </c>
      <c r="C277" s="443" t="s">
        <v>59</v>
      </c>
      <c r="D277" s="443">
        <v>3</v>
      </c>
      <c r="E277" s="443">
        <v>12</v>
      </c>
      <c r="F277" s="443">
        <v>33.26097826086955</v>
      </c>
    </row>
    <row r="278" spans="1:6" ht="12.75">
      <c r="A278" s="443" t="str">
        <f t="shared" si="4"/>
        <v>UT - Ogden</v>
      </c>
      <c r="B278" s="443" t="s">
        <v>84</v>
      </c>
      <c r="C278" s="443" t="s">
        <v>38</v>
      </c>
      <c r="D278" s="443">
        <v>1</v>
      </c>
      <c r="E278" s="443">
        <v>1</v>
      </c>
      <c r="F278" s="443">
        <v>36.57699999999998</v>
      </c>
    </row>
    <row r="279" spans="1:6" ht="12.75">
      <c r="A279" s="443">
        <f t="shared" si="4"/>
      </c>
      <c r="B279" s="443" t="s">
        <v>84</v>
      </c>
      <c r="C279" s="443" t="s">
        <v>38</v>
      </c>
      <c r="D279" s="443">
        <v>2</v>
      </c>
      <c r="E279" s="443">
        <v>2</v>
      </c>
      <c r="F279" s="443">
        <v>34.74274999999998</v>
      </c>
    </row>
    <row r="280" spans="1:6" ht="12.75">
      <c r="A280" s="443">
        <f t="shared" si="4"/>
      </c>
      <c r="B280" s="443" t="s">
        <v>84</v>
      </c>
      <c r="C280" s="443" t="s">
        <v>38</v>
      </c>
      <c r="D280" s="443">
        <v>3</v>
      </c>
      <c r="E280" s="443">
        <v>3</v>
      </c>
      <c r="F280" s="443">
        <v>30.31125</v>
      </c>
    </row>
    <row r="281" spans="1:6" ht="12.75">
      <c r="A281" s="443">
        <f t="shared" si="4"/>
      </c>
      <c r="B281" s="443" t="s">
        <v>84</v>
      </c>
      <c r="C281" s="443" t="s">
        <v>42</v>
      </c>
      <c r="D281" s="443">
        <v>1</v>
      </c>
      <c r="E281" s="443">
        <v>4</v>
      </c>
      <c r="F281" s="443">
        <v>63.77370879120881</v>
      </c>
    </row>
    <row r="282" spans="1:6" ht="12.75">
      <c r="A282" s="443">
        <f t="shared" si="4"/>
      </c>
      <c r="B282" s="443" t="s">
        <v>84</v>
      </c>
      <c r="C282" s="443" t="s">
        <v>42</v>
      </c>
      <c r="D282" s="443">
        <v>2</v>
      </c>
      <c r="E282" s="443">
        <v>5</v>
      </c>
      <c r="F282" s="443">
        <v>60.16208791208787</v>
      </c>
    </row>
    <row r="283" spans="1:6" ht="12.75">
      <c r="A283" s="443">
        <f t="shared" si="4"/>
      </c>
      <c r="B283" s="443" t="s">
        <v>84</v>
      </c>
      <c r="C283" s="443" t="s">
        <v>42</v>
      </c>
      <c r="D283" s="443">
        <v>3</v>
      </c>
      <c r="E283" s="443">
        <v>6</v>
      </c>
      <c r="F283" s="443">
        <v>51.215741758241734</v>
      </c>
    </row>
    <row r="284" spans="1:6" ht="12.75">
      <c r="A284" s="443">
        <f t="shared" si="4"/>
      </c>
      <c r="B284" s="443" t="s">
        <v>84</v>
      </c>
      <c r="C284" s="443" t="s">
        <v>48</v>
      </c>
      <c r="D284" s="443">
        <v>1</v>
      </c>
      <c r="E284" s="443">
        <v>7</v>
      </c>
      <c r="F284" s="443">
        <v>78.89709239130431</v>
      </c>
    </row>
    <row r="285" spans="1:6" ht="12.75">
      <c r="A285" s="443">
        <f t="shared" si="4"/>
      </c>
      <c r="B285" s="443" t="s">
        <v>84</v>
      </c>
      <c r="C285" s="443" t="s">
        <v>48</v>
      </c>
      <c r="D285" s="443">
        <v>2</v>
      </c>
      <c r="E285" s="443">
        <v>8</v>
      </c>
      <c r="F285" s="443">
        <v>74.17184782608692</v>
      </c>
    </row>
    <row r="286" spans="1:6" ht="12.75">
      <c r="A286" s="443">
        <f t="shared" si="4"/>
      </c>
      <c r="B286" s="443" t="s">
        <v>84</v>
      </c>
      <c r="C286" s="443" t="s">
        <v>48</v>
      </c>
      <c r="D286" s="443">
        <v>3</v>
      </c>
      <c r="E286" s="443">
        <v>9</v>
      </c>
      <c r="F286" s="443">
        <v>63.92480978260866</v>
      </c>
    </row>
    <row r="287" spans="1:6" ht="12.75">
      <c r="A287" s="443">
        <f t="shared" si="4"/>
      </c>
      <c r="B287" s="443" t="s">
        <v>84</v>
      </c>
      <c r="C287" s="443" t="s">
        <v>59</v>
      </c>
      <c r="D287" s="443">
        <v>1</v>
      </c>
      <c r="E287" s="443">
        <v>10</v>
      </c>
      <c r="F287" s="443">
        <v>43.71027173913055</v>
      </c>
    </row>
    <row r="288" spans="1:6" ht="12.75">
      <c r="A288" s="443">
        <f t="shared" si="4"/>
      </c>
      <c r="B288" s="443" t="s">
        <v>84</v>
      </c>
      <c r="C288" s="443" t="s">
        <v>59</v>
      </c>
      <c r="D288" s="443">
        <v>2</v>
      </c>
      <c r="E288" s="443">
        <v>11</v>
      </c>
      <c r="F288" s="443">
        <v>39.94567934782612</v>
      </c>
    </row>
    <row r="289" spans="1:6" ht="12.75">
      <c r="A289" s="443">
        <f t="shared" si="4"/>
      </c>
      <c r="B289" s="443" t="s">
        <v>84</v>
      </c>
      <c r="C289" s="443" t="s">
        <v>59</v>
      </c>
      <c r="D289" s="443">
        <v>3</v>
      </c>
      <c r="E289" s="443">
        <v>12</v>
      </c>
      <c r="F289" s="443">
        <v>36.4325</v>
      </c>
    </row>
    <row r="290" spans="1:6" ht="12.75">
      <c r="A290" s="443" t="str">
        <f t="shared" si="4"/>
        <v>UT - Moab</v>
      </c>
      <c r="B290" s="443" t="s">
        <v>83</v>
      </c>
      <c r="C290" s="443" t="s">
        <v>38</v>
      </c>
      <c r="D290" s="443">
        <v>1</v>
      </c>
      <c r="E290" s="443">
        <v>1</v>
      </c>
      <c r="F290" s="443">
        <v>44.87524999999998</v>
      </c>
    </row>
    <row r="291" spans="1:6" ht="12.75">
      <c r="A291" s="443">
        <f t="shared" si="4"/>
      </c>
      <c r="B291" s="443" t="s">
        <v>83</v>
      </c>
      <c r="C291" s="443" t="s">
        <v>38</v>
      </c>
      <c r="D291" s="443">
        <v>2</v>
      </c>
      <c r="E291" s="443">
        <v>2</v>
      </c>
      <c r="F291" s="443">
        <v>39.46375</v>
      </c>
    </row>
    <row r="292" spans="1:6" ht="12.75">
      <c r="A292" s="443">
        <f t="shared" si="4"/>
      </c>
      <c r="B292" s="443" t="s">
        <v>83</v>
      </c>
      <c r="C292" s="443" t="s">
        <v>38</v>
      </c>
      <c r="D292" s="443">
        <v>3</v>
      </c>
      <c r="E292" s="443">
        <v>3</v>
      </c>
      <c r="F292" s="443">
        <v>31.298499999999997</v>
      </c>
    </row>
    <row r="293" spans="1:6" ht="12.75">
      <c r="A293" s="443">
        <f t="shared" si="4"/>
      </c>
      <c r="B293" s="443" t="s">
        <v>83</v>
      </c>
      <c r="C293" s="443" t="s">
        <v>42</v>
      </c>
      <c r="D293" s="443">
        <v>1</v>
      </c>
      <c r="E293" s="443">
        <v>4</v>
      </c>
      <c r="F293" s="443">
        <v>72.82489010989012</v>
      </c>
    </row>
    <row r="294" spans="1:6" ht="12.75">
      <c r="A294" s="443">
        <f t="shared" si="4"/>
      </c>
      <c r="B294" s="443" t="s">
        <v>83</v>
      </c>
      <c r="C294" s="443" t="s">
        <v>42</v>
      </c>
      <c r="D294" s="443">
        <v>2</v>
      </c>
      <c r="E294" s="443">
        <v>5</v>
      </c>
      <c r="F294" s="443">
        <v>66.87203296703291</v>
      </c>
    </row>
    <row r="295" spans="1:6" ht="12.75">
      <c r="A295" s="443">
        <f t="shared" si="4"/>
      </c>
      <c r="B295" s="443" t="s">
        <v>83</v>
      </c>
      <c r="C295" s="443" t="s">
        <v>42</v>
      </c>
      <c r="D295" s="443">
        <v>3</v>
      </c>
      <c r="E295" s="443">
        <v>6</v>
      </c>
      <c r="F295" s="443">
        <v>56.596950549450575</v>
      </c>
    </row>
    <row r="296" spans="1:6" ht="12.75">
      <c r="A296" s="443">
        <f t="shared" si="4"/>
      </c>
      <c r="B296" s="443" t="s">
        <v>83</v>
      </c>
      <c r="C296" s="443" t="s">
        <v>48</v>
      </c>
      <c r="D296" s="443">
        <v>1</v>
      </c>
      <c r="E296" s="443">
        <v>7</v>
      </c>
      <c r="F296" s="443">
        <v>83.45554347826089</v>
      </c>
    </row>
    <row r="297" spans="1:6" ht="12.75">
      <c r="A297" s="443">
        <f t="shared" si="4"/>
      </c>
      <c r="B297" s="443" t="s">
        <v>83</v>
      </c>
      <c r="C297" s="443" t="s">
        <v>48</v>
      </c>
      <c r="D297" s="443">
        <v>2</v>
      </c>
      <c r="E297" s="443">
        <v>8</v>
      </c>
      <c r="F297" s="443">
        <v>76.90290760869567</v>
      </c>
    </row>
    <row r="298" spans="1:6" ht="12.75">
      <c r="A298" s="443">
        <f t="shared" si="4"/>
      </c>
      <c r="B298" s="443" t="s">
        <v>83</v>
      </c>
      <c r="C298" s="443" t="s">
        <v>48</v>
      </c>
      <c r="D298" s="443">
        <v>3</v>
      </c>
      <c r="E298" s="443">
        <v>9</v>
      </c>
      <c r="F298" s="443">
        <v>65.90994565217389</v>
      </c>
    </row>
    <row r="299" spans="1:6" ht="12.75">
      <c r="A299" s="443">
        <f t="shared" si="4"/>
      </c>
      <c r="B299" s="443" t="s">
        <v>83</v>
      </c>
      <c r="C299" s="443" t="s">
        <v>59</v>
      </c>
      <c r="D299" s="443">
        <v>1</v>
      </c>
      <c r="E299" s="443">
        <v>10</v>
      </c>
      <c r="F299" s="443">
        <v>46.99918478260878</v>
      </c>
    </row>
    <row r="300" spans="1:6" ht="12.75">
      <c r="A300" s="443">
        <f t="shared" si="4"/>
      </c>
      <c r="B300" s="443" t="s">
        <v>83</v>
      </c>
      <c r="C300" s="443" t="s">
        <v>59</v>
      </c>
      <c r="D300" s="443">
        <v>2</v>
      </c>
      <c r="E300" s="443">
        <v>11</v>
      </c>
      <c r="F300" s="443">
        <v>39.889673913043524</v>
      </c>
    </row>
    <row r="301" spans="1:6" ht="12.75">
      <c r="A301" s="443">
        <f t="shared" si="4"/>
      </c>
      <c r="B301" s="443" t="s">
        <v>83</v>
      </c>
      <c r="C301" s="443" t="s">
        <v>59</v>
      </c>
      <c r="D301" s="443">
        <v>3</v>
      </c>
      <c r="E301" s="443">
        <v>12</v>
      </c>
      <c r="F301" s="443">
        <v>33.06752717391308</v>
      </c>
    </row>
    <row r="302" spans="1:6" ht="12.75">
      <c r="A302" s="443" t="str">
        <f t="shared" si="4"/>
        <v>UT - Hanksville</v>
      </c>
      <c r="B302" s="443" t="s">
        <v>81</v>
      </c>
      <c r="C302" s="443" t="s">
        <v>38</v>
      </c>
      <c r="D302" s="443">
        <v>1</v>
      </c>
      <c r="E302" s="443">
        <v>1</v>
      </c>
      <c r="F302" s="443">
        <v>44.765999999999984</v>
      </c>
    </row>
    <row r="303" spans="1:6" ht="12.75">
      <c r="A303" s="443">
        <f t="shared" si="4"/>
      </c>
      <c r="B303" s="443" t="s">
        <v>81</v>
      </c>
      <c r="C303" s="443" t="s">
        <v>38</v>
      </c>
      <c r="D303" s="443">
        <v>2</v>
      </c>
      <c r="E303" s="443">
        <v>2</v>
      </c>
      <c r="F303" s="443">
        <v>40.81200000000001</v>
      </c>
    </row>
    <row r="304" spans="1:6" ht="12.75">
      <c r="A304" s="443">
        <f t="shared" si="4"/>
      </c>
      <c r="B304" s="443" t="s">
        <v>81</v>
      </c>
      <c r="C304" s="443" t="s">
        <v>38</v>
      </c>
      <c r="D304" s="443">
        <v>3</v>
      </c>
      <c r="E304" s="443">
        <v>3</v>
      </c>
      <c r="F304" s="443">
        <v>29.3675</v>
      </c>
    </row>
    <row r="305" spans="1:6" ht="12.75">
      <c r="A305" s="443">
        <f t="shared" si="4"/>
      </c>
      <c r="B305" s="443" t="s">
        <v>81</v>
      </c>
      <c r="C305" s="443" t="s">
        <v>42</v>
      </c>
      <c r="D305" s="443">
        <v>1</v>
      </c>
      <c r="E305" s="443">
        <v>4</v>
      </c>
      <c r="F305" s="443">
        <v>70.65178571428574</v>
      </c>
    </row>
    <row r="306" spans="1:6" ht="12.75">
      <c r="A306" s="443">
        <f t="shared" si="4"/>
      </c>
      <c r="B306" s="443" t="s">
        <v>81</v>
      </c>
      <c r="C306" s="443" t="s">
        <v>42</v>
      </c>
      <c r="D306" s="443">
        <v>2</v>
      </c>
      <c r="E306" s="443">
        <v>5</v>
      </c>
      <c r="F306" s="443">
        <v>65.94335164835167</v>
      </c>
    </row>
    <row r="307" spans="1:6" ht="12.75">
      <c r="A307" s="443">
        <f t="shared" si="4"/>
      </c>
      <c r="B307" s="443" t="s">
        <v>81</v>
      </c>
      <c r="C307" s="443" t="s">
        <v>42</v>
      </c>
      <c r="D307" s="443">
        <v>3</v>
      </c>
      <c r="E307" s="443">
        <v>6</v>
      </c>
      <c r="F307" s="443">
        <v>52.05912087912092</v>
      </c>
    </row>
    <row r="308" spans="1:6" ht="12.75">
      <c r="A308" s="443">
        <f t="shared" si="4"/>
      </c>
      <c r="B308" s="443" t="s">
        <v>81</v>
      </c>
      <c r="C308" s="443" t="s">
        <v>48</v>
      </c>
      <c r="D308" s="443">
        <v>1</v>
      </c>
      <c r="E308" s="443">
        <v>7</v>
      </c>
      <c r="F308" s="443">
        <v>86.92959239130427</v>
      </c>
    </row>
    <row r="309" spans="1:6" ht="12.75">
      <c r="A309" s="443">
        <f t="shared" si="4"/>
      </c>
      <c r="B309" s="443" t="s">
        <v>81</v>
      </c>
      <c r="C309" s="443" t="s">
        <v>48</v>
      </c>
      <c r="D309" s="443">
        <v>2</v>
      </c>
      <c r="E309" s="443">
        <v>8</v>
      </c>
      <c r="F309" s="443">
        <v>80.43394021739117</v>
      </c>
    </row>
    <row r="310" spans="1:6" ht="12.75">
      <c r="A310" s="443">
        <f t="shared" si="4"/>
      </c>
      <c r="B310" s="443" t="s">
        <v>81</v>
      </c>
      <c r="C310" s="443" t="s">
        <v>48</v>
      </c>
      <c r="D310" s="443">
        <v>3</v>
      </c>
      <c r="E310" s="443">
        <v>9</v>
      </c>
      <c r="F310" s="443">
        <v>63.961983695652286</v>
      </c>
    </row>
    <row r="311" spans="1:6" ht="12.75">
      <c r="A311" s="443">
        <f t="shared" si="4"/>
      </c>
      <c r="B311" s="443" t="s">
        <v>81</v>
      </c>
      <c r="C311" s="443" t="s">
        <v>59</v>
      </c>
      <c r="D311" s="443">
        <v>1</v>
      </c>
      <c r="E311" s="443">
        <v>10</v>
      </c>
      <c r="F311" s="443">
        <v>47.206576086956524</v>
      </c>
    </row>
    <row r="312" spans="1:6" ht="12.75">
      <c r="A312" s="443">
        <f t="shared" si="4"/>
      </c>
      <c r="B312" s="443" t="s">
        <v>81</v>
      </c>
      <c r="C312" s="443" t="s">
        <v>59</v>
      </c>
      <c r="D312" s="443">
        <v>2</v>
      </c>
      <c r="E312" s="443">
        <v>11</v>
      </c>
      <c r="F312" s="443">
        <v>40.30885869565213</v>
      </c>
    </row>
    <row r="313" spans="1:6" ht="12.75">
      <c r="A313" s="443">
        <f t="shared" si="4"/>
      </c>
      <c r="B313" s="443" t="s">
        <v>81</v>
      </c>
      <c r="C313" s="443" t="s">
        <v>59</v>
      </c>
      <c r="D313" s="443">
        <v>3</v>
      </c>
      <c r="E313" s="443">
        <v>12</v>
      </c>
      <c r="F313" s="443">
        <v>31.68377717391307</v>
      </c>
    </row>
    <row r="314" spans="1:6" ht="12.75">
      <c r="A314" s="443" t="str">
        <f t="shared" si="4"/>
        <v>UT - Delta</v>
      </c>
      <c r="B314" s="443" t="s">
        <v>80</v>
      </c>
      <c r="C314" s="443" t="s">
        <v>38</v>
      </c>
      <c r="D314" s="443">
        <v>1</v>
      </c>
      <c r="E314" s="443">
        <v>1</v>
      </c>
      <c r="F314" s="443">
        <v>43.82849999999998</v>
      </c>
    </row>
    <row r="315" spans="1:6" ht="12.75">
      <c r="A315" s="443">
        <f t="shared" si="4"/>
      </c>
      <c r="B315" s="443" t="s">
        <v>80</v>
      </c>
      <c r="C315" s="443" t="s">
        <v>38</v>
      </c>
      <c r="D315" s="443">
        <v>2</v>
      </c>
      <c r="E315" s="443">
        <v>2</v>
      </c>
      <c r="F315" s="443">
        <v>39.49375</v>
      </c>
    </row>
    <row r="316" spans="1:6" ht="12.75">
      <c r="A316" s="443">
        <f t="shared" si="4"/>
      </c>
      <c r="B316" s="443" t="s">
        <v>80</v>
      </c>
      <c r="C316" s="443" t="s">
        <v>38</v>
      </c>
      <c r="D316" s="443">
        <v>3</v>
      </c>
      <c r="E316" s="443">
        <v>3</v>
      </c>
      <c r="F316" s="443">
        <v>31.40400000000002</v>
      </c>
    </row>
    <row r="317" spans="1:6" ht="12.75">
      <c r="A317" s="443">
        <f t="shared" si="4"/>
      </c>
      <c r="B317" s="443" t="s">
        <v>80</v>
      </c>
      <c r="C317" s="443" t="s">
        <v>42</v>
      </c>
      <c r="D317" s="443">
        <v>1</v>
      </c>
      <c r="E317" s="443">
        <v>4</v>
      </c>
      <c r="F317" s="443">
        <v>63.968791208791224</v>
      </c>
    </row>
    <row r="318" spans="1:6" ht="12.75">
      <c r="A318" s="443">
        <f t="shared" si="4"/>
      </c>
      <c r="B318" s="443" t="s">
        <v>80</v>
      </c>
      <c r="C318" s="443" t="s">
        <v>42</v>
      </c>
      <c r="D318" s="443">
        <v>2</v>
      </c>
      <c r="E318" s="443">
        <v>5</v>
      </c>
      <c r="F318" s="443">
        <v>56.9102197802197</v>
      </c>
    </row>
    <row r="319" spans="1:6" ht="12.75">
      <c r="A319" s="443">
        <f t="shared" si="4"/>
      </c>
      <c r="B319" s="443" t="s">
        <v>80</v>
      </c>
      <c r="C319" s="443" t="s">
        <v>42</v>
      </c>
      <c r="D319" s="443">
        <v>3</v>
      </c>
      <c r="E319" s="443">
        <v>6</v>
      </c>
      <c r="F319" s="443">
        <v>46.062005494505506</v>
      </c>
    </row>
    <row r="320" spans="1:6" ht="12.75">
      <c r="A320" s="443">
        <f t="shared" si="4"/>
      </c>
      <c r="B320" s="443" t="s">
        <v>80</v>
      </c>
      <c r="C320" s="443" t="s">
        <v>48</v>
      </c>
      <c r="D320" s="443">
        <v>1</v>
      </c>
      <c r="E320" s="443">
        <v>7</v>
      </c>
      <c r="F320" s="443">
        <v>80.93603260869565</v>
      </c>
    </row>
    <row r="321" spans="1:6" ht="12.75">
      <c r="A321" s="443">
        <f t="shared" si="4"/>
      </c>
      <c r="B321" s="443" t="s">
        <v>80</v>
      </c>
      <c r="C321" s="443" t="s">
        <v>48</v>
      </c>
      <c r="D321" s="443">
        <v>2</v>
      </c>
      <c r="E321" s="443">
        <v>8</v>
      </c>
      <c r="F321" s="443">
        <v>72.83603260869562</v>
      </c>
    </row>
    <row r="322" spans="1:6" ht="12.75">
      <c r="A322" s="443">
        <f t="shared" si="4"/>
      </c>
      <c r="B322" s="443" t="s">
        <v>80</v>
      </c>
      <c r="C322" s="443" t="s">
        <v>48</v>
      </c>
      <c r="D322" s="443">
        <v>3</v>
      </c>
      <c r="E322" s="443">
        <v>9</v>
      </c>
      <c r="F322" s="443">
        <v>58.43114130434785</v>
      </c>
    </row>
    <row r="323" spans="1:6" ht="12.75">
      <c r="A323" s="443">
        <f aca="true" t="shared" si="5" ref="A323:A386">IF(B323=B322,"",B323)</f>
      </c>
      <c r="B323" s="443" t="s">
        <v>80</v>
      </c>
      <c r="C323" s="443" t="s">
        <v>59</v>
      </c>
      <c r="D323" s="443">
        <v>1</v>
      </c>
      <c r="E323" s="443">
        <v>10</v>
      </c>
      <c r="F323" s="443">
        <v>45.407065217391334</v>
      </c>
    </row>
    <row r="324" spans="1:6" ht="12.75">
      <c r="A324" s="443">
        <f t="shared" si="5"/>
      </c>
      <c r="B324" s="443" t="s">
        <v>80</v>
      </c>
      <c r="C324" s="443" t="s">
        <v>59</v>
      </c>
      <c r="D324" s="443">
        <v>2</v>
      </c>
      <c r="E324" s="443">
        <v>11</v>
      </c>
      <c r="F324" s="443">
        <v>38.43304347826092</v>
      </c>
    </row>
    <row r="325" spans="1:6" ht="12.75">
      <c r="A325" s="443">
        <f t="shared" si="5"/>
      </c>
      <c r="B325" s="443" t="s">
        <v>80</v>
      </c>
      <c r="C325" s="443" t="s">
        <v>59</v>
      </c>
      <c r="D325" s="443">
        <v>3</v>
      </c>
      <c r="E325" s="443">
        <v>12</v>
      </c>
      <c r="F325" s="443">
        <v>29.513260869565226</v>
      </c>
    </row>
    <row r="326" spans="1:6" ht="12.75">
      <c r="A326" s="443" t="str">
        <f t="shared" si="5"/>
        <v>WY - Cody</v>
      </c>
      <c r="B326" s="443" t="s">
        <v>111</v>
      </c>
      <c r="C326" s="443" t="s">
        <v>38</v>
      </c>
      <c r="D326" s="443">
        <v>1</v>
      </c>
      <c r="E326" s="443">
        <v>1</v>
      </c>
      <c r="F326" s="443">
        <v>36.91075</v>
      </c>
    </row>
    <row r="327" spans="1:6" ht="12.75">
      <c r="A327" s="443">
        <f t="shared" si="5"/>
      </c>
      <c r="B327" s="443" t="s">
        <v>111</v>
      </c>
      <c r="C327" s="443" t="s">
        <v>38</v>
      </c>
      <c r="D327" s="443">
        <v>2</v>
      </c>
      <c r="E327" s="443">
        <v>2</v>
      </c>
      <c r="F327" s="443">
        <v>30.95649999999996</v>
      </c>
    </row>
    <row r="328" spans="1:6" ht="12.75">
      <c r="A328" s="443">
        <f t="shared" si="5"/>
      </c>
      <c r="B328" s="443" t="s">
        <v>111</v>
      </c>
      <c r="C328" s="443" t="s">
        <v>38</v>
      </c>
      <c r="D328" s="443">
        <v>3</v>
      </c>
      <c r="E328" s="443">
        <v>3</v>
      </c>
      <c r="F328" s="443">
        <v>26.37174999999997</v>
      </c>
    </row>
    <row r="329" spans="1:6" ht="12.75">
      <c r="A329" s="443">
        <f t="shared" si="5"/>
      </c>
      <c r="B329" s="443" t="s">
        <v>111</v>
      </c>
      <c r="C329" s="443" t="s">
        <v>42</v>
      </c>
      <c r="D329" s="443">
        <v>1</v>
      </c>
      <c r="E329" s="443">
        <v>4</v>
      </c>
      <c r="F329" s="443">
        <v>58.82791208791212</v>
      </c>
    </row>
    <row r="330" spans="1:6" ht="12.75">
      <c r="A330" s="443">
        <f t="shared" si="5"/>
      </c>
      <c r="B330" s="443" t="s">
        <v>111</v>
      </c>
      <c r="C330" s="443" t="s">
        <v>42</v>
      </c>
      <c r="D330" s="443">
        <v>2</v>
      </c>
      <c r="E330" s="443">
        <v>5</v>
      </c>
      <c r="F330" s="443">
        <v>53.494175824175805</v>
      </c>
    </row>
    <row r="331" spans="1:6" ht="12.75">
      <c r="A331" s="443">
        <f t="shared" si="5"/>
      </c>
      <c r="B331" s="443" t="s">
        <v>111</v>
      </c>
      <c r="C331" s="443" t="s">
        <v>42</v>
      </c>
      <c r="D331" s="443">
        <v>3</v>
      </c>
      <c r="E331" s="443">
        <v>6</v>
      </c>
      <c r="F331" s="443">
        <v>46.09760989010991</v>
      </c>
    </row>
    <row r="332" spans="1:6" ht="12.75">
      <c r="A332" s="443">
        <f t="shared" si="5"/>
      </c>
      <c r="B332" s="443" t="s">
        <v>111</v>
      </c>
      <c r="C332" s="443" t="s">
        <v>48</v>
      </c>
      <c r="D332" s="443">
        <v>1</v>
      </c>
      <c r="E332" s="443">
        <v>7</v>
      </c>
      <c r="F332" s="443">
        <v>73.97668478260863</v>
      </c>
    </row>
    <row r="333" spans="1:6" ht="12.75">
      <c r="A333" s="443">
        <f t="shared" si="5"/>
      </c>
      <c r="B333" s="443" t="s">
        <v>111</v>
      </c>
      <c r="C333" s="443" t="s">
        <v>48</v>
      </c>
      <c r="D333" s="443">
        <v>2</v>
      </c>
      <c r="E333" s="443">
        <v>8</v>
      </c>
      <c r="F333" s="443">
        <v>67.18877717391308</v>
      </c>
    </row>
    <row r="334" spans="1:6" ht="12.75">
      <c r="A334" s="443">
        <f t="shared" si="5"/>
      </c>
      <c r="B334" s="443" t="s">
        <v>111</v>
      </c>
      <c r="C334" s="443" t="s">
        <v>48</v>
      </c>
      <c r="D334" s="443">
        <v>3</v>
      </c>
      <c r="E334" s="443">
        <v>9</v>
      </c>
      <c r="F334" s="443">
        <v>58.51502717391303</v>
      </c>
    </row>
    <row r="335" spans="1:6" ht="12.75">
      <c r="A335" s="443">
        <f t="shared" si="5"/>
      </c>
      <c r="B335" s="443" t="s">
        <v>111</v>
      </c>
      <c r="C335" s="443" t="s">
        <v>59</v>
      </c>
      <c r="D335" s="443">
        <v>1</v>
      </c>
      <c r="E335" s="443">
        <v>10</v>
      </c>
      <c r="F335" s="443">
        <v>41.29103260869559</v>
      </c>
    </row>
    <row r="336" spans="1:6" ht="12.75">
      <c r="A336" s="443">
        <f t="shared" si="5"/>
      </c>
      <c r="B336" s="443" t="s">
        <v>111</v>
      </c>
      <c r="C336" s="443" t="s">
        <v>59</v>
      </c>
      <c r="D336" s="443">
        <v>2</v>
      </c>
      <c r="E336" s="443">
        <v>11</v>
      </c>
      <c r="F336" s="443">
        <v>35.269103260869535</v>
      </c>
    </row>
    <row r="337" spans="1:6" ht="12.75">
      <c r="A337" s="443">
        <f t="shared" si="5"/>
      </c>
      <c r="B337" s="443" t="s">
        <v>111</v>
      </c>
      <c r="C337" s="443" t="s">
        <v>59</v>
      </c>
      <c r="D337" s="443">
        <v>3</v>
      </c>
      <c r="E337" s="443">
        <v>12</v>
      </c>
      <c r="F337" s="443">
        <v>33.60141304347824</v>
      </c>
    </row>
    <row r="338" spans="1:6" ht="12.75">
      <c r="A338" s="443" t="str">
        <f t="shared" si="5"/>
        <v>WY - Casper</v>
      </c>
      <c r="B338" s="443" t="s">
        <v>108</v>
      </c>
      <c r="C338" s="443" t="s">
        <v>38</v>
      </c>
      <c r="D338" s="443">
        <v>1</v>
      </c>
      <c r="E338" s="443">
        <v>1</v>
      </c>
      <c r="F338" s="443">
        <v>32.06125</v>
      </c>
    </row>
    <row r="339" spans="1:6" ht="12.75">
      <c r="A339" s="443">
        <f t="shared" si="5"/>
      </c>
      <c r="B339" s="443" t="s">
        <v>108</v>
      </c>
      <c r="C339" s="443" t="s">
        <v>38</v>
      </c>
      <c r="D339" s="443">
        <v>2</v>
      </c>
      <c r="E339" s="443">
        <v>2</v>
      </c>
      <c r="F339" s="443">
        <v>26.828500000000012</v>
      </c>
    </row>
    <row r="340" spans="1:6" ht="12.75">
      <c r="A340" s="443">
        <f t="shared" si="5"/>
      </c>
      <c r="B340" s="443" t="s">
        <v>108</v>
      </c>
      <c r="C340" s="443" t="s">
        <v>38</v>
      </c>
      <c r="D340" s="443">
        <v>3</v>
      </c>
      <c r="E340" s="443">
        <v>3</v>
      </c>
      <c r="F340" s="443">
        <v>21.989000000000008</v>
      </c>
    </row>
    <row r="341" spans="1:6" ht="12.75">
      <c r="A341" s="443">
        <f t="shared" si="5"/>
      </c>
      <c r="B341" s="443" t="s">
        <v>108</v>
      </c>
      <c r="C341" s="443" t="s">
        <v>42</v>
      </c>
      <c r="D341" s="443">
        <v>1</v>
      </c>
      <c r="E341" s="443">
        <v>4</v>
      </c>
      <c r="F341" s="443">
        <v>60.726318681318695</v>
      </c>
    </row>
    <row r="342" spans="1:6" ht="12.75">
      <c r="A342" s="443">
        <f t="shared" si="5"/>
      </c>
      <c r="B342" s="443" t="s">
        <v>108</v>
      </c>
      <c r="C342" s="443" t="s">
        <v>42</v>
      </c>
      <c r="D342" s="443">
        <v>2</v>
      </c>
      <c r="E342" s="443">
        <v>5</v>
      </c>
      <c r="F342" s="443">
        <v>52.939340659340644</v>
      </c>
    </row>
    <row r="343" spans="1:6" ht="12.75">
      <c r="A343" s="443">
        <f t="shared" si="5"/>
      </c>
      <c r="B343" s="443" t="s">
        <v>108</v>
      </c>
      <c r="C343" s="443" t="s">
        <v>42</v>
      </c>
      <c r="D343" s="443">
        <v>3</v>
      </c>
      <c r="E343" s="443">
        <v>6</v>
      </c>
      <c r="F343" s="443">
        <v>43.97568681318681</v>
      </c>
    </row>
    <row r="344" spans="1:6" ht="12.75">
      <c r="A344" s="443">
        <f t="shared" si="5"/>
      </c>
      <c r="B344" s="443" t="s">
        <v>108</v>
      </c>
      <c r="C344" s="443" t="s">
        <v>48</v>
      </c>
      <c r="D344" s="443">
        <v>1</v>
      </c>
      <c r="E344" s="443">
        <v>7</v>
      </c>
      <c r="F344" s="443">
        <v>77.50135869565223</v>
      </c>
    </row>
    <row r="345" spans="1:6" ht="12.75">
      <c r="A345" s="443">
        <f t="shared" si="5"/>
      </c>
      <c r="B345" s="443" t="s">
        <v>108</v>
      </c>
      <c r="C345" s="443" t="s">
        <v>48</v>
      </c>
      <c r="D345" s="443">
        <v>2</v>
      </c>
      <c r="E345" s="443">
        <v>8</v>
      </c>
      <c r="F345" s="443">
        <v>67.35557065217392</v>
      </c>
    </row>
    <row r="346" spans="1:6" ht="12.75">
      <c r="A346" s="443">
        <f t="shared" si="5"/>
      </c>
      <c r="B346" s="443" t="s">
        <v>108</v>
      </c>
      <c r="C346" s="443" t="s">
        <v>48</v>
      </c>
      <c r="D346" s="443">
        <v>3</v>
      </c>
      <c r="E346" s="443">
        <v>9</v>
      </c>
      <c r="F346" s="443">
        <v>56.32274456521746</v>
      </c>
    </row>
    <row r="347" spans="1:6" ht="12.75">
      <c r="A347" s="443">
        <f t="shared" si="5"/>
      </c>
      <c r="B347" s="443" t="s">
        <v>108</v>
      </c>
      <c r="C347" s="443" t="s">
        <v>59</v>
      </c>
      <c r="D347" s="443">
        <v>1</v>
      </c>
      <c r="E347" s="443">
        <v>10</v>
      </c>
      <c r="F347" s="443">
        <v>42.97241847826088</v>
      </c>
    </row>
    <row r="348" spans="1:6" ht="12.75">
      <c r="A348" s="443">
        <f t="shared" si="5"/>
      </c>
      <c r="B348" s="443" t="s">
        <v>108</v>
      </c>
      <c r="C348" s="443" t="s">
        <v>59</v>
      </c>
      <c r="D348" s="443">
        <v>2</v>
      </c>
      <c r="E348" s="443">
        <v>11</v>
      </c>
      <c r="F348" s="443">
        <v>36.127771739130424</v>
      </c>
    </row>
    <row r="349" spans="1:6" ht="12.75">
      <c r="A349" s="443">
        <f t="shared" si="5"/>
      </c>
      <c r="B349" s="443" t="s">
        <v>108</v>
      </c>
      <c r="C349" s="443" t="s">
        <v>59</v>
      </c>
      <c r="D349" s="443">
        <v>3</v>
      </c>
      <c r="E349" s="443">
        <v>12</v>
      </c>
      <c r="F349" s="443">
        <v>31.254076086956527</v>
      </c>
    </row>
    <row r="350" spans="1:6" ht="12.75">
      <c r="A350" s="443" t="str">
        <f t="shared" si="5"/>
        <v>WA - Yakima</v>
      </c>
      <c r="B350" s="443" t="s">
        <v>107</v>
      </c>
      <c r="C350" s="443" t="s">
        <v>38</v>
      </c>
      <c r="D350" s="443">
        <v>1</v>
      </c>
      <c r="E350" s="443">
        <v>1</v>
      </c>
      <c r="F350" s="443">
        <v>41.849749999999986</v>
      </c>
    </row>
    <row r="351" spans="1:6" ht="12.75">
      <c r="A351" s="443">
        <f t="shared" si="5"/>
      </c>
      <c r="B351" s="443" t="s">
        <v>107</v>
      </c>
      <c r="C351" s="443" t="s">
        <v>38</v>
      </c>
      <c r="D351" s="443">
        <v>2</v>
      </c>
      <c r="E351" s="443">
        <v>2</v>
      </c>
      <c r="F351" s="443">
        <v>36.20625</v>
      </c>
    </row>
    <row r="352" spans="1:6" ht="12.75">
      <c r="A352" s="443">
        <f t="shared" si="5"/>
      </c>
      <c r="B352" s="443" t="s">
        <v>107</v>
      </c>
      <c r="C352" s="443" t="s">
        <v>38</v>
      </c>
      <c r="D352" s="443">
        <v>3</v>
      </c>
      <c r="E352" s="443">
        <v>3</v>
      </c>
      <c r="F352" s="443">
        <v>30.5575</v>
      </c>
    </row>
    <row r="353" spans="1:6" ht="12.75">
      <c r="A353" s="443">
        <f t="shared" si="5"/>
      </c>
      <c r="B353" s="443" t="s">
        <v>107</v>
      </c>
      <c r="C353" s="443" t="s">
        <v>42</v>
      </c>
      <c r="D353" s="443">
        <v>1</v>
      </c>
      <c r="E353" s="443">
        <v>4</v>
      </c>
      <c r="F353" s="443">
        <v>67.83310439560437</v>
      </c>
    </row>
    <row r="354" spans="1:6" ht="12.75">
      <c r="A354" s="443">
        <f t="shared" si="5"/>
      </c>
      <c r="B354" s="443" t="s">
        <v>107</v>
      </c>
      <c r="C354" s="443" t="s">
        <v>42</v>
      </c>
      <c r="D354" s="443">
        <v>2</v>
      </c>
      <c r="E354" s="443">
        <v>5</v>
      </c>
      <c r="F354" s="443">
        <v>59.6075</v>
      </c>
    </row>
    <row r="355" spans="1:6" ht="12.75">
      <c r="A355" s="443">
        <f t="shared" si="5"/>
      </c>
      <c r="B355" s="443" t="s">
        <v>107</v>
      </c>
      <c r="C355" s="443" t="s">
        <v>42</v>
      </c>
      <c r="D355" s="443">
        <v>3</v>
      </c>
      <c r="E355" s="443">
        <v>6</v>
      </c>
      <c r="F355" s="443">
        <v>49.50178571428573</v>
      </c>
    </row>
    <row r="356" spans="1:6" ht="12.75">
      <c r="A356" s="443">
        <f t="shared" si="5"/>
      </c>
      <c r="B356" s="443" t="s">
        <v>107</v>
      </c>
      <c r="C356" s="443" t="s">
        <v>48</v>
      </c>
      <c r="D356" s="443">
        <v>1</v>
      </c>
      <c r="E356" s="443">
        <v>7</v>
      </c>
      <c r="F356" s="443">
        <v>76.92345108695649</v>
      </c>
    </row>
    <row r="357" spans="1:6" ht="12.75">
      <c r="A357" s="443">
        <f t="shared" si="5"/>
      </c>
      <c r="B357" s="443" t="s">
        <v>107</v>
      </c>
      <c r="C357" s="443" t="s">
        <v>48</v>
      </c>
      <c r="D357" s="443">
        <v>2</v>
      </c>
      <c r="E357" s="443">
        <v>8</v>
      </c>
      <c r="F357" s="443">
        <v>67.14524456521744</v>
      </c>
    </row>
    <row r="358" spans="1:6" ht="12.75">
      <c r="A358" s="443">
        <f t="shared" si="5"/>
      </c>
      <c r="B358" s="443" t="s">
        <v>107</v>
      </c>
      <c r="C358" s="443" t="s">
        <v>48</v>
      </c>
      <c r="D358" s="443">
        <v>3</v>
      </c>
      <c r="E358" s="443">
        <v>9</v>
      </c>
      <c r="F358" s="443">
        <v>55.87788043478254</v>
      </c>
    </row>
    <row r="359" spans="1:6" ht="12.75">
      <c r="A359" s="443">
        <f t="shared" si="5"/>
      </c>
      <c r="B359" s="443" t="s">
        <v>107</v>
      </c>
      <c r="C359" s="443" t="s">
        <v>59</v>
      </c>
      <c r="D359" s="443">
        <v>1</v>
      </c>
      <c r="E359" s="443">
        <v>10</v>
      </c>
      <c r="F359" s="443">
        <v>44.00375</v>
      </c>
    </row>
    <row r="360" spans="1:6" ht="12.75">
      <c r="A360" s="443">
        <f t="shared" si="5"/>
      </c>
      <c r="B360" s="443" t="s">
        <v>107</v>
      </c>
      <c r="C360" s="443" t="s">
        <v>59</v>
      </c>
      <c r="D360" s="443">
        <v>2</v>
      </c>
      <c r="E360" s="443">
        <v>11</v>
      </c>
      <c r="F360" s="443">
        <v>36.83603260869568</v>
      </c>
    </row>
    <row r="361" spans="1:6" ht="12.75">
      <c r="A361" s="443">
        <f t="shared" si="5"/>
      </c>
      <c r="B361" s="443" t="s">
        <v>107</v>
      </c>
      <c r="C361" s="443" t="s">
        <v>59</v>
      </c>
      <c r="D361" s="443">
        <v>3</v>
      </c>
      <c r="E361" s="443">
        <v>12</v>
      </c>
      <c r="F361" s="443">
        <v>32.39350543478262</v>
      </c>
    </row>
    <row r="362" spans="1:6" ht="12.75">
      <c r="A362" s="443" t="str">
        <f t="shared" si="5"/>
        <v>WA - Wenatchee</v>
      </c>
      <c r="B362" s="443" t="s">
        <v>106</v>
      </c>
      <c r="C362" s="443" t="s">
        <v>38</v>
      </c>
      <c r="D362" s="443">
        <v>1</v>
      </c>
      <c r="E362" s="443">
        <v>1</v>
      </c>
      <c r="F362" s="443">
        <v>37.48474999999994</v>
      </c>
    </row>
    <row r="363" spans="1:6" ht="12.75">
      <c r="A363" s="443">
        <f t="shared" si="5"/>
      </c>
      <c r="B363" s="443" t="s">
        <v>106</v>
      </c>
      <c r="C363" s="443" t="s">
        <v>38</v>
      </c>
      <c r="D363" s="443">
        <v>2</v>
      </c>
      <c r="E363" s="443">
        <v>2</v>
      </c>
      <c r="F363" s="443">
        <v>35.343249999999955</v>
      </c>
    </row>
    <row r="364" spans="1:6" ht="12.75">
      <c r="A364" s="443">
        <f t="shared" si="5"/>
      </c>
      <c r="B364" s="443" t="s">
        <v>106</v>
      </c>
      <c r="C364" s="443" t="s">
        <v>38</v>
      </c>
      <c r="D364" s="443">
        <v>3</v>
      </c>
      <c r="E364" s="443">
        <v>3</v>
      </c>
      <c r="F364" s="443">
        <v>31.71274999999993</v>
      </c>
    </row>
    <row r="365" spans="1:6" ht="12.75">
      <c r="A365" s="443">
        <f t="shared" si="5"/>
      </c>
      <c r="B365" s="443" t="s">
        <v>106</v>
      </c>
      <c r="C365" s="443" t="s">
        <v>42</v>
      </c>
      <c r="D365" s="443">
        <v>1</v>
      </c>
      <c r="E365" s="443">
        <v>4</v>
      </c>
      <c r="F365" s="443">
        <v>66.6776923076923</v>
      </c>
    </row>
    <row r="366" spans="1:6" ht="12.75">
      <c r="A366" s="443">
        <f t="shared" si="5"/>
      </c>
      <c r="B366" s="443" t="s">
        <v>106</v>
      </c>
      <c r="C366" s="443" t="s">
        <v>42</v>
      </c>
      <c r="D366" s="443">
        <v>2</v>
      </c>
      <c r="E366" s="443">
        <v>5</v>
      </c>
      <c r="F366" s="443">
        <v>61.74203296703303</v>
      </c>
    </row>
    <row r="367" spans="1:6" ht="12.75">
      <c r="A367" s="443">
        <f t="shared" si="5"/>
      </c>
      <c r="B367" s="443" t="s">
        <v>106</v>
      </c>
      <c r="C367" s="443" t="s">
        <v>42</v>
      </c>
      <c r="D367" s="443">
        <v>3</v>
      </c>
      <c r="E367" s="443">
        <v>6</v>
      </c>
      <c r="F367" s="443">
        <v>52.74376373626365</v>
      </c>
    </row>
    <row r="368" spans="1:6" ht="12.75">
      <c r="A368" s="443">
        <f t="shared" si="5"/>
      </c>
      <c r="B368" s="443" t="s">
        <v>106</v>
      </c>
      <c r="C368" s="443" t="s">
        <v>48</v>
      </c>
      <c r="D368" s="443">
        <v>1</v>
      </c>
      <c r="E368" s="443">
        <v>7</v>
      </c>
      <c r="F368" s="443">
        <v>77.68747282608695</v>
      </c>
    </row>
    <row r="369" spans="1:6" ht="12.75">
      <c r="A369" s="443">
        <f t="shared" si="5"/>
      </c>
      <c r="B369" s="443" t="s">
        <v>106</v>
      </c>
      <c r="C369" s="443" t="s">
        <v>48</v>
      </c>
      <c r="D369" s="443">
        <v>2</v>
      </c>
      <c r="E369" s="443">
        <v>8</v>
      </c>
      <c r="F369" s="443">
        <v>72.89399456521743</v>
      </c>
    </row>
    <row r="370" spans="1:6" ht="12.75">
      <c r="A370" s="443">
        <f t="shared" si="5"/>
      </c>
      <c r="B370" s="443" t="s">
        <v>106</v>
      </c>
      <c r="C370" s="443" t="s">
        <v>48</v>
      </c>
      <c r="D370" s="443">
        <v>3</v>
      </c>
      <c r="E370" s="443">
        <v>9</v>
      </c>
      <c r="F370" s="443">
        <v>62.92894021739128</v>
      </c>
    </row>
    <row r="371" spans="1:6" ht="12.75">
      <c r="A371" s="443">
        <f t="shared" si="5"/>
      </c>
      <c r="B371" s="443" t="s">
        <v>106</v>
      </c>
      <c r="C371" s="443" t="s">
        <v>59</v>
      </c>
      <c r="D371" s="443">
        <v>1</v>
      </c>
      <c r="E371" s="443">
        <v>10</v>
      </c>
      <c r="F371" s="443">
        <v>42.36442934782597</v>
      </c>
    </row>
    <row r="372" spans="1:6" ht="12.75">
      <c r="A372" s="443">
        <f t="shared" si="5"/>
      </c>
      <c r="B372" s="443" t="s">
        <v>106</v>
      </c>
      <c r="C372" s="443" t="s">
        <v>59</v>
      </c>
      <c r="D372" s="443">
        <v>2</v>
      </c>
      <c r="E372" s="443">
        <v>11</v>
      </c>
      <c r="F372" s="443">
        <v>38.974755434782594</v>
      </c>
    </row>
    <row r="373" spans="1:6" ht="12.75">
      <c r="A373" s="443">
        <f t="shared" si="5"/>
      </c>
      <c r="B373" s="443" t="s">
        <v>106</v>
      </c>
      <c r="C373" s="443" t="s">
        <v>59</v>
      </c>
      <c r="D373" s="443">
        <v>3</v>
      </c>
      <c r="E373" s="443">
        <v>12</v>
      </c>
      <c r="F373" s="443">
        <v>36.10453804347816</v>
      </c>
    </row>
    <row r="374" spans="1:6" ht="12.75">
      <c r="A374" s="443" t="str">
        <f t="shared" si="5"/>
        <v>WA - Walla Walla</v>
      </c>
      <c r="B374" s="443" t="s">
        <v>105</v>
      </c>
      <c r="C374" s="443" t="s">
        <v>38</v>
      </c>
      <c r="D374" s="443">
        <v>1</v>
      </c>
      <c r="E374" s="443">
        <v>1</v>
      </c>
      <c r="F374" s="443">
        <v>45.07049999999999</v>
      </c>
    </row>
    <row r="375" spans="1:6" ht="12.75">
      <c r="A375" s="443">
        <f t="shared" si="5"/>
      </c>
      <c r="B375" s="443" t="s">
        <v>105</v>
      </c>
      <c r="C375" s="443" t="s">
        <v>38</v>
      </c>
      <c r="D375" s="443">
        <v>2</v>
      </c>
      <c r="E375" s="443">
        <v>2</v>
      </c>
      <c r="F375" s="443">
        <v>41.29899999999997</v>
      </c>
    </row>
    <row r="376" spans="1:6" ht="12.75">
      <c r="A376" s="443">
        <f t="shared" si="5"/>
      </c>
      <c r="B376" s="443" t="s">
        <v>105</v>
      </c>
      <c r="C376" s="443" t="s">
        <v>38</v>
      </c>
      <c r="D376" s="443">
        <v>3</v>
      </c>
      <c r="E376" s="443">
        <v>3</v>
      </c>
      <c r="F376" s="443">
        <v>37.33024999999998</v>
      </c>
    </row>
    <row r="377" spans="1:6" ht="12.75">
      <c r="A377" s="443">
        <f t="shared" si="5"/>
      </c>
      <c r="B377" s="443" t="s">
        <v>105</v>
      </c>
      <c r="C377" s="443" t="s">
        <v>42</v>
      </c>
      <c r="D377" s="443">
        <v>1</v>
      </c>
      <c r="E377" s="443">
        <v>4</v>
      </c>
      <c r="F377" s="443">
        <v>64.45612637362638</v>
      </c>
    </row>
    <row r="378" spans="1:6" ht="12.75">
      <c r="A378" s="443">
        <f t="shared" si="5"/>
      </c>
      <c r="B378" s="443" t="s">
        <v>105</v>
      </c>
      <c r="C378" s="443" t="s">
        <v>42</v>
      </c>
      <c r="D378" s="443">
        <v>2</v>
      </c>
      <c r="E378" s="443">
        <v>5</v>
      </c>
      <c r="F378" s="443">
        <v>58.96266483516485</v>
      </c>
    </row>
    <row r="379" spans="1:6" ht="12.75">
      <c r="A379" s="443">
        <f t="shared" si="5"/>
      </c>
      <c r="B379" s="443" t="s">
        <v>105</v>
      </c>
      <c r="C379" s="443" t="s">
        <v>42</v>
      </c>
      <c r="D379" s="443">
        <v>3</v>
      </c>
      <c r="E379" s="443">
        <v>6</v>
      </c>
      <c r="F379" s="443">
        <v>51.71593406593408</v>
      </c>
    </row>
    <row r="380" spans="1:6" ht="12.75">
      <c r="A380" s="443">
        <f t="shared" si="5"/>
      </c>
      <c r="B380" s="443" t="s">
        <v>105</v>
      </c>
      <c r="C380" s="443" t="s">
        <v>48</v>
      </c>
      <c r="D380" s="443">
        <v>1</v>
      </c>
      <c r="E380" s="443">
        <v>7</v>
      </c>
      <c r="F380" s="443">
        <v>78.66475543478268</v>
      </c>
    </row>
    <row r="381" spans="1:6" ht="12.75">
      <c r="A381" s="443">
        <f t="shared" si="5"/>
      </c>
      <c r="B381" s="443" t="s">
        <v>105</v>
      </c>
      <c r="C381" s="443" t="s">
        <v>48</v>
      </c>
      <c r="D381" s="443">
        <v>2</v>
      </c>
      <c r="E381" s="443">
        <v>8</v>
      </c>
      <c r="F381" s="443">
        <v>73.17108695652176</v>
      </c>
    </row>
    <row r="382" spans="1:6" ht="12.75">
      <c r="A382" s="443">
        <f t="shared" si="5"/>
      </c>
      <c r="B382" s="443" t="s">
        <v>105</v>
      </c>
      <c r="C382" s="443" t="s">
        <v>48</v>
      </c>
      <c r="D382" s="443">
        <v>3</v>
      </c>
      <c r="E382" s="443">
        <v>9</v>
      </c>
      <c r="F382" s="443">
        <v>64.20826086956521</v>
      </c>
    </row>
    <row r="383" spans="1:6" ht="12.75">
      <c r="A383" s="443">
        <f t="shared" si="5"/>
      </c>
      <c r="B383" s="443" t="s">
        <v>105</v>
      </c>
      <c r="C383" s="443" t="s">
        <v>59</v>
      </c>
      <c r="D383" s="443">
        <v>1</v>
      </c>
      <c r="E383" s="443">
        <v>10</v>
      </c>
      <c r="F383" s="443">
        <v>47.018505434782675</v>
      </c>
    </row>
    <row r="384" spans="1:6" ht="12.75">
      <c r="A384" s="443">
        <f t="shared" si="5"/>
      </c>
      <c r="B384" s="443" t="s">
        <v>105</v>
      </c>
      <c r="C384" s="443" t="s">
        <v>59</v>
      </c>
      <c r="D384" s="443">
        <v>2</v>
      </c>
      <c r="E384" s="443">
        <v>11</v>
      </c>
      <c r="F384" s="443">
        <v>42.78385869565224</v>
      </c>
    </row>
    <row r="385" spans="1:6" ht="12.75">
      <c r="A385" s="443">
        <f t="shared" si="5"/>
      </c>
      <c r="B385" s="443" t="s">
        <v>105</v>
      </c>
      <c r="C385" s="443" t="s">
        <v>59</v>
      </c>
      <c r="D385" s="443">
        <v>3</v>
      </c>
      <c r="E385" s="443">
        <v>12</v>
      </c>
      <c r="F385" s="443">
        <v>40.282201086956576</v>
      </c>
    </row>
    <row r="386" spans="1:6" ht="12.75">
      <c r="A386" s="443" t="str">
        <f t="shared" si="5"/>
        <v>WA - Tacoma</v>
      </c>
      <c r="B386" s="443" t="s">
        <v>104</v>
      </c>
      <c r="C386" s="443" t="s">
        <v>38</v>
      </c>
      <c r="D386" s="443">
        <v>1</v>
      </c>
      <c r="E386" s="443">
        <v>1</v>
      </c>
      <c r="F386" s="443">
        <v>43.966249999999945</v>
      </c>
    </row>
    <row r="387" spans="1:6" ht="12.75">
      <c r="A387" s="443">
        <f aca="true" t="shared" si="6" ref="A387:A450">IF(B387=B386,"",B387)</f>
      </c>
      <c r="B387" s="443" t="s">
        <v>104</v>
      </c>
      <c r="C387" s="443" t="s">
        <v>38</v>
      </c>
      <c r="D387" s="443">
        <v>2</v>
      </c>
      <c r="E387" s="443">
        <v>2</v>
      </c>
      <c r="F387" s="443">
        <v>40.11399999999995</v>
      </c>
    </row>
    <row r="388" spans="1:6" ht="12.75">
      <c r="A388" s="443">
        <f t="shared" si="6"/>
      </c>
      <c r="B388" s="443" t="s">
        <v>104</v>
      </c>
      <c r="C388" s="443" t="s">
        <v>38</v>
      </c>
      <c r="D388" s="443">
        <v>3</v>
      </c>
      <c r="E388" s="443">
        <v>3</v>
      </c>
      <c r="F388" s="443">
        <v>35.27849999999992</v>
      </c>
    </row>
    <row r="389" spans="1:6" ht="12.75">
      <c r="A389" s="443">
        <f t="shared" si="6"/>
      </c>
      <c r="B389" s="443" t="s">
        <v>104</v>
      </c>
      <c r="C389" s="443" t="s">
        <v>42</v>
      </c>
      <c r="D389" s="443">
        <v>1</v>
      </c>
      <c r="E389" s="443">
        <v>4</v>
      </c>
      <c r="F389" s="443">
        <v>58.61403846153838</v>
      </c>
    </row>
    <row r="390" spans="1:6" ht="12.75">
      <c r="A390" s="443">
        <f t="shared" si="6"/>
      </c>
      <c r="B390" s="443" t="s">
        <v>104</v>
      </c>
      <c r="C390" s="443" t="s">
        <v>42</v>
      </c>
      <c r="D390" s="443">
        <v>2</v>
      </c>
      <c r="E390" s="443">
        <v>5</v>
      </c>
      <c r="F390" s="443">
        <v>53.61780219780212</v>
      </c>
    </row>
    <row r="391" spans="1:6" ht="12.75">
      <c r="A391" s="443">
        <f t="shared" si="6"/>
      </c>
      <c r="B391" s="443" t="s">
        <v>104</v>
      </c>
      <c r="C391" s="443" t="s">
        <v>42</v>
      </c>
      <c r="D391" s="443">
        <v>3</v>
      </c>
      <c r="E391" s="443">
        <v>6</v>
      </c>
      <c r="F391" s="443">
        <v>45.91637362637355</v>
      </c>
    </row>
    <row r="392" spans="1:6" ht="12.75">
      <c r="A392" s="443">
        <f t="shared" si="6"/>
      </c>
      <c r="B392" s="443" t="s">
        <v>104</v>
      </c>
      <c r="C392" s="443" t="s">
        <v>48</v>
      </c>
      <c r="D392" s="443">
        <v>1</v>
      </c>
      <c r="E392" s="443">
        <v>7</v>
      </c>
      <c r="F392" s="443">
        <v>70.69070652173906</v>
      </c>
    </row>
    <row r="393" spans="1:6" ht="12.75">
      <c r="A393" s="443">
        <f t="shared" si="6"/>
      </c>
      <c r="B393" s="443" t="s">
        <v>104</v>
      </c>
      <c r="C393" s="443" t="s">
        <v>48</v>
      </c>
      <c r="D393" s="443">
        <v>2</v>
      </c>
      <c r="E393" s="443">
        <v>8</v>
      </c>
      <c r="F393" s="443">
        <v>65.13980978260865</v>
      </c>
    </row>
    <row r="394" spans="1:6" ht="12.75">
      <c r="A394" s="443">
        <f t="shared" si="6"/>
      </c>
      <c r="B394" s="443" t="s">
        <v>104</v>
      </c>
      <c r="C394" s="443" t="s">
        <v>48</v>
      </c>
      <c r="D394" s="443">
        <v>3</v>
      </c>
      <c r="E394" s="443">
        <v>9</v>
      </c>
      <c r="F394" s="443">
        <v>56.01165760869558</v>
      </c>
    </row>
    <row r="395" spans="1:6" ht="12.75">
      <c r="A395" s="443">
        <f t="shared" si="6"/>
      </c>
      <c r="B395" s="443" t="s">
        <v>104</v>
      </c>
      <c r="C395" s="443" t="s">
        <v>59</v>
      </c>
      <c r="D395" s="443">
        <v>1</v>
      </c>
      <c r="E395" s="443">
        <v>10</v>
      </c>
      <c r="F395" s="443">
        <v>47.625271739130355</v>
      </c>
    </row>
    <row r="396" spans="1:6" ht="12.75">
      <c r="A396" s="443">
        <f t="shared" si="6"/>
      </c>
      <c r="B396" s="443" t="s">
        <v>104</v>
      </c>
      <c r="C396" s="443" t="s">
        <v>59</v>
      </c>
      <c r="D396" s="443">
        <v>2</v>
      </c>
      <c r="E396" s="443">
        <v>11</v>
      </c>
      <c r="F396" s="443">
        <v>42.26097826086955</v>
      </c>
    </row>
    <row r="397" spans="1:6" ht="12.75">
      <c r="A397" s="443">
        <f t="shared" si="6"/>
      </c>
      <c r="B397" s="443" t="s">
        <v>104</v>
      </c>
      <c r="C397" s="443" t="s">
        <v>59</v>
      </c>
      <c r="D397" s="443">
        <v>3</v>
      </c>
      <c r="E397" s="443">
        <v>12</v>
      </c>
      <c r="F397" s="443">
        <v>38.20046195652173</v>
      </c>
    </row>
    <row r="398" spans="1:6" ht="12.75">
      <c r="A398" s="443" t="str">
        <f t="shared" si="6"/>
        <v>WA - Spokane</v>
      </c>
      <c r="B398" s="443" t="s">
        <v>103</v>
      </c>
      <c r="C398" s="443" t="s">
        <v>38</v>
      </c>
      <c r="D398" s="443">
        <v>1</v>
      </c>
      <c r="E398" s="443">
        <v>1</v>
      </c>
      <c r="F398" s="443">
        <v>36.29200000000004</v>
      </c>
    </row>
    <row r="399" spans="1:6" ht="12.75">
      <c r="A399" s="443">
        <f t="shared" si="6"/>
      </c>
      <c r="B399" s="443" t="s">
        <v>103</v>
      </c>
      <c r="C399" s="443" t="s">
        <v>38</v>
      </c>
      <c r="D399" s="443">
        <v>2</v>
      </c>
      <c r="E399" s="443">
        <v>2</v>
      </c>
      <c r="F399" s="443">
        <v>32.83125</v>
      </c>
    </row>
    <row r="400" spans="1:6" ht="12.75">
      <c r="A400" s="443">
        <f t="shared" si="6"/>
      </c>
      <c r="B400" s="443" t="s">
        <v>103</v>
      </c>
      <c r="C400" s="443" t="s">
        <v>38</v>
      </c>
      <c r="D400" s="443">
        <v>3</v>
      </c>
      <c r="E400" s="443">
        <v>3</v>
      </c>
      <c r="F400" s="443">
        <v>29.006750000000007</v>
      </c>
    </row>
    <row r="401" spans="1:6" ht="12.75">
      <c r="A401" s="443">
        <f t="shared" si="6"/>
      </c>
      <c r="B401" s="443" t="s">
        <v>103</v>
      </c>
      <c r="C401" s="443" t="s">
        <v>42</v>
      </c>
      <c r="D401" s="443">
        <v>1</v>
      </c>
      <c r="E401" s="443">
        <v>4</v>
      </c>
      <c r="F401" s="443">
        <v>61.334560439560434</v>
      </c>
    </row>
    <row r="402" spans="1:6" ht="12.75">
      <c r="A402" s="443">
        <f t="shared" si="6"/>
      </c>
      <c r="B402" s="443" t="s">
        <v>103</v>
      </c>
      <c r="C402" s="443" t="s">
        <v>42</v>
      </c>
      <c r="D402" s="443">
        <v>2</v>
      </c>
      <c r="E402" s="443">
        <v>5</v>
      </c>
      <c r="F402" s="443">
        <v>55.923928571428576</v>
      </c>
    </row>
    <row r="403" spans="1:6" ht="12.75">
      <c r="A403" s="443">
        <f t="shared" si="6"/>
      </c>
      <c r="B403" s="443" t="s">
        <v>103</v>
      </c>
      <c r="C403" s="443" t="s">
        <v>42</v>
      </c>
      <c r="D403" s="443">
        <v>3</v>
      </c>
      <c r="E403" s="443">
        <v>6</v>
      </c>
      <c r="F403" s="443">
        <v>47.04532967032972</v>
      </c>
    </row>
    <row r="404" spans="1:6" ht="12.75">
      <c r="A404" s="443">
        <f t="shared" si="6"/>
      </c>
      <c r="B404" s="443" t="s">
        <v>103</v>
      </c>
      <c r="C404" s="443" t="s">
        <v>48</v>
      </c>
      <c r="D404" s="443">
        <v>1</v>
      </c>
      <c r="E404" s="443">
        <v>7</v>
      </c>
      <c r="F404" s="443">
        <v>73.8348369565217</v>
      </c>
    </row>
    <row r="405" spans="1:6" ht="12.75">
      <c r="A405" s="443">
        <f t="shared" si="6"/>
      </c>
      <c r="B405" s="443" t="s">
        <v>103</v>
      </c>
      <c r="C405" s="443" t="s">
        <v>48</v>
      </c>
      <c r="D405" s="443">
        <v>2</v>
      </c>
      <c r="E405" s="443">
        <v>8</v>
      </c>
      <c r="F405" s="443">
        <v>66.93296195652162</v>
      </c>
    </row>
    <row r="406" spans="1:6" ht="12.75">
      <c r="A406" s="443">
        <f t="shared" si="6"/>
      </c>
      <c r="B406" s="443" t="s">
        <v>103</v>
      </c>
      <c r="C406" s="443" t="s">
        <v>48</v>
      </c>
      <c r="D406" s="443">
        <v>3</v>
      </c>
      <c r="E406" s="443">
        <v>9</v>
      </c>
      <c r="F406" s="443">
        <v>56.72138586956531</v>
      </c>
    </row>
    <row r="407" spans="1:6" ht="12.75">
      <c r="A407" s="443">
        <f t="shared" si="6"/>
      </c>
      <c r="B407" s="443" t="s">
        <v>103</v>
      </c>
      <c r="C407" s="443" t="s">
        <v>59</v>
      </c>
      <c r="D407" s="443">
        <v>1</v>
      </c>
      <c r="E407" s="443">
        <v>10</v>
      </c>
      <c r="F407" s="443">
        <v>40.71532608695651</v>
      </c>
    </row>
    <row r="408" spans="1:6" ht="12.75">
      <c r="A408" s="443">
        <f t="shared" si="6"/>
      </c>
      <c r="B408" s="443" t="s">
        <v>103</v>
      </c>
      <c r="C408" s="443" t="s">
        <v>59</v>
      </c>
      <c r="D408" s="443">
        <v>2</v>
      </c>
      <c r="E408" s="443">
        <v>11</v>
      </c>
      <c r="F408" s="443">
        <v>36.970543478260886</v>
      </c>
    </row>
    <row r="409" spans="1:6" ht="12.75">
      <c r="A409" s="443">
        <f t="shared" si="6"/>
      </c>
      <c r="B409" s="443" t="s">
        <v>103</v>
      </c>
      <c r="C409" s="443" t="s">
        <v>59</v>
      </c>
      <c r="D409" s="443">
        <v>3</v>
      </c>
      <c r="E409" s="443">
        <v>12</v>
      </c>
      <c r="F409" s="443">
        <v>33.59138586956524</v>
      </c>
    </row>
    <row r="410" spans="1:6" ht="12.75">
      <c r="A410" s="443" t="str">
        <f t="shared" si="6"/>
        <v>WA - Snohomish</v>
      </c>
      <c r="B410" s="443" t="s">
        <v>102</v>
      </c>
      <c r="C410" s="443" t="s">
        <v>38</v>
      </c>
      <c r="D410" s="443">
        <v>1</v>
      </c>
      <c r="E410" s="443">
        <v>1</v>
      </c>
      <c r="F410" s="443">
        <v>45.873499999999964</v>
      </c>
    </row>
    <row r="411" spans="1:6" ht="12.75">
      <c r="A411" s="443">
        <f t="shared" si="6"/>
      </c>
      <c r="B411" s="443" t="s">
        <v>102</v>
      </c>
      <c r="C411" s="443" t="s">
        <v>38</v>
      </c>
      <c r="D411" s="443">
        <v>2</v>
      </c>
      <c r="E411" s="443">
        <v>2</v>
      </c>
      <c r="F411" s="443">
        <v>43.85199999999996</v>
      </c>
    </row>
    <row r="412" spans="1:6" ht="12.75">
      <c r="A412" s="443">
        <f t="shared" si="6"/>
      </c>
      <c r="B412" s="443" t="s">
        <v>102</v>
      </c>
      <c r="C412" s="443" t="s">
        <v>38</v>
      </c>
      <c r="D412" s="443">
        <v>3</v>
      </c>
      <c r="E412" s="443">
        <v>3</v>
      </c>
      <c r="F412" s="443">
        <v>41.2085</v>
      </c>
    </row>
    <row r="413" spans="1:6" ht="12.75">
      <c r="A413" s="443">
        <f t="shared" si="6"/>
      </c>
      <c r="B413" s="443" t="s">
        <v>102</v>
      </c>
      <c r="C413" s="443" t="s">
        <v>42</v>
      </c>
      <c r="D413" s="443">
        <v>1</v>
      </c>
      <c r="E413" s="443">
        <v>4</v>
      </c>
      <c r="F413" s="443">
        <v>56.029258241758235</v>
      </c>
    </row>
    <row r="414" spans="1:6" ht="12.75">
      <c r="A414" s="443">
        <f t="shared" si="6"/>
      </c>
      <c r="B414" s="443" t="s">
        <v>102</v>
      </c>
      <c r="C414" s="443" t="s">
        <v>42</v>
      </c>
      <c r="D414" s="443">
        <v>2</v>
      </c>
      <c r="E414" s="443">
        <v>5</v>
      </c>
      <c r="F414" s="443">
        <v>53.00881868131863</v>
      </c>
    </row>
    <row r="415" spans="1:6" ht="12.75">
      <c r="A415" s="443">
        <f t="shared" si="6"/>
      </c>
      <c r="B415" s="443" t="s">
        <v>102</v>
      </c>
      <c r="C415" s="443" t="s">
        <v>42</v>
      </c>
      <c r="D415" s="443">
        <v>3</v>
      </c>
      <c r="E415" s="443">
        <v>6</v>
      </c>
      <c r="F415" s="443">
        <v>48.23931318681319</v>
      </c>
    </row>
    <row r="416" spans="1:6" ht="12.75">
      <c r="A416" s="443">
        <f t="shared" si="6"/>
      </c>
      <c r="B416" s="443" t="s">
        <v>102</v>
      </c>
      <c r="C416" s="443" t="s">
        <v>48</v>
      </c>
      <c r="D416" s="443">
        <v>1</v>
      </c>
      <c r="E416" s="443">
        <v>7</v>
      </c>
      <c r="F416" s="443">
        <v>65.36163043478263</v>
      </c>
    </row>
    <row r="417" spans="1:6" ht="12.75">
      <c r="A417" s="443">
        <f t="shared" si="6"/>
      </c>
      <c r="B417" s="443" t="s">
        <v>102</v>
      </c>
      <c r="C417" s="443" t="s">
        <v>48</v>
      </c>
      <c r="D417" s="443">
        <v>2</v>
      </c>
      <c r="E417" s="443">
        <v>8</v>
      </c>
      <c r="F417" s="443">
        <v>61.48820652173918</v>
      </c>
    </row>
    <row r="418" spans="1:6" ht="12.75">
      <c r="A418" s="443">
        <f t="shared" si="6"/>
      </c>
      <c r="B418" s="443" t="s">
        <v>102</v>
      </c>
      <c r="C418" s="443" t="s">
        <v>48</v>
      </c>
      <c r="D418" s="443">
        <v>3</v>
      </c>
      <c r="E418" s="443">
        <v>9</v>
      </c>
      <c r="F418" s="443">
        <v>56.37410326086955</v>
      </c>
    </row>
    <row r="419" spans="1:6" ht="12.75">
      <c r="A419" s="443">
        <f t="shared" si="6"/>
      </c>
      <c r="B419" s="443" t="s">
        <v>102</v>
      </c>
      <c r="C419" s="443" t="s">
        <v>59</v>
      </c>
      <c r="D419" s="443">
        <v>1</v>
      </c>
      <c r="E419" s="443">
        <v>10</v>
      </c>
      <c r="F419" s="443">
        <v>48.15426630434783</v>
      </c>
    </row>
    <row r="420" spans="1:6" ht="12.75">
      <c r="A420" s="443">
        <f t="shared" si="6"/>
      </c>
      <c r="B420" s="443" t="s">
        <v>102</v>
      </c>
      <c r="C420" s="443" t="s">
        <v>59</v>
      </c>
      <c r="D420" s="443">
        <v>2</v>
      </c>
      <c r="E420" s="443">
        <v>11</v>
      </c>
      <c r="F420" s="443">
        <v>45.79739130434787</v>
      </c>
    </row>
    <row r="421" spans="1:6" ht="12.75">
      <c r="A421" s="443">
        <f t="shared" si="6"/>
      </c>
      <c r="B421" s="443" t="s">
        <v>102</v>
      </c>
      <c r="C421" s="443" t="s">
        <v>59</v>
      </c>
      <c r="D421" s="443">
        <v>3</v>
      </c>
      <c r="E421" s="443">
        <v>12</v>
      </c>
      <c r="F421" s="443">
        <v>43.98638586956521</v>
      </c>
    </row>
    <row r="422" spans="1:6" ht="12.75">
      <c r="A422" s="443" t="str">
        <f t="shared" si="6"/>
        <v>WA - Seattle</v>
      </c>
      <c r="B422" s="443" t="s">
        <v>101</v>
      </c>
      <c r="C422" s="443" t="s">
        <v>38</v>
      </c>
      <c r="D422" s="443">
        <v>1</v>
      </c>
      <c r="E422" s="443">
        <v>1</v>
      </c>
      <c r="F422" s="443">
        <v>47.240750000000084</v>
      </c>
    </row>
    <row r="423" spans="1:6" ht="12.75">
      <c r="A423" s="443">
        <f t="shared" si="6"/>
      </c>
      <c r="B423" s="443" t="s">
        <v>101</v>
      </c>
      <c r="C423" s="443" t="s">
        <v>38</v>
      </c>
      <c r="D423" s="443">
        <v>2</v>
      </c>
      <c r="E423" s="443">
        <v>2</v>
      </c>
      <c r="F423" s="443">
        <v>45.28600000000004</v>
      </c>
    </row>
    <row r="424" spans="1:6" ht="12.75">
      <c r="A424" s="443">
        <f t="shared" si="6"/>
      </c>
      <c r="B424" s="443" t="s">
        <v>101</v>
      </c>
      <c r="C424" s="443" t="s">
        <v>38</v>
      </c>
      <c r="D424" s="443">
        <v>3</v>
      </c>
      <c r="E424" s="443">
        <v>3</v>
      </c>
      <c r="F424" s="443">
        <v>41.690999999999946</v>
      </c>
    </row>
    <row r="425" spans="1:6" ht="12.75">
      <c r="A425" s="443">
        <f t="shared" si="6"/>
      </c>
      <c r="B425" s="443" t="s">
        <v>101</v>
      </c>
      <c r="C425" s="443" t="s">
        <v>42</v>
      </c>
      <c r="D425" s="443">
        <v>1</v>
      </c>
      <c r="E425" s="443">
        <v>4</v>
      </c>
      <c r="F425" s="443">
        <v>59.644340659340635</v>
      </c>
    </row>
    <row r="426" spans="1:6" ht="12.75">
      <c r="A426" s="443">
        <f t="shared" si="6"/>
      </c>
      <c r="B426" s="443" t="s">
        <v>101</v>
      </c>
      <c r="C426" s="443" t="s">
        <v>42</v>
      </c>
      <c r="D426" s="443">
        <v>2</v>
      </c>
      <c r="E426" s="443">
        <v>5</v>
      </c>
      <c r="F426" s="443">
        <v>56.86225274725276</v>
      </c>
    </row>
    <row r="427" spans="1:6" ht="12.75">
      <c r="A427" s="443">
        <f t="shared" si="6"/>
      </c>
      <c r="B427" s="443" t="s">
        <v>101</v>
      </c>
      <c r="C427" s="443" t="s">
        <v>42</v>
      </c>
      <c r="D427" s="443">
        <v>3</v>
      </c>
      <c r="E427" s="443">
        <v>6</v>
      </c>
      <c r="F427" s="443">
        <v>51.71395604395589</v>
      </c>
    </row>
    <row r="428" spans="1:6" ht="12.75">
      <c r="A428" s="443">
        <f t="shared" si="6"/>
      </c>
      <c r="B428" s="443" t="s">
        <v>101</v>
      </c>
      <c r="C428" s="443" t="s">
        <v>48</v>
      </c>
      <c r="D428" s="443">
        <v>1</v>
      </c>
      <c r="E428" s="443">
        <v>7</v>
      </c>
      <c r="F428" s="443">
        <v>68.54293478260864</v>
      </c>
    </row>
    <row r="429" spans="1:6" ht="12.75">
      <c r="A429" s="443">
        <f t="shared" si="6"/>
      </c>
      <c r="B429" s="443" t="s">
        <v>101</v>
      </c>
      <c r="C429" s="443" t="s">
        <v>48</v>
      </c>
      <c r="D429" s="443">
        <v>2</v>
      </c>
      <c r="E429" s="443">
        <v>8</v>
      </c>
      <c r="F429" s="443">
        <v>65.96692934782612</v>
      </c>
    </row>
    <row r="430" spans="1:6" ht="12.75">
      <c r="A430" s="443">
        <f t="shared" si="6"/>
      </c>
      <c r="B430" s="443" t="s">
        <v>101</v>
      </c>
      <c r="C430" s="443" t="s">
        <v>48</v>
      </c>
      <c r="D430" s="443">
        <v>3</v>
      </c>
      <c r="E430" s="443">
        <v>9</v>
      </c>
      <c r="F430" s="443">
        <v>58.43529891304348</v>
      </c>
    </row>
    <row r="431" spans="1:6" ht="12.75">
      <c r="A431" s="443">
        <f t="shared" si="6"/>
      </c>
      <c r="B431" s="443" t="s">
        <v>101</v>
      </c>
      <c r="C431" s="443" t="s">
        <v>59</v>
      </c>
      <c r="D431" s="443">
        <v>1</v>
      </c>
      <c r="E431" s="443">
        <v>10</v>
      </c>
      <c r="F431" s="443">
        <v>50.404266304347786</v>
      </c>
    </row>
    <row r="432" spans="1:6" ht="12.75">
      <c r="A432" s="443">
        <f t="shared" si="6"/>
      </c>
      <c r="B432" s="443" t="s">
        <v>101</v>
      </c>
      <c r="C432" s="443" t="s">
        <v>59</v>
      </c>
      <c r="D432" s="443">
        <v>2</v>
      </c>
      <c r="E432" s="443">
        <v>11</v>
      </c>
      <c r="F432" s="443">
        <v>48.32032608695646</v>
      </c>
    </row>
    <row r="433" spans="1:6" ht="12.75">
      <c r="A433" s="443">
        <f t="shared" si="6"/>
      </c>
      <c r="B433" s="443" t="s">
        <v>101</v>
      </c>
      <c r="C433" s="443" t="s">
        <v>59</v>
      </c>
      <c r="D433" s="443">
        <v>3</v>
      </c>
      <c r="E433" s="443">
        <v>12</v>
      </c>
      <c r="F433" s="443">
        <v>45.34519021739132</v>
      </c>
    </row>
    <row r="434" spans="1:6" ht="12.75">
      <c r="A434" s="443" t="str">
        <f t="shared" si="6"/>
        <v>WA - Quillayute</v>
      </c>
      <c r="B434" s="443" t="s">
        <v>100</v>
      </c>
      <c r="C434" s="443" t="s">
        <v>38</v>
      </c>
      <c r="D434" s="443">
        <v>1</v>
      </c>
      <c r="E434" s="443">
        <v>1</v>
      </c>
      <c r="F434" s="443">
        <v>45.5425</v>
      </c>
    </row>
    <row r="435" spans="1:6" ht="12.75">
      <c r="A435" s="443">
        <f t="shared" si="6"/>
      </c>
      <c r="B435" s="443" t="s">
        <v>100</v>
      </c>
      <c r="C435" s="443" t="s">
        <v>38</v>
      </c>
      <c r="D435" s="443">
        <v>2</v>
      </c>
      <c r="E435" s="443">
        <v>2</v>
      </c>
      <c r="F435" s="443">
        <v>41.75174999999998</v>
      </c>
    </row>
    <row r="436" spans="1:6" ht="12.75">
      <c r="A436" s="443">
        <f t="shared" si="6"/>
      </c>
      <c r="B436" s="443" t="s">
        <v>100</v>
      </c>
      <c r="C436" s="443" t="s">
        <v>38</v>
      </c>
      <c r="D436" s="443">
        <v>3</v>
      </c>
      <c r="E436" s="443">
        <v>3</v>
      </c>
      <c r="F436" s="443">
        <v>39.168500000000066</v>
      </c>
    </row>
    <row r="437" spans="1:6" ht="12.75">
      <c r="A437" s="443">
        <f t="shared" si="6"/>
      </c>
      <c r="B437" s="443" t="s">
        <v>100</v>
      </c>
      <c r="C437" s="443" t="s">
        <v>42</v>
      </c>
      <c r="D437" s="443">
        <v>1</v>
      </c>
      <c r="E437" s="443">
        <v>4</v>
      </c>
      <c r="F437" s="443">
        <v>56.61178571428569</v>
      </c>
    </row>
    <row r="438" spans="1:6" ht="12.75">
      <c r="A438" s="443">
        <f t="shared" si="6"/>
      </c>
      <c r="B438" s="443" t="s">
        <v>100</v>
      </c>
      <c r="C438" s="443" t="s">
        <v>42</v>
      </c>
      <c r="D438" s="443">
        <v>2</v>
      </c>
      <c r="E438" s="443">
        <v>5</v>
      </c>
      <c r="F438" s="443">
        <v>51.201401098901094</v>
      </c>
    </row>
    <row r="439" spans="1:6" ht="12.75">
      <c r="A439" s="443">
        <f t="shared" si="6"/>
      </c>
      <c r="B439" s="443" t="s">
        <v>100</v>
      </c>
      <c r="C439" s="443" t="s">
        <v>42</v>
      </c>
      <c r="D439" s="443">
        <v>3</v>
      </c>
      <c r="E439" s="443">
        <v>6</v>
      </c>
      <c r="F439" s="443">
        <v>46.970412087912074</v>
      </c>
    </row>
    <row r="440" spans="1:6" ht="12.75">
      <c r="A440" s="443">
        <f t="shared" si="6"/>
      </c>
      <c r="B440" s="443" t="s">
        <v>100</v>
      </c>
      <c r="C440" s="443" t="s">
        <v>48</v>
      </c>
      <c r="D440" s="443">
        <v>1</v>
      </c>
      <c r="E440" s="443">
        <v>7</v>
      </c>
      <c r="F440" s="443">
        <v>63.74138586956524</v>
      </c>
    </row>
    <row r="441" spans="1:6" ht="12.75">
      <c r="A441" s="443">
        <f t="shared" si="6"/>
      </c>
      <c r="B441" s="443" t="s">
        <v>100</v>
      </c>
      <c r="C441" s="443" t="s">
        <v>48</v>
      </c>
      <c r="D441" s="443">
        <v>2</v>
      </c>
      <c r="E441" s="443">
        <v>8</v>
      </c>
      <c r="F441" s="443">
        <v>57.65440217391294</v>
      </c>
    </row>
    <row r="442" spans="1:6" ht="12.75">
      <c r="A442" s="443">
        <f t="shared" si="6"/>
      </c>
      <c r="B442" s="443" t="s">
        <v>100</v>
      </c>
      <c r="C442" s="443" t="s">
        <v>48</v>
      </c>
      <c r="D442" s="443">
        <v>3</v>
      </c>
      <c r="E442" s="443">
        <v>9</v>
      </c>
      <c r="F442" s="443">
        <v>53.66309782608692</v>
      </c>
    </row>
    <row r="443" spans="1:6" ht="12.75">
      <c r="A443" s="443">
        <f t="shared" si="6"/>
      </c>
      <c r="B443" s="443" t="s">
        <v>100</v>
      </c>
      <c r="C443" s="443" t="s">
        <v>59</v>
      </c>
      <c r="D443" s="443">
        <v>1</v>
      </c>
      <c r="E443" s="443">
        <v>10</v>
      </c>
      <c r="F443" s="443">
        <v>48.66785326086953</v>
      </c>
    </row>
    <row r="444" spans="1:6" ht="12.75">
      <c r="A444" s="443">
        <f t="shared" si="6"/>
      </c>
      <c r="B444" s="443" t="s">
        <v>100</v>
      </c>
      <c r="C444" s="443" t="s">
        <v>59</v>
      </c>
      <c r="D444" s="443">
        <v>2</v>
      </c>
      <c r="E444" s="443">
        <v>11</v>
      </c>
      <c r="F444" s="443">
        <v>44.631793478260896</v>
      </c>
    </row>
    <row r="445" spans="1:6" ht="12.75">
      <c r="A445" s="443">
        <f t="shared" si="6"/>
      </c>
      <c r="B445" s="443" t="s">
        <v>100</v>
      </c>
      <c r="C445" s="443" t="s">
        <v>59</v>
      </c>
      <c r="D445" s="443">
        <v>3</v>
      </c>
      <c r="E445" s="443">
        <v>12</v>
      </c>
      <c r="F445" s="443">
        <v>42.00809782608697</v>
      </c>
    </row>
    <row r="446" spans="1:6" ht="12.75">
      <c r="A446" s="443" t="str">
        <f t="shared" si="6"/>
        <v>WA - Pasco</v>
      </c>
      <c r="B446" s="443" t="s">
        <v>99</v>
      </c>
      <c r="C446" s="443" t="s">
        <v>38</v>
      </c>
      <c r="D446" s="443">
        <v>1</v>
      </c>
      <c r="E446" s="443">
        <v>1</v>
      </c>
      <c r="F446" s="443">
        <v>45.55575000000005</v>
      </c>
    </row>
    <row r="447" spans="1:6" ht="12.75">
      <c r="A447" s="443">
        <f t="shared" si="6"/>
      </c>
      <c r="B447" s="443" t="s">
        <v>99</v>
      </c>
      <c r="C447" s="443" t="s">
        <v>38</v>
      </c>
      <c r="D447" s="443">
        <v>2</v>
      </c>
      <c r="E447" s="443">
        <v>2</v>
      </c>
      <c r="F447" s="443">
        <v>39.97424999999998</v>
      </c>
    </row>
    <row r="448" spans="1:6" ht="12.75">
      <c r="A448" s="443">
        <f t="shared" si="6"/>
      </c>
      <c r="B448" s="443" t="s">
        <v>99</v>
      </c>
      <c r="C448" s="443" t="s">
        <v>38</v>
      </c>
      <c r="D448" s="443">
        <v>3</v>
      </c>
      <c r="E448" s="443">
        <v>3</v>
      </c>
      <c r="F448" s="443">
        <v>33.95850000000006</v>
      </c>
    </row>
    <row r="449" spans="1:6" ht="12.75">
      <c r="A449" s="443">
        <f t="shared" si="6"/>
      </c>
      <c r="B449" s="443" t="s">
        <v>99</v>
      </c>
      <c r="C449" s="443" t="s">
        <v>42</v>
      </c>
      <c r="D449" s="443">
        <v>1</v>
      </c>
      <c r="E449" s="443">
        <v>4</v>
      </c>
      <c r="F449" s="443">
        <v>71.34087912087912</v>
      </c>
    </row>
    <row r="450" spans="1:6" ht="12.75">
      <c r="A450" s="443">
        <f t="shared" si="6"/>
      </c>
      <c r="B450" s="443" t="s">
        <v>99</v>
      </c>
      <c r="C450" s="443" t="s">
        <v>42</v>
      </c>
      <c r="D450" s="443">
        <v>2</v>
      </c>
      <c r="E450" s="443">
        <v>5</v>
      </c>
      <c r="F450" s="443">
        <v>63.24953296703292</v>
      </c>
    </row>
    <row r="451" spans="1:6" ht="12.75">
      <c r="A451" s="443">
        <f aca="true" t="shared" si="7" ref="A451:A493">IF(B451=B450,"",B451)</f>
      </c>
      <c r="B451" s="443" t="s">
        <v>99</v>
      </c>
      <c r="C451" s="443" t="s">
        <v>42</v>
      </c>
      <c r="D451" s="443">
        <v>3</v>
      </c>
      <c r="E451" s="443">
        <v>6</v>
      </c>
      <c r="F451" s="443">
        <v>52.71211538461536</v>
      </c>
    </row>
    <row r="452" spans="1:6" ht="12.75">
      <c r="A452" s="443">
        <f t="shared" si="7"/>
      </c>
      <c r="B452" s="443" t="s">
        <v>99</v>
      </c>
      <c r="C452" s="443" t="s">
        <v>48</v>
      </c>
      <c r="D452" s="443">
        <v>1</v>
      </c>
      <c r="E452" s="443">
        <v>7</v>
      </c>
      <c r="F452" s="443">
        <v>80.68364130434792</v>
      </c>
    </row>
    <row r="453" spans="1:6" ht="12.75">
      <c r="A453" s="443">
        <f t="shared" si="7"/>
      </c>
      <c r="B453" s="443" t="s">
        <v>99</v>
      </c>
      <c r="C453" s="443" t="s">
        <v>48</v>
      </c>
      <c r="D453" s="443">
        <v>2</v>
      </c>
      <c r="E453" s="443">
        <v>8</v>
      </c>
      <c r="F453" s="443">
        <v>71.18350543478272</v>
      </c>
    </row>
    <row r="454" spans="1:6" ht="12.75">
      <c r="A454" s="443">
        <f t="shared" si="7"/>
      </c>
      <c r="B454" s="443" t="s">
        <v>99</v>
      </c>
      <c r="C454" s="443" t="s">
        <v>48</v>
      </c>
      <c r="D454" s="443">
        <v>3</v>
      </c>
      <c r="E454" s="443">
        <v>9</v>
      </c>
      <c r="F454" s="443">
        <v>57.51989130434787</v>
      </c>
    </row>
    <row r="455" spans="1:6" ht="12.75">
      <c r="A455" s="443">
        <f t="shared" si="7"/>
      </c>
      <c r="B455" s="443" t="s">
        <v>99</v>
      </c>
      <c r="C455" s="443" t="s">
        <v>59</v>
      </c>
      <c r="D455" s="443">
        <v>1</v>
      </c>
      <c r="E455" s="443">
        <v>10</v>
      </c>
      <c r="F455" s="443">
        <v>47.84146739130422</v>
      </c>
    </row>
    <row r="456" spans="1:6" ht="12.75">
      <c r="A456" s="443">
        <f t="shared" si="7"/>
      </c>
      <c r="B456" s="443" t="s">
        <v>99</v>
      </c>
      <c r="C456" s="443" t="s">
        <v>59</v>
      </c>
      <c r="D456" s="443">
        <v>2</v>
      </c>
      <c r="E456" s="443">
        <v>11</v>
      </c>
      <c r="F456" s="443">
        <v>42.44415760869566</v>
      </c>
    </row>
    <row r="457" spans="1:6" ht="12.75">
      <c r="A457" s="443">
        <f t="shared" si="7"/>
      </c>
      <c r="B457" s="443" t="s">
        <v>99</v>
      </c>
      <c r="C457" s="443" t="s">
        <v>59</v>
      </c>
      <c r="D457" s="443">
        <v>3</v>
      </c>
      <c r="E457" s="443">
        <v>12</v>
      </c>
      <c r="F457" s="443">
        <v>38.72529891304349</v>
      </c>
    </row>
    <row r="458" spans="1:6" ht="12.75">
      <c r="A458" s="443" t="str">
        <f t="shared" si="7"/>
        <v>WA - Moses Lake</v>
      </c>
      <c r="B458" s="443" t="s">
        <v>98</v>
      </c>
      <c r="C458" s="443" t="s">
        <v>38</v>
      </c>
      <c r="D458" s="443">
        <v>1</v>
      </c>
      <c r="E458" s="443">
        <v>1</v>
      </c>
      <c r="F458" s="443">
        <v>42.71950000000004</v>
      </c>
    </row>
    <row r="459" spans="1:6" ht="12.75">
      <c r="A459" s="443">
        <f t="shared" si="7"/>
      </c>
      <c r="B459" s="443" t="s">
        <v>98</v>
      </c>
      <c r="C459" s="443" t="s">
        <v>38</v>
      </c>
      <c r="D459" s="443">
        <v>2</v>
      </c>
      <c r="E459" s="443">
        <v>2</v>
      </c>
      <c r="F459" s="443">
        <v>38.15024999999997</v>
      </c>
    </row>
    <row r="460" spans="1:6" ht="12.75">
      <c r="A460" s="443">
        <f t="shared" si="7"/>
      </c>
      <c r="B460" s="443" t="s">
        <v>98</v>
      </c>
      <c r="C460" s="443" t="s">
        <v>38</v>
      </c>
      <c r="D460" s="443">
        <v>3</v>
      </c>
      <c r="E460" s="443">
        <v>3</v>
      </c>
      <c r="F460" s="443">
        <v>32.58525</v>
      </c>
    </row>
    <row r="461" spans="1:6" ht="12.75">
      <c r="A461" s="443">
        <f t="shared" si="7"/>
      </c>
      <c r="B461" s="443" t="s">
        <v>98</v>
      </c>
      <c r="C461" s="443" t="s">
        <v>42</v>
      </c>
      <c r="D461" s="443">
        <v>1</v>
      </c>
      <c r="E461" s="443">
        <v>4</v>
      </c>
      <c r="F461" s="443">
        <v>68.77934065934065</v>
      </c>
    </row>
    <row r="462" spans="1:6" ht="12.75">
      <c r="A462" s="443">
        <f t="shared" si="7"/>
      </c>
      <c r="B462" s="443" t="s">
        <v>98</v>
      </c>
      <c r="C462" s="443" t="s">
        <v>42</v>
      </c>
      <c r="D462" s="443">
        <v>2</v>
      </c>
      <c r="E462" s="443">
        <v>5</v>
      </c>
      <c r="F462" s="443">
        <v>61.528406593406636</v>
      </c>
    </row>
    <row r="463" spans="1:6" ht="12.75">
      <c r="A463" s="443">
        <f t="shared" si="7"/>
      </c>
      <c r="B463" s="443" t="s">
        <v>98</v>
      </c>
      <c r="C463" s="443" t="s">
        <v>42</v>
      </c>
      <c r="D463" s="443">
        <v>3</v>
      </c>
      <c r="E463" s="443">
        <v>6</v>
      </c>
      <c r="F463" s="443">
        <v>50.58401098901094</v>
      </c>
    </row>
    <row r="464" spans="1:6" ht="12.75">
      <c r="A464" s="443">
        <f t="shared" si="7"/>
      </c>
      <c r="B464" s="443" t="s">
        <v>98</v>
      </c>
      <c r="C464" s="443" t="s">
        <v>48</v>
      </c>
      <c r="D464" s="443">
        <v>1</v>
      </c>
      <c r="E464" s="443">
        <v>7</v>
      </c>
      <c r="F464" s="443">
        <v>78.79608695652169</v>
      </c>
    </row>
    <row r="465" spans="1:6" ht="12.75">
      <c r="A465" s="443">
        <f t="shared" si="7"/>
      </c>
      <c r="B465" s="443" t="s">
        <v>98</v>
      </c>
      <c r="C465" s="443" t="s">
        <v>48</v>
      </c>
      <c r="D465" s="443">
        <v>2</v>
      </c>
      <c r="E465" s="443">
        <v>8</v>
      </c>
      <c r="F465" s="443">
        <v>71.71274456521729</v>
      </c>
    </row>
    <row r="466" spans="1:6" ht="12.75">
      <c r="A466" s="443">
        <f t="shared" si="7"/>
      </c>
      <c r="B466" s="443" t="s">
        <v>98</v>
      </c>
      <c r="C466" s="443" t="s">
        <v>48</v>
      </c>
      <c r="D466" s="443">
        <v>3</v>
      </c>
      <c r="E466" s="443">
        <v>9</v>
      </c>
      <c r="F466" s="443">
        <v>59.09220108695649</v>
      </c>
    </row>
    <row r="467" spans="1:6" ht="12.75">
      <c r="A467" s="443">
        <f t="shared" si="7"/>
      </c>
      <c r="B467" s="443" t="s">
        <v>98</v>
      </c>
      <c r="C467" s="443" t="s">
        <v>59</v>
      </c>
      <c r="D467" s="443">
        <v>1</v>
      </c>
      <c r="E467" s="443">
        <v>10</v>
      </c>
      <c r="F467" s="443">
        <v>45.02211956521744</v>
      </c>
    </row>
    <row r="468" spans="1:6" ht="12.75">
      <c r="A468" s="443">
        <f t="shared" si="7"/>
      </c>
      <c r="B468" s="443" t="s">
        <v>98</v>
      </c>
      <c r="C468" s="443" t="s">
        <v>59</v>
      </c>
      <c r="D468" s="443">
        <v>2</v>
      </c>
      <c r="E468" s="443">
        <v>11</v>
      </c>
      <c r="F468" s="443">
        <v>40.03910326086961</v>
      </c>
    </row>
    <row r="469" spans="1:6" ht="12.75">
      <c r="A469" s="443">
        <f t="shared" si="7"/>
      </c>
      <c r="B469" s="443" t="s">
        <v>98</v>
      </c>
      <c r="C469" s="443" t="s">
        <v>59</v>
      </c>
      <c r="D469" s="443">
        <v>3</v>
      </c>
      <c r="E469" s="443">
        <v>12</v>
      </c>
      <c r="F469" s="443">
        <v>35.89103260869568</v>
      </c>
    </row>
    <row r="470" spans="1:6" ht="12.75">
      <c r="A470" s="443" t="str">
        <f t="shared" si="7"/>
        <v>WA - Kelso</v>
      </c>
      <c r="B470" s="443" t="s">
        <v>96</v>
      </c>
      <c r="C470" s="443" t="s">
        <v>38</v>
      </c>
      <c r="D470" s="443">
        <v>1</v>
      </c>
      <c r="E470" s="443">
        <v>1</v>
      </c>
      <c r="F470" s="443">
        <v>47.63800000000001</v>
      </c>
    </row>
    <row r="471" spans="1:6" ht="12.75">
      <c r="A471" s="443">
        <f t="shared" si="7"/>
      </c>
      <c r="B471" s="443" t="s">
        <v>96</v>
      </c>
      <c r="C471" s="443" t="s">
        <v>38</v>
      </c>
      <c r="D471" s="443">
        <v>2</v>
      </c>
      <c r="E471" s="443">
        <v>2</v>
      </c>
      <c r="F471" s="443">
        <v>44.68174999999999</v>
      </c>
    </row>
    <row r="472" spans="1:6" ht="12.75">
      <c r="A472" s="443">
        <f t="shared" si="7"/>
      </c>
      <c r="B472" s="443" t="s">
        <v>96</v>
      </c>
      <c r="C472" s="443" t="s">
        <v>38</v>
      </c>
      <c r="D472" s="443">
        <v>3</v>
      </c>
      <c r="E472" s="443">
        <v>3</v>
      </c>
      <c r="F472" s="443">
        <v>40.51899999999994</v>
      </c>
    </row>
    <row r="473" spans="1:6" ht="12.75">
      <c r="A473" s="443">
        <f t="shared" si="7"/>
      </c>
      <c r="B473" s="443" t="s">
        <v>96</v>
      </c>
      <c r="C473" s="443" t="s">
        <v>42</v>
      </c>
      <c r="D473" s="443">
        <v>1</v>
      </c>
      <c r="E473" s="443">
        <v>4</v>
      </c>
      <c r="F473" s="443">
        <v>60.47263736263736</v>
      </c>
    </row>
    <row r="474" spans="1:6" ht="12.75">
      <c r="A474" s="443">
        <f t="shared" si="7"/>
      </c>
      <c r="B474" s="443" t="s">
        <v>96</v>
      </c>
      <c r="C474" s="443" t="s">
        <v>42</v>
      </c>
      <c r="D474" s="443">
        <v>2</v>
      </c>
      <c r="E474" s="443">
        <v>5</v>
      </c>
      <c r="F474" s="443">
        <v>55.36884615384611</v>
      </c>
    </row>
    <row r="475" spans="1:6" ht="12.75">
      <c r="A475" s="443">
        <f t="shared" si="7"/>
      </c>
      <c r="B475" s="443" t="s">
        <v>96</v>
      </c>
      <c r="C475" s="443" t="s">
        <v>42</v>
      </c>
      <c r="D475" s="443">
        <v>3</v>
      </c>
      <c r="E475" s="443">
        <v>6</v>
      </c>
      <c r="F475" s="443">
        <v>49.878846153846126</v>
      </c>
    </row>
    <row r="476" spans="1:6" ht="12.75">
      <c r="A476" s="443">
        <f t="shared" si="7"/>
      </c>
      <c r="B476" s="443" t="s">
        <v>96</v>
      </c>
      <c r="C476" s="443" t="s">
        <v>48</v>
      </c>
      <c r="D476" s="443">
        <v>1</v>
      </c>
      <c r="E476" s="443">
        <v>7</v>
      </c>
      <c r="F476" s="443">
        <v>70.29255434782606</v>
      </c>
    </row>
    <row r="477" spans="1:6" ht="12.75">
      <c r="A477" s="443">
        <f t="shared" si="7"/>
      </c>
      <c r="B477" s="443" t="s">
        <v>96</v>
      </c>
      <c r="C477" s="443" t="s">
        <v>48</v>
      </c>
      <c r="D477" s="443">
        <v>2</v>
      </c>
      <c r="E477" s="443">
        <v>8</v>
      </c>
      <c r="F477" s="443">
        <v>64.38703804347816</v>
      </c>
    </row>
    <row r="478" spans="1:6" ht="12.75">
      <c r="A478" s="443">
        <f t="shared" si="7"/>
      </c>
      <c r="B478" s="443" t="s">
        <v>96</v>
      </c>
      <c r="C478" s="443" t="s">
        <v>48</v>
      </c>
      <c r="D478" s="443">
        <v>3</v>
      </c>
      <c r="E478" s="443">
        <v>9</v>
      </c>
      <c r="F478" s="443">
        <v>55.0602989130434</v>
      </c>
    </row>
    <row r="479" spans="1:6" ht="12.75">
      <c r="A479" s="443">
        <f t="shared" si="7"/>
      </c>
      <c r="B479" s="443" t="s">
        <v>96</v>
      </c>
      <c r="C479" s="443" t="s">
        <v>59</v>
      </c>
      <c r="D479" s="443">
        <v>1</v>
      </c>
      <c r="E479" s="443">
        <v>10</v>
      </c>
      <c r="F479" s="443">
        <v>48.73095108695649</v>
      </c>
    </row>
    <row r="480" spans="1:6" ht="12.75">
      <c r="A480" s="443">
        <f t="shared" si="7"/>
      </c>
      <c r="B480" s="443" t="s">
        <v>96</v>
      </c>
      <c r="C480" s="443" t="s">
        <v>59</v>
      </c>
      <c r="D480" s="443">
        <v>2</v>
      </c>
      <c r="E480" s="443">
        <v>11</v>
      </c>
      <c r="F480" s="443">
        <v>45.25714673913034</v>
      </c>
    </row>
    <row r="481" spans="1:6" ht="12.75">
      <c r="A481" s="443">
        <f t="shared" si="7"/>
      </c>
      <c r="B481" s="443" t="s">
        <v>96</v>
      </c>
      <c r="C481" s="443" t="s">
        <v>59</v>
      </c>
      <c r="D481" s="443">
        <v>3</v>
      </c>
      <c r="E481" s="443">
        <v>12</v>
      </c>
      <c r="F481" s="443">
        <v>43.045788043478176</v>
      </c>
    </row>
    <row r="482" spans="1:6" ht="12.75">
      <c r="A482" s="443" t="str">
        <f t="shared" si="7"/>
        <v>WA - Bellingham</v>
      </c>
      <c r="B482" s="443" t="s">
        <v>94</v>
      </c>
      <c r="C482" s="443" t="s">
        <v>38</v>
      </c>
      <c r="D482" s="443">
        <v>1</v>
      </c>
      <c r="E482" s="443">
        <v>1</v>
      </c>
      <c r="F482" s="443">
        <v>42.309749999999994</v>
      </c>
    </row>
    <row r="483" spans="1:6" ht="12.75">
      <c r="A483" s="443">
        <f t="shared" si="7"/>
      </c>
      <c r="B483" s="443" t="s">
        <v>94</v>
      </c>
      <c r="C483" s="443" t="s">
        <v>38</v>
      </c>
      <c r="D483" s="443">
        <v>2</v>
      </c>
      <c r="E483" s="443">
        <v>2</v>
      </c>
      <c r="F483" s="443">
        <v>39.20725</v>
      </c>
    </row>
    <row r="484" spans="1:6" ht="12.75">
      <c r="A484" s="443">
        <f t="shared" si="7"/>
      </c>
      <c r="B484" s="443" t="s">
        <v>94</v>
      </c>
      <c r="C484" s="443" t="s">
        <v>38</v>
      </c>
      <c r="D484" s="443">
        <v>3</v>
      </c>
      <c r="E484" s="443">
        <v>3</v>
      </c>
      <c r="F484" s="443">
        <v>36.22250000000005</v>
      </c>
    </row>
    <row r="485" spans="1:6" ht="12.75">
      <c r="A485" s="443">
        <f t="shared" si="7"/>
      </c>
      <c r="B485" s="443" t="s">
        <v>94</v>
      </c>
      <c r="C485" s="443" t="s">
        <v>42</v>
      </c>
      <c r="D485" s="443">
        <v>1</v>
      </c>
      <c r="E485" s="443">
        <v>4</v>
      </c>
      <c r="F485" s="443">
        <v>58.385329670329625</v>
      </c>
    </row>
    <row r="486" spans="1:6" ht="12.75">
      <c r="A486" s="443">
        <f t="shared" si="7"/>
      </c>
      <c r="B486" s="443" t="s">
        <v>94</v>
      </c>
      <c r="C486" s="443" t="s">
        <v>42</v>
      </c>
      <c r="D486" s="443">
        <v>2</v>
      </c>
      <c r="E486" s="443">
        <v>5</v>
      </c>
      <c r="F486" s="443">
        <v>53.97186813186818</v>
      </c>
    </row>
    <row r="487" spans="1:6" ht="12.75">
      <c r="A487" s="443">
        <f t="shared" si="7"/>
      </c>
      <c r="B487" s="443" t="s">
        <v>94</v>
      </c>
      <c r="C487" s="443" t="s">
        <v>42</v>
      </c>
      <c r="D487" s="443">
        <v>3</v>
      </c>
      <c r="E487" s="443">
        <v>6</v>
      </c>
      <c r="F487" s="443">
        <v>48.6932692307692</v>
      </c>
    </row>
    <row r="488" spans="1:6" ht="12.75">
      <c r="A488" s="443">
        <f t="shared" si="7"/>
      </c>
      <c r="B488" s="443" t="s">
        <v>94</v>
      </c>
      <c r="C488" s="443" t="s">
        <v>48</v>
      </c>
      <c r="D488" s="443">
        <v>1</v>
      </c>
      <c r="E488" s="443">
        <v>7</v>
      </c>
      <c r="F488" s="443">
        <v>64.89230978260868</v>
      </c>
    </row>
    <row r="489" spans="1:6" ht="12.75">
      <c r="A489" s="443">
        <f t="shared" si="7"/>
      </c>
      <c r="B489" s="443" t="s">
        <v>94</v>
      </c>
      <c r="C489" s="443" t="s">
        <v>48</v>
      </c>
      <c r="D489" s="443">
        <v>2</v>
      </c>
      <c r="E489" s="443">
        <v>8</v>
      </c>
      <c r="F489" s="443">
        <v>60.29546195652178</v>
      </c>
    </row>
    <row r="490" spans="1:6" ht="12.75">
      <c r="A490" s="443">
        <f t="shared" si="7"/>
      </c>
      <c r="B490" s="443" t="s">
        <v>94</v>
      </c>
      <c r="C490" s="443" t="s">
        <v>48</v>
      </c>
      <c r="D490" s="443">
        <v>3</v>
      </c>
      <c r="E490" s="443">
        <v>9</v>
      </c>
      <c r="F490" s="443">
        <v>54.88127717391298</v>
      </c>
    </row>
    <row r="491" spans="1:6" ht="12.75">
      <c r="A491" s="443">
        <f t="shared" si="7"/>
      </c>
      <c r="B491" s="443" t="s">
        <v>94</v>
      </c>
      <c r="C491" s="443" t="s">
        <v>59</v>
      </c>
      <c r="D491" s="443">
        <v>1</v>
      </c>
      <c r="E491" s="443">
        <v>10</v>
      </c>
      <c r="F491" s="443">
        <v>46.019211956521715</v>
      </c>
    </row>
    <row r="492" spans="1:6" ht="12.75">
      <c r="A492" s="443">
        <f t="shared" si="7"/>
      </c>
      <c r="B492" s="443" t="s">
        <v>94</v>
      </c>
      <c r="C492" s="443" t="s">
        <v>59</v>
      </c>
      <c r="D492" s="443">
        <v>2</v>
      </c>
      <c r="E492" s="443">
        <v>11</v>
      </c>
      <c r="F492" s="443">
        <v>43.250733695652194</v>
      </c>
    </row>
    <row r="493" spans="1:6" ht="12.75">
      <c r="A493" s="443">
        <f t="shared" si="7"/>
      </c>
      <c r="B493" s="443" t="s">
        <v>94</v>
      </c>
      <c r="C493" s="443" t="s">
        <v>59</v>
      </c>
      <c r="D493" s="443">
        <v>3</v>
      </c>
      <c r="E493" s="443">
        <v>12</v>
      </c>
      <c r="F493" s="443">
        <v>41.608967391304255</v>
      </c>
    </row>
  </sheetData>
  <sheetProtection formatCells="0"/>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sheetPr codeName="Sheet8"/>
  <dimension ref="B1:V89"/>
  <sheetViews>
    <sheetView zoomScalePageLayoutView="0" workbookViewId="0" topLeftCell="B38">
      <selection activeCell="I78" sqref="I78"/>
    </sheetView>
  </sheetViews>
  <sheetFormatPr defaultColWidth="9.140625" defaultRowHeight="12.75"/>
  <cols>
    <col min="1" max="3" width="9.140625" style="443" customWidth="1"/>
    <col min="4" max="4" width="16.140625" style="443" customWidth="1"/>
    <col min="5" max="16384" width="9.140625" style="443" customWidth="1"/>
  </cols>
  <sheetData>
    <row r="1" ht="18">
      <c r="D1" s="536" t="s">
        <v>115</v>
      </c>
    </row>
    <row r="3" spans="4:18" ht="12.75">
      <c r="D3" s="442" t="s">
        <v>116</v>
      </c>
      <c r="K3" s="442" t="s">
        <v>117</v>
      </c>
      <c r="R3" s="442" t="s">
        <v>118</v>
      </c>
    </row>
    <row r="5" spans="4:19" ht="12.75">
      <c r="D5" s="537" t="s">
        <v>119</v>
      </c>
      <c r="E5" s="537" t="s">
        <v>120</v>
      </c>
      <c r="K5" s="537" t="s">
        <v>119</v>
      </c>
      <c r="L5" s="537" t="s">
        <v>120</v>
      </c>
      <c r="R5" s="537" t="s">
        <v>121</v>
      </c>
      <c r="S5" s="537" t="s">
        <v>120</v>
      </c>
    </row>
    <row r="6" spans="4:19" ht="12.75">
      <c r="D6" s="538" t="s">
        <v>122</v>
      </c>
      <c r="E6" s="538" t="s">
        <v>123</v>
      </c>
      <c r="K6" s="538" t="s">
        <v>124</v>
      </c>
      <c r="L6" s="538" t="s">
        <v>123</v>
      </c>
      <c r="R6" s="538" t="s">
        <v>122</v>
      </c>
      <c r="S6" s="538" t="s">
        <v>123</v>
      </c>
    </row>
    <row r="7" spans="4:21" ht="12.75">
      <c r="D7" s="443">
        <v>80</v>
      </c>
      <c r="E7" s="539">
        <f>AVERAGE(F26,E37,E65)</f>
        <v>1.5931147540983606</v>
      </c>
      <c r="G7" s="540">
        <f>D7</f>
        <v>80</v>
      </c>
      <c r="H7" s="443">
        <f>G7^2</f>
        <v>6400</v>
      </c>
      <c r="I7" s="443">
        <f>G7^3</f>
        <v>512000</v>
      </c>
      <c r="K7" s="443">
        <v>50</v>
      </c>
      <c r="L7" s="539">
        <f>AVERAGE(M26,L65)</f>
        <v>0.7875968992248061</v>
      </c>
      <c r="N7" s="540">
        <f>K7</f>
        <v>50</v>
      </c>
      <c r="O7" s="443">
        <f>N7^2</f>
        <v>2500</v>
      </c>
      <c r="P7" s="443">
        <f>N7^3</f>
        <v>125000</v>
      </c>
      <c r="Q7" s="541"/>
      <c r="R7" s="443">
        <v>80</v>
      </c>
      <c r="S7" s="539">
        <f>AVERAGE(T26,S37,T49)</f>
        <v>1.2066666666666668</v>
      </c>
      <c r="U7" s="540"/>
    </row>
    <row r="8" spans="2:21" ht="12.75">
      <c r="B8" s="443" t="s">
        <v>125</v>
      </c>
      <c r="D8" s="443">
        <v>90</v>
      </c>
      <c r="E8" s="539">
        <f>AVERAGE(F27,E38,E66)</f>
        <v>1.2519409282700422</v>
      </c>
      <c r="G8" s="540">
        <f>D8</f>
        <v>90</v>
      </c>
      <c r="H8" s="443">
        <f>G8^2</f>
        <v>8100</v>
      </c>
      <c r="I8" s="443">
        <f>G8^3</f>
        <v>729000</v>
      </c>
      <c r="K8" s="443">
        <v>75</v>
      </c>
      <c r="L8" s="539">
        <f>AVERAGE(M27,M37,L66)</f>
        <v>0.9063636363636364</v>
      </c>
      <c r="N8" s="540">
        <f aca="true" t="shared" si="0" ref="N8:N13">K8</f>
        <v>75</v>
      </c>
      <c r="O8" s="443">
        <f aca="true" t="shared" si="1" ref="O8:O13">N8^2</f>
        <v>5625</v>
      </c>
      <c r="P8" s="443">
        <f aca="true" t="shared" si="2" ref="P8:P13">N8^3</f>
        <v>421875</v>
      </c>
      <c r="Q8" s="541"/>
      <c r="R8" s="443">
        <v>90</v>
      </c>
      <c r="S8" s="539">
        <f>AVERAGE(T27,S38,T50)</f>
        <v>1.1011985018726593</v>
      </c>
      <c r="U8" s="540"/>
    </row>
    <row r="9" spans="4:19" ht="12.75">
      <c r="D9" s="443">
        <v>100</v>
      </c>
      <c r="E9" s="539">
        <f>AVERAGE(F28,E39,E67)</f>
        <v>1</v>
      </c>
      <c r="G9" s="540">
        <f>D9</f>
        <v>100</v>
      </c>
      <c r="H9" s="443">
        <f>G9^2</f>
        <v>10000</v>
      </c>
      <c r="I9" s="443">
        <f>G9^3</f>
        <v>1000000</v>
      </c>
      <c r="K9" s="443">
        <v>100</v>
      </c>
      <c r="L9" s="539">
        <f>AVERAGE(L28,N38,M67)</f>
        <v>1</v>
      </c>
      <c r="N9" s="540">
        <f t="shared" si="0"/>
        <v>100</v>
      </c>
      <c r="O9" s="443">
        <f t="shared" si="1"/>
        <v>10000</v>
      </c>
      <c r="P9" s="443">
        <f t="shared" si="2"/>
        <v>1000000</v>
      </c>
      <c r="Q9" s="541"/>
      <c r="R9" s="443">
        <v>100</v>
      </c>
      <c r="S9" s="539">
        <f>AVERAGE(T28,S39,T51)</f>
        <v>1</v>
      </c>
    </row>
    <row r="10" spans="4:19" ht="12.75">
      <c r="D10" s="443">
        <v>110</v>
      </c>
      <c r="E10" s="539">
        <f>AVERAGE(F29,E40,E68)</f>
        <v>0.8176693766937669</v>
      </c>
      <c r="G10" s="540">
        <f>D10</f>
        <v>110</v>
      </c>
      <c r="H10" s="443">
        <f>G10^2</f>
        <v>12100</v>
      </c>
      <c r="I10" s="443">
        <f>G10^3</f>
        <v>1331000</v>
      </c>
      <c r="K10" s="443">
        <v>125</v>
      </c>
      <c r="L10" s="539">
        <f>AVERAGE(M29,M39,L68)</f>
        <v>1.0875968992248064</v>
      </c>
      <c r="N10" s="540">
        <f t="shared" si="0"/>
        <v>125</v>
      </c>
      <c r="O10" s="443">
        <f t="shared" si="1"/>
        <v>15625</v>
      </c>
      <c r="P10" s="443">
        <f t="shared" si="2"/>
        <v>1953125</v>
      </c>
      <c r="Q10" s="541"/>
      <c r="R10" s="443">
        <v>110</v>
      </c>
      <c r="S10" s="539">
        <f>AVERAGE(T29,S40,T52)</f>
        <v>0.8873563218390804</v>
      </c>
    </row>
    <row r="11" spans="4:19" ht="12.75">
      <c r="D11" s="443">
        <v>120</v>
      </c>
      <c r="E11" s="539">
        <f>AVERAGE(F30,E41,E69)</f>
        <v>0.6707505518763797</v>
      </c>
      <c r="G11" s="540">
        <f>D11</f>
        <v>120</v>
      </c>
      <c r="H11" s="443">
        <f>G11^2</f>
        <v>14400</v>
      </c>
      <c r="I11" s="443">
        <f>G11^3</f>
        <v>1728000</v>
      </c>
      <c r="K11" s="443">
        <v>150</v>
      </c>
      <c r="L11" s="539">
        <f>AVERAGE(M30,M40,L69)</f>
        <v>1.1586075949367087</v>
      </c>
      <c r="N11" s="540">
        <f t="shared" si="0"/>
        <v>150</v>
      </c>
      <c r="O11" s="443">
        <f t="shared" si="1"/>
        <v>22500</v>
      </c>
      <c r="P11" s="443">
        <f t="shared" si="2"/>
        <v>3375000</v>
      </c>
      <c r="Q11" s="541"/>
      <c r="R11" s="443">
        <v>120</v>
      </c>
      <c r="S11" s="539">
        <f>AVERAGE(T30,S41,T53)</f>
        <v>0.7696153846153846</v>
      </c>
    </row>
    <row r="12" spans="11:16" ht="12.75">
      <c r="K12" s="443">
        <v>225</v>
      </c>
      <c r="L12" s="539">
        <f>AVERAGE(M41,L70)</f>
        <v>1.22</v>
      </c>
      <c r="N12" s="540">
        <f t="shared" si="0"/>
        <v>225</v>
      </c>
      <c r="O12" s="443">
        <f t="shared" si="1"/>
        <v>50625</v>
      </c>
      <c r="P12" s="443">
        <f t="shared" si="2"/>
        <v>11390625</v>
      </c>
    </row>
    <row r="13" spans="4:20" ht="12.75">
      <c r="D13" s="443" t="s">
        <v>126</v>
      </c>
      <c r="E13" s="539">
        <f>SLOPE(E7:E11,D7:D11)</f>
        <v>-0.022789999560202372</v>
      </c>
      <c r="F13" s="443" t="s">
        <v>127</v>
      </c>
      <c r="K13" s="443">
        <v>250</v>
      </c>
      <c r="L13" s="542">
        <f>M30</f>
        <v>1.2658227848101264</v>
      </c>
      <c r="N13" s="540">
        <f t="shared" si="0"/>
        <v>250</v>
      </c>
      <c r="O13" s="443">
        <f t="shared" si="1"/>
        <v>62500</v>
      </c>
      <c r="P13" s="443">
        <f t="shared" si="2"/>
        <v>15625000</v>
      </c>
      <c r="R13" s="443" t="s">
        <v>126</v>
      </c>
      <c r="S13" s="539">
        <f>SLOPE(S7:S11,R7:R11)</f>
        <v>-0.010879447441361432</v>
      </c>
      <c r="T13" s="443" t="s">
        <v>128</v>
      </c>
    </row>
    <row r="14" spans="4:20" ht="12.75">
      <c r="D14" s="443" t="s">
        <v>129</v>
      </c>
      <c r="E14" s="443">
        <f>INTERCEPT(E7:E11,D7:D11)</f>
        <v>3.3456950782079473</v>
      </c>
      <c r="F14" s="443" t="s">
        <v>130</v>
      </c>
      <c r="R14" s="443" t="s">
        <v>129</v>
      </c>
      <c r="S14" s="443">
        <f>INTERCEPT(S7:S11,R7:R11)</f>
        <v>2.0809121191349016</v>
      </c>
      <c r="T14" s="443" t="s">
        <v>131</v>
      </c>
    </row>
    <row r="15" spans="4:12" ht="12.75">
      <c r="D15" s="443" t="s">
        <v>132</v>
      </c>
      <c r="E15" s="543">
        <f>INDEX(LINEST($E$7:$E$11,$G$7:$I$11),4)</f>
        <v>10.885135702196909</v>
      </c>
      <c r="K15" s="443" t="s">
        <v>132</v>
      </c>
      <c r="L15" s="543">
        <f>INDEX(LINEST($L$7:$L$13,$N$7:$P$13),4)</f>
        <v>0.4219336838048615</v>
      </c>
    </row>
    <row r="16" spans="4:12" ht="12.75">
      <c r="D16" s="443" t="s">
        <v>133</v>
      </c>
      <c r="E16" s="543">
        <f>INDEX(LINEST($E$7:$E$11,$G$7:$I$11),3)</f>
        <v>-0.22126357423429127</v>
      </c>
      <c r="K16" s="443" t="s">
        <v>133</v>
      </c>
      <c r="L16" s="543">
        <f>INDEX(LINEST($L$7:$L$13,$N$7:$P$13),3)</f>
        <v>0.008761072188460133</v>
      </c>
    </row>
    <row r="17" spans="4:12" ht="12.75">
      <c r="D17" s="443" t="s">
        <v>134</v>
      </c>
      <c r="E17" s="543">
        <f>INDEX(LINEST($E$7:$E$11,$G$7:$I$11),2)</f>
        <v>0.0016727562674398405</v>
      </c>
      <c r="K17" s="443" t="s">
        <v>134</v>
      </c>
      <c r="L17" s="543">
        <f>INDEX(LINEST($L$7:$L$13,$N$7:$P$13),2)</f>
        <v>-3.342301857622011E-05</v>
      </c>
    </row>
    <row r="18" spans="4:12" ht="12.75">
      <c r="D18" s="443" t="s">
        <v>135</v>
      </c>
      <c r="E18" s="543">
        <f>INDEX(LINEST($E$7:$E$11,$G$7:$I$11),1)</f>
        <v>-4.485091589119287E-06</v>
      </c>
      <c r="K18" s="443" t="s">
        <v>135</v>
      </c>
      <c r="L18" s="543">
        <f>INDEX(LINEST($L$7:$L$13,$N$7:$P$13),1)</f>
        <v>4.6957836142729886E-08</v>
      </c>
    </row>
    <row r="22" spans="4:18" ht="12.75">
      <c r="D22" s="442" t="s">
        <v>116</v>
      </c>
      <c r="K22" s="442" t="s">
        <v>117</v>
      </c>
      <c r="R22" s="442" t="s">
        <v>118</v>
      </c>
    </row>
    <row r="24" spans="4:19" ht="12.75">
      <c r="D24" s="537" t="s">
        <v>119</v>
      </c>
      <c r="E24" s="537" t="s">
        <v>120</v>
      </c>
      <c r="K24" s="537" t="s">
        <v>119</v>
      </c>
      <c r="L24" s="537" t="s">
        <v>120</v>
      </c>
      <c r="R24" s="537" t="s">
        <v>121</v>
      </c>
      <c r="S24" s="537" t="s">
        <v>120</v>
      </c>
    </row>
    <row r="25" spans="4:20" ht="12.75">
      <c r="D25" s="538" t="s">
        <v>122</v>
      </c>
      <c r="E25" s="538" t="s">
        <v>123</v>
      </c>
      <c r="F25" s="444" t="s">
        <v>136</v>
      </c>
      <c r="K25" s="538" t="s">
        <v>124</v>
      </c>
      <c r="L25" s="538" t="s">
        <v>123</v>
      </c>
      <c r="M25" s="444" t="s">
        <v>136</v>
      </c>
      <c r="R25" s="538" t="s">
        <v>122</v>
      </c>
      <c r="S25" s="538" t="s">
        <v>123</v>
      </c>
      <c r="T25" s="444" t="s">
        <v>136</v>
      </c>
    </row>
    <row r="26" spans="2:22" ht="12.75">
      <c r="B26" s="443" t="s">
        <v>137</v>
      </c>
      <c r="D26" s="443">
        <v>80</v>
      </c>
      <c r="E26" s="539">
        <v>0.61</v>
      </c>
      <c r="F26" s="542">
        <f>1/E26</f>
        <v>1.639344262295082</v>
      </c>
      <c r="G26" s="443">
        <f>SLOPE(E26:E30,D26:D30)</f>
        <v>0.022400000000000003</v>
      </c>
      <c r="H26" s="540" t="s">
        <v>138</v>
      </c>
      <c r="K26" s="443">
        <v>50</v>
      </c>
      <c r="L26" s="539">
        <v>1.29</v>
      </c>
      <c r="M26" s="542">
        <f>1/L26</f>
        <v>0.7751937984496123</v>
      </c>
      <c r="N26" s="443">
        <f>SLOPE(L26:L30,K26:K30)</f>
        <v>-0.00226</v>
      </c>
      <c r="O26" s="540" t="s">
        <v>138</v>
      </c>
      <c r="Q26" s="541"/>
      <c r="R26" s="443">
        <v>80</v>
      </c>
      <c r="S26" s="539">
        <v>0.8</v>
      </c>
      <c r="T26" s="542">
        <f>1/S26</f>
        <v>1.25</v>
      </c>
      <c r="U26" s="443">
        <f>SLOPE(S26:S30,R26:R30)</f>
        <v>0.0127</v>
      </c>
      <c r="V26" s="540" t="s">
        <v>138</v>
      </c>
    </row>
    <row r="27" spans="2:22" ht="12.75">
      <c r="B27" s="443" t="s">
        <v>139</v>
      </c>
      <c r="D27" s="443">
        <v>90</v>
      </c>
      <c r="E27" s="539">
        <v>0.79</v>
      </c>
      <c r="F27" s="542">
        <f>1/E27</f>
        <v>1.2658227848101264</v>
      </c>
      <c r="G27" s="443">
        <f>INTERCEPT(E26:E30,D26:D30)</f>
        <v>-1.2120000000000002</v>
      </c>
      <c r="H27" s="540" t="s">
        <v>140</v>
      </c>
      <c r="K27" s="443">
        <v>75</v>
      </c>
      <c r="L27" s="539">
        <v>1.1</v>
      </c>
      <c r="M27" s="542">
        <f>1/L27</f>
        <v>0.9090909090909091</v>
      </c>
      <c r="N27" s="443">
        <f>INTERCEPT(L26:L30,K26:K30)</f>
        <v>1.2905</v>
      </c>
      <c r="O27" s="540" t="s">
        <v>140</v>
      </c>
      <c r="Q27" s="541"/>
      <c r="R27" s="443">
        <v>90</v>
      </c>
      <c r="S27" s="539">
        <v>0.89</v>
      </c>
      <c r="T27" s="542">
        <f>1/S27</f>
        <v>1.1235955056179776</v>
      </c>
      <c r="U27" s="443">
        <f>INTERCEPT(S26:S30,R26:R30)</f>
        <v>-0.2400000000000002</v>
      </c>
      <c r="V27" s="540" t="s">
        <v>140</v>
      </c>
    </row>
    <row r="28" spans="2:20" ht="12.75">
      <c r="B28" s="443" t="s">
        <v>141</v>
      </c>
      <c r="D28" s="443">
        <v>100</v>
      </c>
      <c r="E28" s="539">
        <v>1</v>
      </c>
      <c r="F28" s="542">
        <f>1/E28</f>
        <v>1</v>
      </c>
      <c r="K28" s="443">
        <v>100</v>
      </c>
      <c r="L28" s="539">
        <v>1</v>
      </c>
      <c r="M28" s="542">
        <f>1/L28</f>
        <v>1</v>
      </c>
      <c r="Q28" s="541"/>
      <c r="R28" s="443">
        <v>100</v>
      </c>
      <c r="S28" s="539">
        <v>1</v>
      </c>
      <c r="T28" s="542">
        <f>1/S28</f>
        <v>1</v>
      </c>
    </row>
    <row r="29" spans="4:20" ht="12.75">
      <c r="D29" s="443">
        <v>110</v>
      </c>
      <c r="E29" s="539">
        <v>1.23</v>
      </c>
      <c r="F29" s="542">
        <f>1/E29</f>
        <v>0.8130081300813008</v>
      </c>
      <c r="K29" s="443">
        <v>150</v>
      </c>
      <c r="L29" s="539">
        <v>0.86</v>
      </c>
      <c r="M29" s="542">
        <f>1/L29</f>
        <v>1.1627906976744187</v>
      </c>
      <c r="Q29" s="541"/>
      <c r="R29" s="443">
        <v>110</v>
      </c>
      <c r="S29" s="539">
        <v>1.16</v>
      </c>
      <c r="T29" s="542">
        <f>1/S29</f>
        <v>0.8620689655172414</v>
      </c>
    </row>
    <row r="30" spans="4:20" ht="12.75">
      <c r="D30" s="443">
        <v>120</v>
      </c>
      <c r="E30" s="539">
        <v>1.51</v>
      </c>
      <c r="F30" s="542">
        <f>1/E30</f>
        <v>0.6622516556291391</v>
      </c>
      <c r="K30" s="443">
        <v>250</v>
      </c>
      <c r="L30" s="539">
        <v>0.79</v>
      </c>
      <c r="M30" s="542">
        <f>1/L30</f>
        <v>1.2658227848101264</v>
      </c>
      <c r="Q30" s="541"/>
      <c r="R30" s="443">
        <v>120</v>
      </c>
      <c r="S30" s="539">
        <v>1.3</v>
      </c>
      <c r="T30" s="542">
        <f>1/S30</f>
        <v>0.7692307692307692</v>
      </c>
    </row>
    <row r="33" spans="4:18" ht="12.75">
      <c r="D33" s="442" t="s">
        <v>116</v>
      </c>
      <c r="K33" s="442" t="s">
        <v>117</v>
      </c>
      <c r="R33" s="442" t="s">
        <v>118</v>
      </c>
    </row>
    <row r="34" spans="3:12" ht="12.75">
      <c r="C34" s="493"/>
      <c r="D34" s="493"/>
      <c r="E34" s="493"/>
      <c r="F34" s="493"/>
      <c r="G34" s="493"/>
      <c r="H34" s="493"/>
      <c r="I34" s="493"/>
      <c r="J34" s="493"/>
      <c r="L34" s="493"/>
    </row>
    <row r="35" spans="3:20" ht="12.75">
      <c r="C35" s="493"/>
      <c r="D35" s="537" t="s">
        <v>119</v>
      </c>
      <c r="E35" s="537" t="s">
        <v>120</v>
      </c>
      <c r="F35" s="493" t="s">
        <v>142</v>
      </c>
      <c r="G35" s="493"/>
      <c r="H35" s="493"/>
      <c r="I35" s="493"/>
      <c r="J35" s="493"/>
      <c r="K35" s="493"/>
      <c r="L35" s="537" t="s">
        <v>119</v>
      </c>
      <c r="M35" s="537" t="s">
        <v>120</v>
      </c>
      <c r="N35" s="493" t="s">
        <v>142</v>
      </c>
      <c r="R35" s="537" t="s">
        <v>121</v>
      </c>
      <c r="S35" s="537" t="s">
        <v>120</v>
      </c>
      <c r="T35" s="493" t="s">
        <v>142</v>
      </c>
    </row>
    <row r="36" spans="3:20" ht="12.75">
      <c r="C36" s="493"/>
      <c r="D36" s="538" t="s">
        <v>122</v>
      </c>
      <c r="E36" s="538" t="s">
        <v>123</v>
      </c>
      <c r="F36" s="493" t="s">
        <v>143</v>
      </c>
      <c r="G36" s="493"/>
      <c r="H36" s="493"/>
      <c r="I36" s="493"/>
      <c r="J36" s="493"/>
      <c r="K36" s="493"/>
      <c r="L36" s="538" t="s">
        <v>124</v>
      </c>
      <c r="M36" s="538" t="s">
        <v>123</v>
      </c>
      <c r="N36" s="493" t="s">
        <v>143</v>
      </c>
      <c r="R36" s="538" t="s">
        <v>122</v>
      </c>
      <c r="S36" s="538" t="s">
        <v>123</v>
      </c>
      <c r="T36" s="493" t="s">
        <v>143</v>
      </c>
    </row>
    <row r="37" spans="2:20" ht="12.75">
      <c r="B37" s="443" t="s">
        <v>144</v>
      </c>
      <c r="C37" s="493"/>
      <c r="D37" s="493">
        <v>80</v>
      </c>
      <c r="E37" s="443">
        <v>1.64</v>
      </c>
      <c r="F37" s="544">
        <f>1/E37</f>
        <v>0.6097560975609756</v>
      </c>
      <c r="G37" s="493"/>
      <c r="H37" s="493"/>
      <c r="I37" s="493"/>
      <c r="J37" s="493"/>
      <c r="K37" s="493"/>
      <c r="L37" s="493">
        <v>75</v>
      </c>
      <c r="M37" s="443">
        <v>0.91</v>
      </c>
      <c r="N37" s="544">
        <f>1/M37</f>
        <v>1.0989010989010988</v>
      </c>
      <c r="R37" s="443">
        <v>80</v>
      </c>
      <c r="S37" s="443">
        <v>1.25</v>
      </c>
      <c r="T37" s="544">
        <f>1/S37</f>
        <v>0.8</v>
      </c>
    </row>
    <row r="38" spans="2:20" ht="12.75">
      <c r="B38" s="443" t="s">
        <v>139</v>
      </c>
      <c r="C38" s="493"/>
      <c r="D38" s="443">
        <v>90</v>
      </c>
      <c r="E38" s="443">
        <v>1.27</v>
      </c>
      <c r="F38" s="544">
        <f>1/E38</f>
        <v>0.7874015748031495</v>
      </c>
      <c r="G38" s="493"/>
      <c r="H38" s="493"/>
      <c r="I38" s="493"/>
      <c r="J38" s="493"/>
      <c r="K38" s="493"/>
      <c r="L38" s="493">
        <v>100</v>
      </c>
      <c r="M38" s="443">
        <v>1</v>
      </c>
      <c r="N38" s="544">
        <f>1/M38</f>
        <v>1</v>
      </c>
      <c r="R38" s="443">
        <v>90</v>
      </c>
      <c r="S38" s="443">
        <v>1.12</v>
      </c>
      <c r="T38" s="544">
        <f>1/S38</f>
        <v>0.8928571428571428</v>
      </c>
    </row>
    <row r="39" spans="3:20" ht="12.75">
      <c r="C39" s="493"/>
      <c r="D39" s="443">
        <v>100</v>
      </c>
      <c r="E39" s="443">
        <v>1</v>
      </c>
      <c r="F39" s="544">
        <f>1/E39</f>
        <v>1</v>
      </c>
      <c r="G39" s="493"/>
      <c r="H39" s="493"/>
      <c r="I39" s="493"/>
      <c r="J39" s="493"/>
      <c r="K39" s="493"/>
      <c r="L39" s="493">
        <v>125</v>
      </c>
      <c r="M39" s="443">
        <v>1.08</v>
      </c>
      <c r="N39" s="544">
        <f>1/M39</f>
        <v>0.9259259259259258</v>
      </c>
      <c r="R39" s="443">
        <v>100</v>
      </c>
      <c r="S39" s="443">
        <v>1</v>
      </c>
      <c r="T39" s="544">
        <f>1/S39</f>
        <v>1</v>
      </c>
    </row>
    <row r="40" spans="3:20" ht="12.75">
      <c r="C40" s="493"/>
      <c r="D40" s="443">
        <v>110</v>
      </c>
      <c r="E40" s="443">
        <v>0.81</v>
      </c>
      <c r="F40" s="544">
        <f>1/E40</f>
        <v>1.2345679012345678</v>
      </c>
      <c r="G40" s="493"/>
      <c r="H40" s="493"/>
      <c r="I40" s="493"/>
      <c r="J40" s="493"/>
      <c r="K40" s="493"/>
      <c r="L40" s="493">
        <v>150</v>
      </c>
      <c r="M40" s="443">
        <v>1.16</v>
      </c>
      <c r="N40" s="544">
        <f>1/M40</f>
        <v>0.8620689655172414</v>
      </c>
      <c r="R40" s="443">
        <v>110</v>
      </c>
      <c r="S40" s="443">
        <v>0.86</v>
      </c>
      <c r="T40" s="544">
        <f>1/S40</f>
        <v>1.1627906976744187</v>
      </c>
    </row>
    <row r="41" spans="3:20" ht="12.75">
      <c r="C41" s="493"/>
      <c r="D41" s="443">
        <v>120</v>
      </c>
      <c r="E41" s="443">
        <v>0.66</v>
      </c>
      <c r="F41" s="544">
        <f>1/E41</f>
        <v>1.5151515151515151</v>
      </c>
      <c r="G41" s="493"/>
      <c r="H41" s="493"/>
      <c r="I41" s="493"/>
      <c r="J41" s="493"/>
      <c r="K41" s="493"/>
      <c r="L41" s="493">
        <v>225</v>
      </c>
      <c r="M41" s="443">
        <v>1.22</v>
      </c>
      <c r="N41" s="544">
        <f>1/M41</f>
        <v>0.819672131147541</v>
      </c>
      <c r="R41" s="443">
        <v>120</v>
      </c>
      <c r="S41" s="443">
        <v>0.77</v>
      </c>
      <c r="T41" s="544">
        <f>1/S41</f>
        <v>1.2987012987012987</v>
      </c>
    </row>
    <row r="42" spans="3:12" ht="12.75">
      <c r="C42" s="493"/>
      <c r="D42" s="493"/>
      <c r="E42" s="493"/>
      <c r="F42" s="493"/>
      <c r="G42" s="493"/>
      <c r="H42" s="493"/>
      <c r="I42" s="493"/>
      <c r="J42" s="493"/>
      <c r="K42" s="493"/>
      <c r="L42" s="493"/>
    </row>
    <row r="43" spans="3:12" ht="12.75">
      <c r="C43" s="493"/>
      <c r="D43" s="493"/>
      <c r="E43" s="493"/>
      <c r="F43" s="493"/>
      <c r="G43" s="493"/>
      <c r="H43" s="493"/>
      <c r="I43" s="493"/>
      <c r="J43" s="493"/>
      <c r="K43" s="493"/>
      <c r="L43" s="493"/>
    </row>
    <row r="46" ht="13.5" thickBot="1">
      <c r="M46" s="443" t="s">
        <v>145</v>
      </c>
    </row>
    <row r="47" spans="4:21" ht="12.75">
      <c r="D47" s="545"/>
      <c r="E47" s="546"/>
      <c r="F47" s="547" t="s">
        <v>146</v>
      </c>
      <c r="G47" s="547" t="s">
        <v>147</v>
      </c>
      <c r="H47" s="547"/>
      <c r="I47" s="548"/>
      <c r="L47" s="545"/>
      <c r="M47" s="546"/>
      <c r="N47" s="547" t="s">
        <v>146</v>
      </c>
      <c r="O47" s="547" t="s">
        <v>147</v>
      </c>
      <c r="P47" s="547"/>
      <c r="Q47" s="548"/>
      <c r="S47" s="537" t="s">
        <v>121</v>
      </c>
      <c r="T47" s="537" t="s">
        <v>120</v>
      </c>
      <c r="U47" s="493" t="s">
        <v>142</v>
      </c>
    </row>
    <row r="48" spans="4:21" ht="12.75">
      <c r="D48" s="549" t="s">
        <v>148</v>
      </c>
      <c r="E48" s="550"/>
      <c r="F48" s="493"/>
      <c r="G48" s="493"/>
      <c r="H48" s="493"/>
      <c r="I48" s="551"/>
      <c r="L48" s="549" t="s">
        <v>148</v>
      </c>
      <c r="M48" s="550"/>
      <c r="N48" s="493"/>
      <c r="O48" s="493"/>
      <c r="P48" s="493"/>
      <c r="Q48" s="551"/>
      <c r="S48" s="538" t="s">
        <v>122</v>
      </c>
      <c r="T48" s="538" t="s">
        <v>123</v>
      </c>
      <c r="U48" s="493" t="s">
        <v>143</v>
      </c>
    </row>
    <row r="49" spans="4:21" ht="12.75">
      <c r="D49" s="552" t="s">
        <v>149</v>
      </c>
      <c r="E49" s="553">
        <v>80</v>
      </c>
      <c r="F49" s="554">
        <v>90</v>
      </c>
      <c r="G49" s="554">
        <v>100</v>
      </c>
      <c r="H49" s="554">
        <v>110</v>
      </c>
      <c r="I49" s="555">
        <v>120</v>
      </c>
      <c r="L49" s="552" t="s">
        <v>149</v>
      </c>
      <c r="M49" s="553">
        <v>80</v>
      </c>
      <c r="N49" s="554">
        <v>90</v>
      </c>
      <c r="O49" s="554">
        <v>100</v>
      </c>
      <c r="P49" s="554">
        <v>110</v>
      </c>
      <c r="Q49" s="555">
        <v>120</v>
      </c>
      <c r="S49" s="443">
        <v>80</v>
      </c>
      <c r="T49" s="539">
        <v>1.12</v>
      </c>
      <c r="U49" s="544">
        <f>1/T49</f>
        <v>0.8928571428571428</v>
      </c>
    </row>
    <row r="50" spans="4:21" ht="12.75">
      <c r="D50" s="549">
        <v>50</v>
      </c>
      <c r="E50" s="550">
        <v>1.35</v>
      </c>
      <c r="F50" s="493">
        <v>1.05</v>
      </c>
      <c r="G50" s="351">
        <v>0.84</v>
      </c>
      <c r="H50" s="351">
        <v>0.69</v>
      </c>
      <c r="I50" s="551">
        <v>0.56</v>
      </c>
      <c r="L50" s="549">
        <v>50</v>
      </c>
      <c r="M50" s="556">
        <f aca="true" t="shared" si="3" ref="M50:Q57">1/E50</f>
        <v>0.7407407407407407</v>
      </c>
      <c r="N50" s="557">
        <f t="shared" si="3"/>
        <v>0.9523809523809523</v>
      </c>
      <c r="O50" s="558">
        <f t="shared" si="3"/>
        <v>1.1904761904761905</v>
      </c>
      <c r="P50" s="558">
        <f t="shared" si="3"/>
        <v>1.4492753623188408</v>
      </c>
      <c r="Q50" s="559">
        <f t="shared" si="3"/>
        <v>1.7857142857142856</v>
      </c>
      <c r="S50" s="443">
        <v>90</v>
      </c>
      <c r="T50" s="539">
        <v>1.06</v>
      </c>
      <c r="U50" s="544">
        <f>1/T50</f>
        <v>0.9433962264150942</v>
      </c>
    </row>
    <row r="51" spans="4:21" ht="12.75">
      <c r="D51" s="549">
        <v>80</v>
      </c>
      <c r="E51" s="550">
        <v>1.5</v>
      </c>
      <c r="F51" s="493">
        <v>1.17</v>
      </c>
      <c r="G51" s="351">
        <v>0.95</v>
      </c>
      <c r="H51" s="351">
        <v>0.79</v>
      </c>
      <c r="I51" s="551">
        <v>0.66</v>
      </c>
      <c r="L51" s="560">
        <v>80</v>
      </c>
      <c r="M51" s="557">
        <f t="shared" si="3"/>
        <v>0.6666666666666666</v>
      </c>
      <c r="N51" s="557">
        <f t="shared" si="3"/>
        <v>0.8547008547008548</v>
      </c>
      <c r="O51" s="558">
        <f t="shared" si="3"/>
        <v>1.0526315789473684</v>
      </c>
      <c r="P51" s="558">
        <f t="shared" si="3"/>
        <v>1.2658227848101264</v>
      </c>
      <c r="Q51" s="559">
        <f t="shared" si="3"/>
        <v>1.5151515151515151</v>
      </c>
      <c r="S51" s="443">
        <v>100</v>
      </c>
      <c r="T51" s="539">
        <v>1</v>
      </c>
      <c r="U51" s="544">
        <f>1/T51</f>
        <v>1</v>
      </c>
    </row>
    <row r="52" spans="2:21" ht="12.75">
      <c r="B52" s="443" t="s">
        <v>150</v>
      </c>
      <c r="D52" s="549">
        <v>100</v>
      </c>
      <c r="E52" s="550">
        <v>1.55</v>
      </c>
      <c r="F52" s="351">
        <v>1.23</v>
      </c>
      <c r="G52" s="351">
        <v>1</v>
      </c>
      <c r="H52" s="351">
        <v>0.82</v>
      </c>
      <c r="I52" s="551">
        <v>0.7</v>
      </c>
      <c r="L52" s="560">
        <v>100</v>
      </c>
      <c r="M52" s="557">
        <f t="shared" si="3"/>
        <v>0.6451612903225806</v>
      </c>
      <c r="N52" s="558">
        <f t="shared" si="3"/>
        <v>0.8130081300813008</v>
      </c>
      <c r="O52" s="558">
        <f t="shared" si="3"/>
        <v>1</v>
      </c>
      <c r="P52" s="558">
        <f t="shared" si="3"/>
        <v>1.2195121951219512</v>
      </c>
      <c r="Q52" s="559">
        <f t="shared" si="3"/>
        <v>1.4285714285714286</v>
      </c>
      <c r="S52" s="443">
        <v>110</v>
      </c>
      <c r="T52" s="539">
        <v>0.94</v>
      </c>
      <c r="U52" s="544">
        <f>1/T52</f>
        <v>1.0638297872340425</v>
      </c>
    </row>
    <row r="53" spans="2:21" ht="12.75">
      <c r="B53" s="443" t="s">
        <v>139</v>
      </c>
      <c r="D53" s="549">
        <v>125</v>
      </c>
      <c r="E53" s="550">
        <v>1.63</v>
      </c>
      <c r="F53" s="351">
        <v>1.31</v>
      </c>
      <c r="G53" s="351">
        <v>1.07</v>
      </c>
      <c r="H53" s="351">
        <v>0.91</v>
      </c>
      <c r="I53" s="551">
        <v>0.74</v>
      </c>
      <c r="L53" s="560">
        <v>125</v>
      </c>
      <c r="M53" s="557">
        <f t="shared" si="3"/>
        <v>0.6134969325153374</v>
      </c>
      <c r="N53" s="558">
        <f t="shared" si="3"/>
        <v>0.7633587786259541</v>
      </c>
      <c r="O53" s="558">
        <f t="shared" si="3"/>
        <v>0.9345794392523364</v>
      </c>
      <c r="P53" s="558">
        <f t="shared" si="3"/>
        <v>1.0989010989010988</v>
      </c>
      <c r="Q53" s="559">
        <f t="shared" si="3"/>
        <v>1.3513513513513513</v>
      </c>
      <c r="T53" s="539"/>
      <c r="U53" s="544"/>
    </row>
    <row r="54" spans="4:17" ht="13.5" thickBot="1">
      <c r="D54" s="561">
        <v>150</v>
      </c>
      <c r="E54" s="562">
        <v>1.7</v>
      </c>
      <c r="F54" s="563">
        <v>1.37</v>
      </c>
      <c r="G54" s="563">
        <v>1.13</v>
      </c>
      <c r="H54" s="563">
        <v>0.95</v>
      </c>
      <c r="I54" s="564">
        <v>0.8</v>
      </c>
      <c r="L54" s="560">
        <v>150</v>
      </c>
      <c r="M54" s="557">
        <f t="shared" si="3"/>
        <v>0.5882352941176471</v>
      </c>
      <c r="N54" s="557">
        <f t="shared" si="3"/>
        <v>0.7299270072992701</v>
      </c>
      <c r="O54" s="557">
        <f t="shared" si="3"/>
        <v>0.8849557522123894</v>
      </c>
      <c r="P54" s="557">
        <f t="shared" si="3"/>
        <v>1.0526315789473684</v>
      </c>
      <c r="Q54" s="559">
        <f t="shared" si="3"/>
        <v>1.25</v>
      </c>
    </row>
    <row r="55" spans="4:17" ht="12.75">
      <c r="D55" s="565">
        <v>175</v>
      </c>
      <c r="E55" s="547"/>
      <c r="F55" s="566">
        <v>1.42</v>
      </c>
      <c r="G55" s="567">
        <v>1.18</v>
      </c>
      <c r="H55" s="567">
        <v>0.99</v>
      </c>
      <c r="I55" s="568">
        <v>0.84</v>
      </c>
      <c r="L55" s="560">
        <v>175</v>
      </c>
      <c r="M55" s="558"/>
      <c r="N55" s="557">
        <f t="shared" si="3"/>
        <v>0.7042253521126761</v>
      </c>
      <c r="O55" s="558">
        <f t="shared" si="3"/>
        <v>0.8474576271186441</v>
      </c>
      <c r="P55" s="558">
        <f t="shared" si="3"/>
        <v>1.0101010101010102</v>
      </c>
      <c r="Q55" s="569">
        <f t="shared" si="3"/>
        <v>1.1904761904761905</v>
      </c>
    </row>
    <row r="56" spans="4:17" ht="12.75">
      <c r="D56" s="570">
        <v>200</v>
      </c>
      <c r="E56" s="493"/>
      <c r="F56" s="571">
        <v>1.47</v>
      </c>
      <c r="G56" s="351">
        <v>1.22</v>
      </c>
      <c r="H56" s="351">
        <v>1.03</v>
      </c>
      <c r="I56" s="572">
        <v>0.89</v>
      </c>
      <c r="L56" s="560">
        <v>200</v>
      </c>
      <c r="M56" s="558"/>
      <c r="N56" s="557">
        <f t="shared" si="3"/>
        <v>0.6802721088435374</v>
      </c>
      <c r="O56" s="558">
        <f t="shared" si="3"/>
        <v>0.819672131147541</v>
      </c>
      <c r="P56" s="558">
        <f t="shared" si="3"/>
        <v>0.970873786407767</v>
      </c>
      <c r="Q56" s="569">
        <f t="shared" si="3"/>
        <v>1.1235955056179776</v>
      </c>
    </row>
    <row r="57" spans="4:17" ht="13.5" thickBot="1">
      <c r="D57" s="573">
        <v>250</v>
      </c>
      <c r="E57" s="563"/>
      <c r="F57" s="574">
        <v>1.49</v>
      </c>
      <c r="G57" s="575">
        <v>1.24</v>
      </c>
      <c r="H57" s="575">
        <v>1.05</v>
      </c>
      <c r="I57" s="576">
        <v>0.91</v>
      </c>
      <c r="L57" s="577">
        <v>250</v>
      </c>
      <c r="M57" s="578"/>
      <c r="N57" s="579">
        <f t="shared" si="3"/>
        <v>0.6711409395973155</v>
      </c>
      <c r="O57" s="578">
        <f t="shared" si="3"/>
        <v>0.8064516129032259</v>
      </c>
      <c r="P57" s="578">
        <f t="shared" si="3"/>
        <v>0.9523809523809523</v>
      </c>
      <c r="Q57" s="580">
        <f t="shared" si="3"/>
        <v>1.0989010989010988</v>
      </c>
    </row>
    <row r="58" spans="12:17" ht="12.75">
      <c r="L58" s="493"/>
      <c r="M58" s="558"/>
      <c r="N58" s="493"/>
      <c r="O58" s="493"/>
      <c r="P58" s="493"/>
      <c r="Q58" s="493"/>
    </row>
    <row r="61" spans="4:18" ht="12.75">
      <c r="D61" s="442" t="s">
        <v>116</v>
      </c>
      <c r="K61" s="442" t="s">
        <v>117</v>
      </c>
      <c r="R61" s="442" t="s">
        <v>118</v>
      </c>
    </row>
    <row r="63" spans="4:20" ht="12.75">
      <c r="D63" s="537" t="s">
        <v>119</v>
      </c>
      <c r="E63" s="537" t="s">
        <v>120</v>
      </c>
      <c r="F63" s="493" t="s">
        <v>142</v>
      </c>
      <c r="K63" s="537" t="s">
        <v>119</v>
      </c>
      <c r="L63" s="537" t="s">
        <v>120</v>
      </c>
      <c r="M63" s="493" t="s">
        <v>142</v>
      </c>
      <c r="R63" s="537" t="s">
        <v>121</v>
      </c>
      <c r="S63" s="537" t="s">
        <v>120</v>
      </c>
      <c r="T63" s="493" t="s">
        <v>142</v>
      </c>
    </row>
    <row r="64" spans="4:20" ht="12.75">
      <c r="D64" s="538" t="s">
        <v>122</v>
      </c>
      <c r="E64" s="538" t="s">
        <v>123</v>
      </c>
      <c r="F64" s="493" t="s">
        <v>143</v>
      </c>
      <c r="K64" s="538" t="s">
        <v>124</v>
      </c>
      <c r="L64" s="538" t="s">
        <v>123</v>
      </c>
      <c r="M64" s="493" t="s">
        <v>143</v>
      </c>
      <c r="R64" s="538" t="s">
        <v>122</v>
      </c>
      <c r="S64" s="538" t="s">
        <v>123</v>
      </c>
      <c r="T64" s="493" t="s">
        <v>143</v>
      </c>
    </row>
    <row r="65" spans="2:21" ht="12.75">
      <c r="B65" s="443" t="s">
        <v>151</v>
      </c>
      <c r="D65" s="443">
        <v>80</v>
      </c>
      <c r="E65" s="539">
        <v>1.5</v>
      </c>
      <c r="F65" s="544">
        <f>1/E65</f>
        <v>0.6666666666666666</v>
      </c>
      <c r="G65" s="540"/>
      <c r="K65" s="443">
        <v>50</v>
      </c>
      <c r="L65" s="539">
        <v>0.8</v>
      </c>
      <c r="M65" s="544">
        <f>1/L65</f>
        <v>1.25</v>
      </c>
      <c r="N65" s="540"/>
      <c r="Q65" s="541"/>
      <c r="S65" s="539"/>
      <c r="T65" s="544"/>
      <c r="U65" s="540"/>
    </row>
    <row r="66" spans="2:21" ht="12.75">
      <c r="B66" s="443" t="s">
        <v>152</v>
      </c>
      <c r="D66" s="443">
        <v>90</v>
      </c>
      <c r="E66" s="539">
        <v>1.22</v>
      </c>
      <c r="F66" s="544">
        <f>1/E66</f>
        <v>0.819672131147541</v>
      </c>
      <c r="G66" s="540"/>
      <c r="K66" s="443">
        <v>75</v>
      </c>
      <c r="L66" s="539">
        <v>0.9</v>
      </c>
      <c r="M66" s="544">
        <f>1/L66</f>
        <v>1.1111111111111112</v>
      </c>
      <c r="N66" s="540"/>
      <c r="Q66" s="541"/>
      <c r="R66" s="443">
        <v>90</v>
      </c>
      <c r="S66" s="539">
        <v>1.05</v>
      </c>
      <c r="T66" s="544">
        <f>1/S66</f>
        <v>0.9523809523809523</v>
      </c>
      <c r="U66" s="540"/>
    </row>
    <row r="67" spans="4:20" ht="12.75">
      <c r="D67" s="443">
        <v>100</v>
      </c>
      <c r="E67" s="539">
        <v>1</v>
      </c>
      <c r="F67" s="544">
        <f>1/E67</f>
        <v>1</v>
      </c>
      <c r="K67" s="443">
        <v>100</v>
      </c>
      <c r="L67" s="539">
        <v>1</v>
      </c>
      <c r="M67" s="544">
        <f>1/L67</f>
        <v>1</v>
      </c>
      <c r="Q67" s="541"/>
      <c r="R67" s="443">
        <v>100</v>
      </c>
      <c r="S67" s="539">
        <v>1</v>
      </c>
      <c r="T67" s="544">
        <f>1/S67</f>
        <v>1</v>
      </c>
    </row>
    <row r="68" spans="4:20" ht="12.75">
      <c r="D68" s="443">
        <v>110</v>
      </c>
      <c r="E68" s="539">
        <v>0.83</v>
      </c>
      <c r="F68" s="544">
        <f>1/E68</f>
        <v>1.2048192771084338</v>
      </c>
      <c r="K68" s="443">
        <v>125</v>
      </c>
      <c r="L68" s="539">
        <v>1.02</v>
      </c>
      <c r="M68" s="544">
        <f>1/L68</f>
        <v>0.9803921568627451</v>
      </c>
      <c r="Q68" s="541"/>
      <c r="R68" s="443">
        <v>110</v>
      </c>
      <c r="S68" s="539">
        <v>0.9</v>
      </c>
      <c r="T68" s="544">
        <f>1/S68</f>
        <v>1.1111111111111112</v>
      </c>
    </row>
    <row r="69" spans="4:19" ht="12.75">
      <c r="D69" s="443">
        <v>120</v>
      </c>
      <c r="E69" s="539">
        <v>0.69</v>
      </c>
      <c r="F69" s="544">
        <f>1/E69</f>
        <v>1.4492753623188408</v>
      </c>
      <c r="K69" s="443">
        <v>150</v>
      </c>
      <c r="L69" s="539">
        <v>1.05</v>
      </c>
      <c r="M69" s="544">
        <f>1/L69</f>
        <v>0.9523809523809523</v>
      </c>
      <c r="Q69" s="541"/>
      <c r="S69" s="539"/>
    </row>
    <row r="73" ht="12.75">
      <c r="K73" s="442" t="s">
        <v>117</v>
      </c>
    </row>
    <row r="75" spans="2:19" ht="12.75">
      <c r="B75" s="443" t="s">
        <v>151</v>
      </c>
      <c r="K75" s="537" t="s">
        <v>119</v>
      </c>
      <c r="L75" s="537" t="s">
        <v>120</v>
      </c>
      <c r="M75" s="493" t="s">
        <v>142</v>
      </c>
      <c r="S75" s="443" t="s">
        <v>153</v>
      </c>
    </row>
    <row r="76" spans="2:13" ht="12.75">
      <c r="B76" s="443" t="s">
        <v>139</v>
      </c>
      <c r="E76" s="443" t="s">
        <v>153</v>
      </c>
      <c r="K76" s="538" t="s">
        <v>124</v>
      </c>
      <c r="L76" s="538" t="s">
        <v>123</v>
      </c>
      <c r="M76" s="493" t="s">
        <v>143</v>
      </c>
    </row>
    <row r="77" spans="11:14" ht="12.75">
      <c r="K77" s="443">
        <v>50</v>
      </c>
      <c r="L77" s="539">
        <v>0.8</v>
      </c>
      <c r="M77" s="544">
        <f>1/L77</f>
        <v>1.25</v>
      </c>
      <c r="N77" s="540"/>
    </row>
    <row r="78" spans="11:14" ht="12.75">
      <c r="K78" s="443">
        <v>75</v>
      </c>
      <c r="L78" s="539">
        <v>0.9</v>
      </c>
      <c r="M78" s="544">
        <f>1/L78</f>
        <v>1.1111111111111112</v>
      </c>
      <c r="N78" s="540"/>
    </row>
    <row r="79" spans="11:13" ht="12.75">
      <c r="K79" s="443">
        <v>100</v>
      </c>
      <c r="L79" s="539">
        <v>1</v>
      </c>
      <c r="M79" s="544">
        <f>1/L79</f>
        <v>1</v>
      </c>
    </row>
    <row r="80" spans="11:13" ht="12.75">
      <c r="K80" s="443">
        <v>125</v>
      </c>
      <c r="L80" s="539">
        <v>1.12</v>
      </c>
      <c r="M80" s="544">
        <f>1/L80</f>
        <v>0.8928571428571428</v>
      </c>
    </row>
    <row r="81" spans="11:13" ht="12.75">
      <c r="K81" s="443">
        <v>150</v>
      </c>
      <c r="L81" s="539">
        <v>1.15</v>
      </c>
      <c r="M81" s="544">
        <f>1/L81</f>
        <v>0.8695652173913044</v>
      </c>
    </row>
    <row r="86" spans="2:6" ht="12.75">
      <c r="B86" s="443" t="s">
        <v>86</v>
      </c>
      <c r="F86" s="443">
        <v>4300</v>
      </c>
    </row>
    <row r="87" spans="2:6" ht="12.75">
      <c r="B87" s="443" t="s">
        <v>88</v>
      </c>
      <c r="F87" s="443">
        <f>local_Patm(F86)</f>
        <v>12.550196545266</v>
      </c>
    </row>
    <row r="88" spans="2:6" ht="12.75">
      <c r="B88" s="443" t="s">
        <v>90</v>
      </c>
      <c r="F88" s="443">
        <v>14.5</v>
      </c>
    </row>
    <row r="89" spans="2:6" ht="12.75">
      <c r="B89" s="443" t="s">
        <v>92</v>
      </c>
      <c r="F89" s="581">
        <f>F87/F88</f>
        <v>0.8655307962252413</v>
      </c>
    </row>
  </sheetData>
  <sheetProtection formatCells="0"/>
  <printOptions/>
  <pageMargins left="0.75" right="0.75" top="1" bottom="1" header="0.5" footer="0.5"/>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sheetPr codeName="Sheet9"/>
  <dimension ref="A1:AO152"/>
  <sheetViews>
    <sheetView zoomScalePageLayoutView="0" workbookViewId="0" topLeftCell="A61">
      <selection activeCell="E86" sqref="E86"/>
    </sheetView>
  </sheetViews>
  <sheetFormatPr defaultColWidth="9.140625" defaultRowHeight="12.75"/>
  <cols>
    <col min="1" max="1" width="11.421875" style="443" customWidth="1"/>
    <col min="2" max="2" width="11.00390625" style="443" customWidth="1"/>
    <col min="3" max="3" width="12.421875" style="443" customWidth="1"/>
    <col min="4" max="6" width="9.421875" style="443" customWidth="1"/>
    <col min="7" max="7" width="11.421875" style="443" customWidth="1"/>
    <col min="8" max="8" width="10.8515625" style="443" customWidth="1"/>
    <col min="9" max="13" width="9.140625" style="443" customWidth="1"/>
    <col min="14" max="14" width="14.421875" style="443" customWidth="1"/>
    <col min="15" max="15" width="12.57421875" style="443" customWidth="1"/>
    <col min="16" max="17" width="9.140625" style="443" customWidth="1"/>
    <col min="18" max="18" width="11.00390625" style="443" customWidth="1"/>
    <col min="19" max="27" width="9.140625" style="443" customWidth="1"/>
    <col min="28" max="28" width="14.57421875" style="443" customWidth="1"/>
    <col min="29" max="31" width="9.140625" style="443" customWidth="1"/>
    <col min="32" max="32" width="13.140625" style="443" customWidth="1"/>
    <col min="33" max="33" width="10.57421875" style="443" customWidth="1"/>
    <col min="34" max="16384" width="9.140625" style="443" customWidth="1"/>
  </cols>
  <sheetData>
    <row r="1" ht="18">
      <c r="B1" s="536" t="s">
        <v>154</v>
      </c>
    </row>
    <row r="2" ht="12.75"/>
    <row r="3" ht="12.75"/>
    <row r="4" ht="12.75">
      <c r="B4" s="442" t="s">
        <v>139</v>
      </c>
    </row>
    <row r="5" spans="2:41" s="582" customFormat="1" ht="12.75">
      <c r="B5" s="582" t="s">
        <v>155</v>
      </c>
      <c r="C5" s="583"/>
      <c r="Q5" s="444" t="s">
        <v>156</v>
      </c>
      <c r="V5" s="443"/>
      <c r="AA5" s="442"/>
      <c r="AB5" s="443"/>
      <c r="AC5" s="443"/>
      <c r="AD5" s="443"/>
      <c r="AE5" s="443"/>
      <c r="AF5" s="443"/>
      <c r="AG5" s="443"/>
      <c r="AH5" s="443"/>
      <c r="AI5" s="443"/>
      <c r="AJ5" s="443"/>
      <c r="AK5" s="443"/>
      <c r="AL5" s="443"/>
      <c r="AM5" s="443"/>
      <c r="AN5" s="443"/>
      <c r="AO5" s="443"/>
    </row>
    <row r="6" spans="2:32" ht="12.75">
      <c r="B6" s="537" t="s">
        <v>157</v>
      </c>
      <c r="C6" s="537" t="s">
        <v>158</v>
      </c>
      <c r="D6" s="537"/>
      <c r="E6" s="537"/>
      <c r="F6" s="537"/>
      <c r="G6" s="537"/>
      <c r="H6" s="537"/>
      <c r="Q6" s="537" t="s">
        <v>157</v>
      </c>
      <c r="R6" s="537" t="s">
        <v>158</v>
      </c>
      <c r="AF6" s="443" t="s">
        <v>159</v>
      </c>
    </row>
    <row r="7" spans="2:37" ht="12.75">
      <c r="B7" s="537" t="s">
        <v>160</v>
      </c>
      <c r="C7" s="537" t="s">
        <v>669</v>
      </c>
      <c r="D7" s="537"/>
      <c r="E7" s="537"/>
      <c r="F7" s="537"/>
      <c r="G7" s="537"/>
      <c r="H7" s="537"/>
      <c r="Q7" s="537" t="s">
        <v>160</v>
      </c>
      <c r="R7" s="537" t="s">
        <v>669</v>
      </c>
      <c r="Y7" s="442" t="s">
        <v>161</v>
      </c>
      <c r="AF7" s="443" t="s">
        <v>162</v>
      </c>
      <c r="AG7" s="443" t="s">
        <v>163</v>
      </c>
      <c r="AH7" s="443" t="s">
        <v>164</v>
      </c>
      <c r="AI7" s="443" t="s">
        <v>165</v>
      </c>
      <c r="AJ7" s="443" t="s">
        <v>166</v>
      </c>
      <c r="AK7" s="443" t="s">
        <v>167</v>
      </c>
    </row>
    <row r="8" spans="2:37" ht="12.75">
      <c r="B8" s="538" t="s">
        <v>168</v>
      </c>
      <c r="C8" s="538" t="s">
        <v>169</v>
      </c>
      <c r="D8" s="538"/>
      <c r="E8" s="584"/>
      <c r="F8" s="585" t="s">
        <v>170</v>
      </c>
      <c r="G8" s="585" t="s">
        <v>125</v>
      </c>
      <c r="H8" s="584"/>
      <c r="Q8" s="538" t="s">
        <v>168</v>
      </c>
      <c r="R8" s="538" t="s">
        <v>171</v>
      </c>
      <c r="U8" s="585" t="s">
        <v>170</v>
      </c>
      <c r="V8" s="585" t="s">
        <v>125</v>
      </c>
      <c r="AF8" s="443" t="s">
        <v>172</v>
      </c>
      <c r="AG8" s="443">
        <v>200</v>
      </c>
      <c r="AH8" s="443">
        <v>20</v>
      </c>
      <c r="AI8" s="443">
        <v>1.7</v>
      </c>
      <c r="AJ8" s="443">
        <v>1.6</v>
      </c>
      <c r="AK8" s="443">
        <f>AJ8/AI8</f>
        <v>0.9411764705882354</v>
      </c>
    </row>
    <row r="9" spans="2:37" ht="12.75">
      <c r="B9" s="586">
        <v>75</v>
      </c>
      <c r="C9" s="443">
        <v>0.78</v>
      </c>
      <c r="D9" s="587" t="s">
        <v>173</v>
      </c>
      <c r="E9" s="586"/>
      <c r="F9" s="443">
        <v>20</v>
      </c>
      <c r="G9" s="443">
        <v>0.26</v>
      </c>
      <c r="Q9" s="586">
        <v>0</v>
      </c>
      <c r="R9" s="443">
        <v>0</v>
      </c>
      <c r="S9" s="443" t="s">
        <v>150</v>
      </c>
      <c r="U9" s="443">
        <v>100</v>
      </c>
      <c r="V9" s="443">
        <v>1</v>
      </c>
      <c r="Y9" s="443" t="s">
        <v>174</v>
      </c>
      <c r="Z9" s="443" t="s">
        <v>175</v>
      </c>
      <c r="AF9" s="443" t="s">
        <v>176</v>
      </c>
      <c r="AG9" s="443">
        <v>250</v>
      </c>
      <c r="AH9" s="443">
        <v>25</v>
      </c>
      <c r="AI9" s="443">
        <v>1.8</v>
      </c>
      <c r="AJ9" s="443">
        <v>1.7</v>
      </c>
      <c r="AK9" s="443">
        <f aca="true" t="shared" si="0" ref="AK9:AK22">AJ9/AI9</f>
        <v>0.9444444444444444</v>
      </c>
    </row>
    <row r="10" spans="2:37" ht="12.75">
      <c r="B10" s="586">
        <v>80</v>
      </c>
      <c r="C10" s="443">
        <v>0.71</v>
      </c>
      <c r="D10" s="444" t="s">
        <v>177</v>
      </c>
      <c r="E10" s="586"/>
      <c r="F10" s="586">
        <v>75</v>
      </c>
      <c r="G10" s="588">
        <v>0.78</v>
      </c>
      <c r="Q10" s="586">
        <v>200</v>
      </c>
      <c r="R10" s="443">
        <v>1.06</v>
      </c>
      <c r="S10" s="443" t="s">
        <v>173</v>
      </c>
      <c r="U10" s="586">
        <v>200</v>
      </c>
      <c r="V10" s="588">
        <v>1.06</v>
      </c>
      <c r="Y10" s="443">
        <v>1</v>
      </c>
      <c r="Z10" s="443">
        <v>1</v>
      </c>
      <c r="AF10" s="443" t="s">
        <v>178</v>
      </c>
      <c r="AG10" s="443">
        <v>300</v>
      </c>
      <c r="AH10" s="443">
        <v>30</v>
      </c>
      <c r="AI10" s="443">
        <v>2.2</v>
      </c>
      <c r="AJ10" s="443">
        <v>2.1</v>
      </c>
      <c r="AK10" s="443">
        <f t="shared" si="0"/>
        <v>0.9545454545454545</v>
      </c>
    </row>
    <row r="11" spans="2:37" ht="12.75">
      <c r="B11" s="586">
        <v>100</v>
      </c>
      <c r="C11" s="443">
        <v>0.97</v>
      </c>
      <c r="D11" s="443" t="s">
        <v>151</v>
      </c>
      <c r="E11" s="586"/>
      <c r="F11" s="586">
        <v>80</v>
      </c>
      <c r="G11" s="588">
        <v>0.71</v>
      </c>
      <c r="Q11" s="586">
        <v>200</v>
      </c>
      <c r="R11" s="443">
        <v>1.06</v>
      </c>
      <c r="S11" s="443" t="s">
        <v>179</v>
      </c>
      <c r="U11" s="586">
        <v>250</v>
      </c>
      <c r="V11" s="588">
        <v>1.39</v>
      </c>
      <c r="Y11" s="443">
        <v>0</v>
      </c>
      <c r="Z11" s="443">
        <f>AVERAGE(AK15,AK65)</f>
        <v>0.945156157014015</v>
      </c>
      <c r="AF11" s="443" t="s">
        <v>180</v>
      </c>
      <c r="AG11" s="443">
        <v>400</v>
      </c>
      <c r="AH11" s="443">
        <v>40</v>
      </c>
      <c r="AI11" s="443">
        <v>3.5</v>
      </c>
      <c r="AJ11" s="443">
        <v>3.3</v>
      </c>
      <c r="AK11" s="443">
        <f t="shared" si="0"/>
        <v>0.9428571428571428</v>
      </c>
    </row>
    <row r="12" spans="2:37" ht="12.75">
      <c r="B12" s="586">
        <v>100</v>
      </c>
      <c r="C12" s="443">
        <v>0.93</v>
      </c>
      <c r="D12" s="444" t="s">
        <v>177</v>
      </c>
      <c r="E12" s="586"/>
      <c r="F12" s="586">
        <v>100</v>
      </c>
      <c r="G12" s="588">
        <v>0.9533333333333333</v>
      </c>
      <c r="Q12" s="586">
        <v>250</v>
      </c>
      <c r="R12" s="443">
        <v>1.39</v>
      </c>
      <c r="S12" s="443" t="s">
        <v>173</v>
      </c>
      <c r="U12" s="586">
        <v>300</v>
      </c>
      <c r="V12" s="588">
        <v>1.65</v>
      </c>
      <c r="AF12" s="443" t="s">
        <v>181</v>
      </c>
      <c r="AG12" s="443">
        <v>500</v>
      </c>
      <c r="AH12" s="443">
        <v>50</v>
      </c>
      <c r="AI12" s="443">
        <v>3.6</v>
      </c>
      <c r="AJ12" s="443">
        <v>3.4</v>
      </c>
      <c r="AK12" s="443">
        <f t="shared" si="0"/>
        <v>0.9444444444444444</v>
      </c>
    </row>
    <row r="13" spans="2:37" ht="12.75">
      <c r="B13" s="586">
        <v>100</v>
      </c>
      <c r="C13" s="443">
        <v>0.96</v>
      </c>
      <c r="D13" s="587" t="s">
        <v>173</v>
      </c>
      <c r="E13" s="586"/>
      <c r="F13" s="586">
        <v>125</v>
      </c>
      <c r="G13" s="588">
        <v>1.17</v>
      </c>
      <c r="Q13" s="586">
        <v>300</v>
      </c>
      <c r="R13" s="443">
        <v>1.65</v>
      </c>
      <c r="S13" s="443" t="s">
        <v>173</v>
      </c>
      <c r="U13" s="586">
        <v>400</v>
      </c>
      <c r="V13" s="588">
        <v>2.19</v>
      </c>
      <c r="Y13" s="443">
        <f>SLOPE(Z10:Z11,Y10:Y11)</f>
        <v>0.05484384298598499</v>
      </c>
      <c r="Z13" s="540" t="s">
        <v>138</v>
      </c>
      <c r="AF13" s="443" t="s">
        <v>182</v>
      </c>
      <c r="AG13" s="443">
        <v>600</v>
      </c>
      <c r="AH13" s="443">
        <v>60</v>
      </c>
      <c r="AI13" s="443">
        <v>4.5</v>
      </c>
      <c r="AJ13" s="443">
        <v>4.2</v>
      </c>
      <c r="AK13" s="443">
        <f t="shared" si="0"/>
        <v>0.9333333333333333</v>
      </c>
    </row>
    <row r="14" spans="2:38" ht="12.75">
      <c r="B14" s="586">
        <v>125</v>
      </c>
      <c r="C14" s="443">
        <v>1.13</v>
      </c>
      <c r="D14" s="443" t="s">
        <v>151</v>
      </c>
      <c r="E14" s="586"/>
      <c r="F14" s="586">
        <v>150</v>
      </c>
      <c r="G14" s="588">
        <v>1.29</v>
      </c>
      <c r="Q14" s="586">
        <v>300</v>
      </c>
      <c r="R14" s="443">
        <v>1.65</v>
      </c>
      <c r="S14" s="443" t="s">
        <v>179</v>
      </c>
      <c r="U14" s="586">
        <v>500</v>
      </c>
      <c r="V14" s="588">
        <v>2.8</v>
      </c>
      <c r="Y14" s="443">
        <f>INTERCEPT(Z10:Z11,Y10:Y11)</f>
        <v>0.945156157014015</v>
      </c>
      <c r="Z14" s="540" t="s">
        <v>140</v>
      </c>
      <c r="AF14" s="443" t="s">
        <v>183</v>
      </c>
      <c r="AG14" s="443">
        <v>981</v>
      </c>
      <c r="AH14" s="443">
        <v>131</v>
      </c>
      <c r="AI14" s="443">
        <v>6.4</v>
      </c>
      <c r="AJ14" s="443">
        <v>5.1</v>
      </c>
      <c r="AK14" s="443">
        <f t="shared" si="0"/>
        <v>0.7968749999999999</v>
      </c>
      <c r="AL14" s="443" t="s">
        <v>184</v>
      </c>
    </row>
    <row r="15" spans="2:37" ht="12.75">
      <c r="B15" s="586">
        <v>125</v>
      </c>
      <c r="C15" s="443">
        <v>1.03</v>
      </c>
      <c r="D15" s="444" t="s">
        <v>177</v>
      </c>
      <c r="E15" s="586"/>
      <c r="F15" s="586">
        <v>165</v>
      </c>
      <c r="G15" s="588">
        <v>1.27</v>
      </c>
      <c r="Q15" s="586">
        <v>400</v>
      </c>
      <c r="R15" s="443">
        <v>2.19</v>
      </c>
      <c r="S15" s="443" t="s">
        <v>173</v>
      </c>
      <c r="U15" s="586">
        <v>600</v>
      </c>
      <c r="V15" s="588">
        <v>3.14</v>
      </c>
      <c r="AF15" s="443" t="s">
        <v>185</v>
      </c>
      <c r="AK15" s="443">
        <f>AVERAGE(AK8:AK13)</f>
        <v>0.943466881702176</v>
      </c>
    </row>
    <row r="16" spans="2:37" ht="12.75">
      <c r="B16" s="586">
        <v>125</v>
      </c>
      <c r="C16" s="443">
        <v>1.35</v>
      </c>
      <c r="D16" s="587" t="s">
        <v>173</v>
      </c>
      <c r="E16" s="586"/>
      <c r="F16" s="586">
        <v>180</v>
      </c>
      <c r="G16" s="588">
        <v>1.28</v>
      </c>
      <c r="Q16" s="586">
        <v>400</v>
      </c>
      <c r="R16" s="443">
        <v>2.19</v>
      </c>
      <c r="S16" s="443" t="s">
        <v>179</v>
      </c>
      <c r="U16" s="586">
        <v>700</v>
      </c>
      <c r="V16" s="588">
        <v>3.58</v>
      </c>
      <c r="Y16" s="443" t="s">
        <v>186</v>
      </c>
      <c r="AF16" s="443" t="s">
        <v>187</v>
      </c>
      <c r="AG16" s="443">
        <v>200</v>
      </c>
      <c r="AH16" s="443">
        <v>20</v>
      </c>
      <c r="AI16" s="443">
        <v>1.7</v>
      </c>
      <c r="AJ16" s="443">
        <v>0.31</v>
      </c>
      <c r="AK16" s="443">
        <f t="shared" si="0"/>
        <v>0.18235294117647058</v>
      </c>
    </row>
    <row r="17" spans="2:37" ht="12.75">
      <c r="B17" s="586">
        <v>150</v>
      </c>
      <c r="C17" s="443">
        <v>1.29</v>
      </c>
      <c r="D17" s="587" t="s">
        <v>173</v>
      </c>
      <c r="E17" s="586"/>
      <c r="F17" s="586">
        <v>200</v>
      </c>
      <c r="G17" s="588">
        <v>1.66</v>
      </c>
      <c r="Q17" s="586">
        <v>500</v>
      </c>
      <c r="R17" s="443">
        <v>2.8</v>
      </c>
      <c r="S17" s="443" t="s">
        <v>173</v>
      </c>
      <c r="U17" s="586">
        <v>800</v>
      </c>
      <c r="V17" s="588">
        <v>4.16</v>
      </c>
      <c r="Y17" s="443" t="s">
        <v>188</v>
      </c>
      <c r="AF17" s="443" t="s">
        <v>189</v>
      </c>
      <c r="AG17" s="443">
        <v>300</v>
      </c>
      <c r="AH17" s="443">
        <v>30</v>
      </c>
      <c r="AI17" s="443">
        <v>2.5</v>
      </c>
      <c r="AJ17" s="443">
        <v>0.39</v>
      </c>
      <c r="AK17" s="443">
        <f t="shared" si="0"/>
        <v>0.156</v>
      </c>
    </row>
    <row r="18" spans="2:37" ht="12.75">
      <c r="B18" s="586">
        <v>165</v>
      </c>
      <c r="C18" s="443">
        <v>1.27</v>
      </c>
      <c r="D18" s="443" t="s">
        <v>151</v>
      </c>
      <c r="E18" s="586"/>
      <c r="F18" s="586">
        <v>220</v>
      </c>
      <c r="G18" s="588">
        <v>1.9</v>
      </c>
      <c r="Q18" s="586">
        <v>500</v>
      </c>
      <c r="R18" s="443">
        <v>2.8</v>
      </c>
      <c r="S18" s="443" t="s">
        <v>179</v>
      </c>
      <c r="U18" s="586">
        <v>1000</v>
      </c>
      <c r="V18" s="588">
        <v>5.69</v>
      </c>
      <c r="AF18" s="443" t="s">
        <v>190</v>
      </c>
      <c r="AG18" s="443">
        <v>400</v>
      </c>
      <c r="AH18" s="443">
        <v>40</v>
      </c>
      <c r="AI18" s="443">
        <v>3.2</v>
      </c>
      <c r="AJ18" s="443">
        <v>0.46</v>
      </c>
      <c r="AK18" s="443">
        <f t="shared" si="0"/>
        <v>0.14375</v>
      </c>
    </row>
    <row r="19" spans="2:37" ht="12.75">
      <c r="B19" s="586">
        <v>180</v>
      </c>
      <c r="C19" s="443">
        <v>1.28</v>
      </c>
      <c r="D19" s="444" t="s">
        <v>177</v>
      </c>
      <c r="E19" s="586"/>
      <c r="F19" s="586">
        <v>250</v>
      </c>
      <c r="G19" s="588">
        <v>1.9123333333333334</v>
      </c>
      <c r="Q19" s="586">
        <v>600</v>
      </c>
      <c r="R19" s="443">
        <v>3.14</v>
      </c>
      <c r="S19" s="443" t="s">
        <v>173</v>
      </c>
      <c r="U19" s="586">
        <v>1200</v>
      </c>
      <c r="V19" s="588">
        <v>6.74</v>
      </c>
      <c r="AF19" s="443" t="s">
        <v>191</v>
      </c>
      <c r="AG19" s="443">
        <v>500</v>
      </c>
      <c r="AH19" s="443">
        <v>50</v>
      </c>
      <c r="AI19" s="443">
        <v>4.5</v>
      </c>
      <c r="AJ19" s="443">
        <v>0.59</v>
      </c>
      <c r="AK19" s="443">
        <f t="shared" si="0"/>
        <v>0.1311111111111111</v>
      </c>
    </row>
    <row r="20" spans="2:37" ht="12.75">
      <c r="B20" s="586">
        <v>200</v>
      </c>
      <c r="C20" s="443">
        <v>1.66</v>
      </c>
      <c r="D20" s="443" t="s">
        <v>179</v>
      </c>
      <c r="E20" s="586"/>
      <c r="F20" s="586">
        <v>300</v>
      </c>
      <c r="G20" s="588">
        <v>2.54</v>
      </c>
      <c r="Q20" s="586">
        <v>600</v>
      </c>
      <c r="R20" s="443">
        <v>3.14</v>
      </c>
      <c r="S20" s="443" t="s">
        <v>179</v>
      </c>
      <c r="U20" s="586">
        <v>1600</v>
      </c>
      <c r="V20" s="588">
        <v>7.87</v>
      </c>
      <c r="AF20" s="443" t="s">
        <v>192</v>
      </c>
      <c r="AG20" s="443">
        <v>600</v>
      </c>
      <c r="AH20" s="443">
        <v>60</v>
      </c>
      <c r="AI20" s="443">
        <v>4.8</v>
      </c>
      <c r="AJ20" s="443">
        <v>0.62</v>
      </c>
      <c r="AK20" s="443">
        <f t="shared" si="0"/>
        <v>0.12916666666666668</v>
      </c>
    </row>
    <row r="21" spans="2:37" ht="12.75">
      <c r="B21" s="586">
        <v>200</v>
      </c>
      <c r="C21" s="443">
        <v>1.66</v>
      </c>
      <c r="D21" s="587" t="s">
        <v>173</v>
      </c>
      <c r="E21" s="586"/>
      <c r="F21" s="586">
        <v>325</v>
      </c>
      <c r="G21" s="588">
        <v>2.313</v>
      </c>
      <c r="Q21" s="586">
        <v>700</v>
      </c>
      <c r="R21" s="443">
        <v>3.58</v>
      </c>
      <c r="S21" s="443" t="s">
        <v>173</v>
      </c>
      <c r="U21" s="586">
        <v>2000</v>
      </c>
      <c r="V21" s="588">
        <v>10.045</v>
      </c>
      <c r="Y21" s="442" t="s">
        <v>193</v>
      </c>
      <c r="AF21" s="443" t="s">
        <v>194</v>
      </c>
      <c r="AG21" s="443">
        <v>700</v>
      </c>
      <c r="AH21" s="443">
        <v>70</v>
      </c>
      <c r="AI21" s="443">
        <v>5.8</v>
      </c>
      <c r="AJ21" s="443">
        <v>0.75</v>
      </c>
      <c r="AK21" s="443">
        <f t="shared" si="0"/>
        <v>0.12931034482758622</v>
      </c>
    </row>
    <row r="22" spans="2:37" ht="12.75">
      <c r="B22" s="586">
        <v>220</v>
      </c>
      <c r="C22" s="443">
        <v>1.9</v>
      </c>
      <c r="D22" s="443" t="s">
        <v>151</v>
      </c>
      <c r="E22" s="586"/>
      <c r="F22" s="586">
        <v>400</v>
      </c>
      <c r="G22" s="588">
        <v>3.026666666666667</v>
      </c>
      <c r="Q22" s="586">
        <v>700</v>
      </c>
      <c r="R22" s="443">
        <v>3.58</v>
      </c>
      <c r="S22" s="443" t="s">
        <v>179</v>
      </c>
      <c r="U22" s="586">
        <v>2400</v>
      </c>
      <c r="V22" s="588">
        <v>11.295</v>
      </c>
      <c r="Y22" s="443" t="s">
        <v>195</v>
      </c>
      <c r="AB22" s="443" t="s">
        <v>196</v>
      </c>
      <c r="AF22" s="443" t="s">
        <v>197</v>
      </c>
      <c r="AG22" s="443">
        <v>800</v>
      </c>
      <c r="AH22" s="443">
        <v>80</v>
      </c>
      <c r="AI22" s="443">
        <v>6.5</v>
      </c>
      <c r="AJ22" s="443">
        <v>0.82</v>
      </c>
      <c r="AK22" s="443">
        <f t="shared" si="0"/>
        <v>0.12615384615384614</v>
      </c>
    </row>
    <row r="23" spans="2:37" ht="12.75">
      <c r="B23" s="586">
        <v>250</v>
      </c>
      <c r="C23" s="443">
        <v>2</v>
      </c>
      <c r="D23" s="443" t="s">
        <v>151</v>
      </c>
      <c r="E23" s="586"/>
      <c r="F23" s="586">
        <v>500</v>
      </c>
      <c r="G23" s="588">
        <v>4.39</v>
      </c>
      <c r="Q23" s="586">
        <v>800</v>
      </c>
      <c r="R23" s="443">
        <v>4.16</v>
      </c>
      <c r="S23" s="443" t="s">
        <v>173</v>
      </c>
      <c r="U23" s="586">
        <v>4000</v>
      </c>
      <c r="V23" s="588">
        <v>13.53</v>
      </c>
      <c r="Y23" s="443" t="s">
        <v>174</v>
      </c>
      <c r="Z23" s="443" t="s">
        <v>175</v>
      </c>
      <c r="AB23" s="443" t="s">
        <v>198</v>
      </c>
      <c r="AC23" s="443" t="s">
        <v>199</v>
      </c>
      <c r="AK23" s="443">
        <f>AVERAGE(AK16:AK22)</f>
        <v>0.14254927284795438</v>
      </c>
    </row>
    <row r="24" spans="2:29" ht="12.75">
      <c r="B24" s="586">
        <v>250</v>
      </c>
      <c r="C24" s="443">
        <v>1.727</v>
      </c>
      <c r="D24" s="444" t="s">
        <v>177</v>
      </c>
      <c r="E24" s="586"/>
      <c r="F24" s="586">
        <v>570</v>
      </c>
      <c r="G24" s="588">
        <v>3.78</v>
      </c>
      <c r="Q24" s="586">
        <v>800</v>
      </c>
      <c r="R24" s="443">
        <v>4.16</v>
      </c>
      <c r="S24" s="443" t="s">
        <v>179</v>
      </c>
      <c r="U24" s="586">
        <v>5000</v>
      </c>
      <c r="V24" s="588">
        <v>14.2</v>
      </c>
      <c r="Y24" s="443">
        <v>1</v>
      </c>
      <c r="Z24" s="443">
        <v>1</v>
      </c>
      <c r="AB24" s="443">
        <v>1</v>
      </c>
      <c r="AC24" s="443">
        <v>1</v>
      </c>
    </row>
    <row r="25" spans="2:29" ht="12.75">
      <c r="B25" s="586">
        <v>250</v>
      </c>
      <c r="C25" s="443">
        <v>2.01</v>
      </c>
      <c r="D25" s="587" t="s">
        <v>173</v>
      </c>
      <c r="E25" s="586"/>
      <c r="F25" s="586">
        <v>600</v>
      </c>
      <c r="G25" s="588">
        <v>4.82</v>
      </c>
      <c r="Q25" s="586">
        <v>1000</v>
      </c>
      <c r="R25" s="443">
        <v>6.9</v>
      </c>
      <c r="S25" s="443" t="s">
        <v>173</v>
      </c>
      <c r="U25" s="586">
        <v>6000</v>
      </c>
      <c r="V25" s="588">
        <v>21.045</v>
      </c>
      <c r="Y25" s="443">
        <v>0.1</v>
      </c>
      <c r="Z25" s="443">
        <v>0.19</v>
      </c>
      <c r="AB25" s="443">
        <v>0.1</v>
      </c>
      <c r="AC25" s="443">
        <v>0.17</v>
      </c>
    </row>
    <row r="26" spans="2:29" ht="12.75">
      <c r="B26" s="586">
        <v>300</v>
      </c>
      <c r="C26" s="443">
        <v>2.54</v>
      </c>
      <c r="D26" s="443" t="s">
        <v>179</v>
      </c>
      <c r="E26" s="586"/>
      <c r="F26" s="586">
        <v>650</v>
      </c>
      <c r="G26" s="588">
        <v>4.1</v>
      </c>
      <c r="Q26" s="586">
        <v>1000</v>
      </c>
      <c r="R26" s="443">
        <v>4.48</v>
      </c>
      <c r="S26" s="443" t="s">
        <v>179</v>
      </c>
      <c r="U26" s="586">
        <v>8000</v>
      </c>
      <c r="V26" s="588">
        <v>27.46</v>
      </c>
      <c r="Y26" s="443">
        <v>0</v>
      </c>
      <c r="Z26" s="443">
        <f>Y28</f>
        <v>0.09999999999999992</v>
      </c>
      <c r="AB26" s="443">
        <v>0</v>
      </c>
      <c r="AC26" s="443">
        <f>AB28</f>
        <v>0.07777777777777772</v>
      </c>
    </row>
    <row r="27" spans="2:32" ht="12.75">
      <c r="B27" s="586">
        <v>300</v>
      </c>
      <c r="C27" s="443">
        <v>2.54</v>
      </c>
      <c r="D27" s="587" t="s">
        <v>173</v>
      </c>
      <c r="E27" s="586"/>
      <c r="F27" s="586">
        <v>700</v>
      </c>
      <c r="G27" s="588">
        <v>5.79</v>
      </c>
      <c r="Q27" s="586">
        <v>1200</v>
      </c>
      <c r="R27" s="443">
        <v>8</v>
      </c>
      <c r="S27" s="443" t="s">
        <v>173</v>
      </c>
      <c r="U27" s="586">
        <v>10000</v>
      </c>
      <c r="V27" s="588">
        <v>33.5</v>
      </c>
      <c r="Y27" s="443">
        <f>SLOPE(Z24:Z25,Y24:Y25)</f>
        <v>0.9</v>
      </c>
      <c r="Z27" s="540" t="s">
        <v>138</v>
      </c>
      <c r="AB27" s="443">
        <f>SLOPE(AC24:AC25,AB24:AB25)</f>
        <v>0.9222222222222222</v>
      </c>
      <c r="AC27" s="540" t="s">
        <v>138</v>
      </c>
      <c r="AF27" s="443" t="s">
        <v>200</v>
      </c>
    </row>
    <row r="28" spans="2:37" ht="12.75">
      <c r="B28" s="586">
        <v>325</v>
      </c>
      <c r="C28" s="443">
        <v>2.313</v>
      </c>
      <c r="D28" s="444" t="s">
        <v>177</v>
      </c>
      <c r="E28" s="586"/>
      <c r="F28" s="586">
        <v>800</v>
      </c>
      <c r="G28" s="588">
        <v>5.68125</v>
      </c>
      <c r="Q28" s="586">
        <v>1200</v>
      </c>
      <c r="R28" s="443">
        <v>5.48</v>
      </c>
      <c r="S28" s="443" t="s">
        <v>179</v>
      </c>
      <c r="U28" s="586">
        <v>12000</v>
      </c>
      <c r="V28" s="588">
        <v>41.5</v>
      </c>
      <c r="Y28" s="443">
        <f>INTERCEPT(Z24:Z25,Y24:Y25)</f>
        <v>0.09999999999999992</v>
      </c>
      <c r="Z28" s="540" t="s">
        <v>140</v>
      </c>
      <c r="AB28" s="443">
        <f>INTERCEPT(AC24:AC25,AB24:AB25)</f>
        <v>0.07777777777777772</v>
      </c>
      <c r="AC28" s="540" t="s">
        <v>140</v>
      </c>
      <c r="AF28" s="443" t="s">
        <v>162</v>
      </c>
      <c r="AG28" s="443" t="s">
        <v>163</v>
      </c>
      <c r="AH28" s="443" t="s">
        <v>164</v>
      </c>
      <c r="AI28" s="443" t="s">
        <v>165</v>
      </c>
      <c r="AJ28" s="443" t="s">
        <v>166</v>
      </c>
      <c r="AK28" s="443" t="s">
        <v>167</v>
      </c>
    </row>
    <row r="29" spans="2:37" ht="12.75">
      <c r="B29" s="586">
        <v>400</v>
      </c>
      <c r="C29" s="443">
        <v>2.6</v>
      </c>
      <c r="D29" s="443" t="s">
        <v>151</v>
      </c>
      <c r="E29" s="586"/>
      <c r="F29" s="586">
        <v>1000</v>
      </c>
      <c r="G29" s="588">
        <v>7.165</v>
      </c>
      <c r="Q29" s="586">
        <v>1600</v>
      </c>
      <c r="R29" s="443">
        <v>8.4</v>
      </c>
      <c r="S29" s="443" t="s">
        <v>173</v>
      </c>
      <c r="U29" s="586">
        <v>15000</v>
      </c>
      <c r="V29" s="588">
        <v>48.8</v>
      </c>
      <c r="AF29" s="443" t="s">
        <v>201</v>
      </c>
      <c r="AG29" s="443">
        <v>210</v>
      </c>
      <c r="AH29" s="443">
        <v>21</v>
      </c>
      <c r="AI29" s="443">
        <v>1.8</v>
      </c>
      <c r="AJ29" s="443">
        <v>0.4</v>
      </c>
      <c r="AK29" s="443">
        <f aca="true" t="shared" si="1" ref="AK29:AK34">AJ29/AI29</f>
        <v>0.22222222222222224</v>
      </c>
    </row>
    <row r="30" spans="2:37" ht="12.75">
      <c r="B30" s="586">
        <v>400</v>
      </c>
      <c r="C30" s="443">
        <v>3.24</v>
      </c>
      <c r="D30" s="443" t="s">
        <v>179</v>
      </c>
      <c r="E30" s="586"/>
      <c r="F30" s="586">
        <v>1200</v>
      </c>
      <c r="G30" s="588">
        <v>8.636666666666667</v>
      </c>
      <c r="Q30" s="586">
        <v>1600</v>
      </c>
      <c r="R30" s="443">
        <v>7.34</v>
      </c>
      <c r="S30" s="443" t="s">
        <v>179</v>
      </c>
      <c r="U30" s="586"/>
      <c r="V30" s="588"/>
      <c r="Y30" s="443" t="s">
        <v>202</v>
      </c>
      <c r="AF30" s="443" t="s">
        <v>203</v>
      </c>
      <c r="AG30" s="443">
        <v>250</v>
      </c>
      <c r="AH30" s="443">
        <v>25</v>
      </c>
      <c r="AI30" s="443">
        <v>2</v>
      </c>
      <c r="AJ30" s="443">
        <v>0.45</v>
      </c>
      <c r="AK30" s="443">
        <f t="shared" si="1"/>
        <v>0.225</v>
      </c>
    </row>
    <row r="31" spans="2:37" ht="12.75">
      <c r="B31" s="586">
        <v>400</v>
      </c>
      <c r="C31" s="443">
        <v>3.24</v>
      </c>
      <c r="D31" s="587" t="s">
        <v>173</v>
      </c>
      <c r="E31" s="586"/>
      <c r="F31" s="586">
        <v>1350</v>
      </c>
      <c r="G31" s="588">
        <v>9.6</v>
      </c>
      <c r="Q31" s="586">
        <v>2000</v>
      </c>
      <c r="R31" s="443">
        <v>11</v>
      </c>
      <c r="S31" s="443" t="s">
        <v>173</v>
      </c>
      <c r="U31" s="586"/>
      <c r="V31" s="588"/>
      <c r="Y31" s="443" t="s">
        <v>188</v>
      </c>
      <c r="AF31" s="443" t="s">
        <v>204</v>
      </c>
      <c r="AG31" s="443">
        <v>310</v>
      </c>
      <c r="AH31" s="443">
        <v>31.5</v>
      </c>
      <c r="AI31" s="443">
        <v>2.3</v>
      </c>
      <c r="AJ31" s="443">
        <v>0.5</v>
      </c>
      <c r="AK31" s="443">
        <f t="shared" si="1"/>
        <v>0.2173913043478261</v>
      </c>
    </row>
    <row r="32" spans="2:37" ht="12.75">
      <c r="B32" s="586">
        <v>500</v>
      </c>
      <c r="C32" s="443">
        <v>4</v>
      </c>
      <c r="D32" s="443" t="s">
        <v>151</v>
      </c>
      <c r="E32" s="586"/>
      <c r="F32" s="586">
        <v>1600</v>
      </c>
      <c r="G32" s="588">
        <v>12.29</v>
      </c>
      <c r="Q32" s="586">
        <v>2000</v>
      </c>
      <c r="R32" s="443">
        <v>9.09</v>
      </c>
      <c r="S32" s="443" t="s">
        <v>179</v>
      </c>
      <c r="U32" s="586"/>
      <c r="V32" s="588"/>
      <c r="AF32" s="443" t="s">
        <v>205</v>
      </c>
      <c r="AG32" s="443">
        <v>400</v>
      </c>
      <c r="AH32" s="443">
        <v>40</v>
      </c>
      <c r="AI32" s="443">
        <v>2.5</v>
      </c>
      <c r="AJ32" s="443">
        <v>0.55</v>
      </c>
      <c r="AK32" s="443">
        <f t="shared" si="1"/>
        <v>0.22000000000000003</v>
      </c>
    </row>
    <row r="33" spans="2:37" ht="12.75">
      <c r="B33" s="586">
        <v>500</v>
      </c>
      <c r="C33" s="443">
        <v>4.65</v>
      </c>
      <c r="D33" s="443" t="s">
        <v>179</v>
      </c>
      <c r="E33" s="586"/>
      <c r="F33" s="586">
        <v>1800</v>
      </c>
      <c r="G33" s="588">
        <v>12.18</v>
      </c>
      <c r="Q33" s="586">
        <v>2400</v>
      </c>
      <c r="R33" s="443">
        <v>13</v>
      </c>
      <c r="S33" s="443" t="s">
        <v>173</v>
      </c>
      <c r="U33" s="586"/>
      <c r="V33" s="588"/>
      <c r="AF33" s="443" t="s">
        <v>206</v>
      </c>
      <c r="AG33" s="443">
        <v>500</v>
      </c>
      <c r="AH33" s="443">
        <v>50</v>
      </c>
      <c r="AI33" s="443">
        <v>4</v>
      </c>
      <c r="AJ33" s="443">
        <v>1.2</v>
      </c>
      <c r="AK33" s="443">
        <f t="shared" si="1"/>
        <v>0.3</v>
      </c>
    </row>
    <row r="34" spans="2:37" ht="12.75">
      <c r="B34" s="586">
        <v>500</v>
      </c>
      <c r="C34" s="443">
        <v>4.52</v>
      </c>
      <c r="D34" s="587" t="s">
        <v>173</v>
      </c>
      <c r="E34" s="586"/>
      <c r="F34" s="586">
        <v>2000</v>
      </c>
      <c r="G34" s="588">
        <v>12.96</v>
      </c>
      <c r="Q34" s="586">
        <v>2400</v>
      </c>
      <c r="R34" s="443">
        <v>9.59</v>
      </c>
      <c r="S34" s="443" t="s">
        <v>179</v>
      </c>
      <c r="U34" s="586"/>
      <c r="V34" s="588"/>
      <c r="Z34" s="589" t="s">
        <v>207</v>
      </c>
      <c r="AA34" s="590"/>
      <c r="AF34" s="443" t="s">
        <v>208</v>
      </c>
      <c r="AG34" s="443">
        <v>820</v>
      </c>
      <c r="AH34" s="443">
        <v>82</v>
      </c>
      <c r="AI34" s="443">
        <v>5.1</v>
      </c>
      <c r="AJ34" s="443">
        <v>1.53</v>
      </c>
      <c r="AK34" s="443">
        <f t="shared" si="1"/>
        <v>0.30000000000000004</v>
      </c>
    </row>
    <row r="35" spans="2:37" ht="12.75">
      <c r="B35" s="586">
        <v>570</v>
      </c>
      <c r="C35" s="443">
        <v>3.78</v>
      </c>
      <c r="D35" s="444" t="s">
        <v>177</v>
      </c>
      <c r="E35" s="586"/>
      <c r="F35" s="586">
        <v>2400</v>
      </c>
      <c r="G35" s="588">
        <v>15.045</v>
      </c>
      <c r="Q35" s="586">
        <v>4000</v>
      </c>
      <c r="R35" s="443">
        <v>15.26</v>
      </c>
      <c r="S35" s="443" t="s">
        <v>179</v>
      </c>
      <c r="U35" s="586"/>
      <c r="V35" s="588"/>
      <c r="Z35" s="550" t="s">
        <v>174</v>
      </c>
      <c r="AA35" s="591" t="s">
        <v>175</v>
      </c>
      <c r="AK35" s="443">
        <f>AVERAGE(AK29:AK34)</f>
        <v>0.24743558776167474</v>
      </c>
    </row>
    <row r="36" spans="2:27" ht="12.75">
      <c r="B36" s="586">
        <v>600</v>
      </c>
      <c r="C36" s="443">
        <v>4.82</v>
      </c>
      <c r="D36" s="443" t="s">
        <v>179</v>
      </c>
      <c r="E36" s="586"/>
      <c r="F36" s="586">
        <v>2500</v>
      </c>
      <c r="G36" s="588">
        <v>14.79</v>
      </c>
      <c r="Q36" s="586">
        <v>4000</v>
      </c>
      <c r="R36" s="443">
        <v>11.8</v>
      </c>
      <c r="S36" s="443" t="s">
        <v>150</v>
      </c>
      <c r="U36" s="586"/>
      <c r="V36" s="588"/>
      <c r="Z36" s="550">
        <f>IF(BaselineRating&lt;=300,'Operating Power'!Y24,'Operating Power'!AB24)</f>
        <v>1</v>
      </c>
      <c r="AA36" s="591">
        <f>IF(BaselineRating&lt;=300,'Operating Power'!Z24,'Operating Power'!AC24)</f>
        <v>1</v>
      </c>
    </row>
    <row r="37" spans="2:37" ht="12.75">
      <c r="B37" s="586">
        <v>600</v>
      </c>
      <c r="C37" s="443">
        <v>4.82</v>
      </c>
      <c r="D37" s="587" t="s">
        <v>173</v>
      </c>
      <c r="E37" s="586"/>
      <c r="F37" s="586">
        <v>3000</v>
      </c>
      <c r="G37" s="588">
        <v>15.5</v>
      </c>
      <c r="Q37" s="586">
        <v>5000</v>
      </c>
      <c r="R37" s="443">
        <v>14.2</v>
      </c>
      <c r="S37" s="443" t="s">
        <v>150</v>
      </c>
      <c r="U37" s="586"/>
      <c r="V37" s="588"/>
      <c r="Z37" s="550">
        <f>IF(BaselineRating&lt;=300,'Operating Power'!Y25,'Operating Power'!AB25)</f>
        <v>0.1</v>
      </c>
      <c r="AA37" s="591">
        <f>IF(BaselineRating&lt;=300,'Operating Power'!Z25,'Operating Power'!AC25)</f>
        <v>0.19</v>
      </c>
      <c r="AJ37" s="443" t="s">
        <v>209</v>
      </c>
      <c r="AK37" s="443">
        <f>AVERAGE(AK16:AK22,AK29:AK34)</f>
        <v>0.19095834126967143</v>
      </c>
    </row>
    <row r="38" spans="2:27" ht="12.75">
      <c r="B38" s="586">
        <v>650</v>
      </c>
      <c r="C38" s="443">
        <v>4.1</v>
      </c>
      <c r="D38" s="443" t="s">
        <v>151</v>
      </c>
      <c r="E38" s="586"/>
      <c r="F38" s="586">
        <v>3250</v>
      </c>
      <c r="G38" s="588">
        <v>18.03</v>
      </c>
      <c r="Q38" s="586">
        <v>6000</v>
      </c>
      <c r="R38" s="443">
        <v>22.89</v>
      </c>
      <c r="S38" s="443" t="s">
        <v>179</v>
      </c>
      <c r="U38" s="586"/>
      <c r="V38" s="588"/>
      <c r="Z38" s="553">
        <f>IF(BaselineRating&lt;=300,'Operating Power'!Y26,'Operating Power'!AB26)</f>
        <v>0</v>
      </c>
      <c r="AA38" s="592">
        <f>IF(BaselineRating&lt;=300,'Operating Power'!Z26,'Operating Power'!AC26)</f>
        <v>0.09999999999999992</v>
      </c>
    </row>
    <row r="39" spans="2:22" ht="12.75">
      <c r="B39" s="586">
        <v>700</v>
      </c>
      <c r="C39" s="443">
        <v>5.79</v>
      </c>
      <c r="D39" s="443" t="s">
        <v>179</v>
      </c>
      <c r="E39" s="586"/>
      <c r="F39" s="586">
        <v>4000</v>
      </c>
      <c r="G39" s="588">
        <v>21.77</v>
      </c>
      <c r="Q39" s="586">
        <v>6000</v>
      </c>
      <c r="R39" s="443">
        <v>19.2</v>
      </c>
      <c r="S39" s="443" t="s">
        <v>150</v>
      </c>
      <c r="U39" s="586"/>
      <c r="V39" s="588"/>
    </row>
    <row r="40" spans="2:32" ht="12.75">
      <c r="B40" s="586">
        <v>700</v>
      </c>
      <c r="C40" s="443">
        <v>5.79</v>
      </c>
      <c r="D40" s="587" t="s">
        <v>173</v>
      </c>
      <c r="E40" s="586"/>
      <c r="F40" s="586">
        <v>4800</v>
      </c>
      <c r="G40" s="588">
        <v>28.72</v>
      </c>
      <c r="Q40" s="586">
        <v>8000</v>
      </c>
      <c r="R40" s="443">
        <v>30.52</v>
      </c>
      <c r="S40" s="443" t="s">
        <v>179</v>
      </c>
      <c r="U40" s="586"/>
      <c r="V40" s="588"/>
      <c r="AF40" s="443" t="s">
        <v>210</v>
      </c>
    </row>
    <row r="41" spans="2:37" ht="12.75">
      <c r="B41" s="586">
        <v>800</v>
      </c>
      <c r="C41" s="443">
        <v>5.1</v>
      </c>
      <c r="D41" s="443" t="s">
        <v>151</v>
      </c>
      <c r="E41" s="586"/>
      <c r="F41" s="586">
        <v>6000</v>
      </c>
      <c r="G41" s="588">
        <v>32.65</v>
      </c>
      <c r="Q41" s="586">
        <v>8000</v>
      </c>
      <c r="R41" s="443">
        <v>24.4</v>
      </c>
      <c r="S41" s="443" t="s">
        <v>150</v>
      </c>
      <c r="U41" s="586"/>
      <c r="V41" s="588"/>
      <c r="AF41" s="443" t="s">
        <v>162</v>
      </c>
      <c r="AG41" s="443" t="s">
        <v>163</v>
      </c>
      <c r="AH41" s="443" t="s">
        <v>164</v>
      </c>
      <c r="AI41" s="443" t="s">
        <v>165</v>
      </c>
      <c r="AJ41" s="443" t="s">
        <v>166</v>
      </c>
      <c r="AK41" s="443" t="s">
        <v>167</v>
      </c>
    </row>
    <row r="42" spans="2:37" ht="12.75">
      <c r="B42" s="586">
        <v>800</v>
      </c>
      <c r="C42" s="443">
        <v>6.5</v>
      </c>
      <c r="D42" s="443" t="s">
        <v>179</v>
      </c>
      <c r="E42" s="586"/>
      <c r="F42" s="586">
        <v>8000</v>
      </c>
      <c r="G42" s="588">
        <v>43.54</v>
      </c>
      <c r="Q42" s="586">
        <v>10000</v>
      </c>
      <c r="R42" s="443">
        <v>33.5</v>
      </c>
      <c r="S42" s="443" t="s">
        <v>150</v>
      </c>
      <c r="AF42" s="443" t="s">
        <v>211</v>
      </c>
      <c r="AG42" s="443">
        <v>200</v>
      </c>
      <c r="AH42" s="443">
        <v>20</v>
      </c>
      <c r="AI42" s="443">
        <v>1.7</v>
      </c>
      <c r="AJ42" s="443">
        <v>0.31</v>
      </c>
      <c r="AK42" s="443">
        <f aca="true" t="shared" si="2" ref="AK42:AK50">AJ42/AI42</f>
        <v>0.18235294117647058</v>
      </c>
    </row>
    <row r="43" spans="2:37" ht="12.75">
      <c r="B43" s="586">
        <v>800</v>
      </c>
      <c r="C43" s="443">
        <v>4.625</v>
      </c>
      <c r="D43" s="444" t="s">
        <v>177</v>
      </c>
      <c r="E43" s="586"/>
      <c r="F43" s="586"/>
      <c r="G43" s="586"/>
      <c r="Q43" s="586">
        <v>12000</v>
      </c>
      <c r="R43" s="443">
        <v>41.5</v>
      </c>
      <c r="S43" s="443" t="s">
        <v>150</v>
      </c>
      <c r="AF43" s="443" t="s">
        <v>212</v>
      </c>
      <c r="AG43" s="443">
        <v>400</v>
      </c>
      <c r="AH43" s="443">
        <v>40</v>
      </c>
      <c r="AI43" s="443">
        <v>3.2</v>
      </c>
      <c r="AJ43" s="443">
        <v>0.46</v>
      </c>
      <c r="AK43" s="443">
        <f t="shared" si="2"/>
        <v>0.14375</v>
      </c>
    </row>
    <row r="44" spans="2:37" ht="12.75">
      <c r="B44" s="586">
        <v>800</v>
      </c>
      <c r="C44" s="443">
        <v>6.5</v>
      </c>
      <c r="D44" s="587" t="s">
        <v>173</v>
      </c>
      <c r="E44" s="586"/>
      <c r="F44" s="586"/>
      <c r="G44" s="586"/>
      <c r="Q44" s="586">
        <v>15000</v>
      </c>
      <c r="R44" s="443">
        <v>48.8</v>
      </c>
      <c r="S44" s="443" t="s">
        <v>150</v>
      </c>
      <c r="W44" s="586"/>
      <c r="AF44" s="443" t="s">
        <v>213</v>
      </c>
      <c r="AG44" s="443">
        <v>600</v>
      </c>
      <c r="AH44" s="443">
        <v>60</v>
      </c>
      <c r="AI44" s="443">
        <v>4.8</v>
      </c>
      <c r="AJ44" s="443">
        <v>0.62</v>
      </c>
      <c r="AK44" s="443">
        <f t="shared" si="2"/>
        <v>0.12916666666666668</v>
      </c>
    </row>
    <row r="45" spans="2:37" ht="12.75">
      <c r="B45" s="586">
        <v>1000</v>
      </c>
      <c r="C45" s="443">
        <v>6.36</v>
      </c>
      <c r="D45" s="443" t="s">
        <v>151</v>
      </c>
      <c r="E45" s="586"/>
      <c r="F45" s="586"/>
      <c r="G45" s="586"/>
      <c r="Q45" s="593" t="s">
        <v>126</v>
      </c>
      <c r="R45" s="594">
        <f>SLOPE(R9:R43,Q9:Q43)</f>
        <v>0.00325942643270219</v>
      </c>
      <c r="S45" s="594" t="s">
        <v>214</v>
      </c>
      <c r="T45" s="594"/>
      <c r="U45" s="594"/>
      <c r="V45" s="594"/>
      <c r="AF45" s="443" t="s">
        <v>215</v>
      </c>
      <c r="AG45" s="443">
        <v>800</v>
      </c>
      <c r="AH45" s="443">
        <v>80</v>
      </c>
      <c r="AI45" s="443">
        <v>6.5</v>
      </c>
      <c r="AJ45" s="443">
        <v>0.82</v>
      </c>
      <c r="AK45" s="443">
        <f t="shared" si="2"/>
        <v>0.12615384615384614</v>
      </c>
    </row>
    <row r="46" spans="2:37" ht="12.75">
      <c r="B46" s="586">
        <v>1000</v>
      </c>
      <c r="C46" s="443">
        <v>7.03</v>
      </c>
      <c r="D46" s="443" t="s">
        <v>179</v>
      </c>
      <c r="E46" s="586"/>
      <c r="F46" s="586"/>
      <c r="G46" s="586"/>
      <c r="Q46" s="593" t="s">
        <v>129</v>
      </c>
      <c r="R46" s="594">
        <f>INTERCEPT(R9:R43,Q9:Q43)</f>
        <v>1.504877131610149</v>
      </c>
      <c r="S46" s="594" t="s">
        <v>216</v>
      </c>
      <c r="T46" s="594"/>
      <c r="U46" s="594"/>
      <c r="V46" s="594"/>
      <c r="AF46" s="443" t="s">
        <v>217</v>
      </c>
      <c r="AG46" s="443">
        <v>1014</v>
      </c>
      <c r="AH46" s="443">
        <v>160</v>
      </c>
      <c r="AI46" s="443">
        <v>8.9</v>
      </c>
      <c r="AJ46" s="443">
        <v>1.6</v>
      </c>
      <c r="AK46" s="443">
        <f t="shared" si="2"/>
        <v>0.1797752808988764</v>
      </c>
    </row>
    <row r="47" spans="2:37" ht="12.75">
      <c r="B47" s="586">
        <v>1000</v>
      </c>
      <c r="C47" s="443">
        <v>6.37</v>
      </c>
      <c r="D47" s="444" t="s">
        <v>177</v>
      </c>
      <c r="E47" s="586"/>
      <c r="F47" s="586"/>
      <c r="G47" s="586"/>
      <c r="Q47" s="594"/>
      <c r="R47" s="594"/>
      <c r="S47" s="594"/>
      <c r="T47" s="594"/>
      <c r="U47" s="594"/>
      <c r="V47" s="594"/>
      <c r="AF47" s="443" t="s">
        <v>218</v>
      </c>
      <c r="AG47" s="443">
        <v>200</v>
      </c>
      <c r="AH47" s="443">
        <v>20</v>
      </c>
      <c r="AI47" s="443">
        <v>1.1</v>
      </c>
      <c r="AJ47" s="443">
        <v>0.21</v>
      </c>
      <c r="AK47" s="443">
        <f t="shared" si="2"/>
        <v>0.1909090909090909</v>
      </c>
    </row>
    <row r="48" spans="2:37" ht="12.75">
      <c r="B48" s="586">
        <v>1000</v>
      </c>
      <c r="C48" s="443">
        <v>8.9</v>
      </c>
      <c r="D48" s="587" t="s">
        <v>173</v>
      </c>
      <c r="E48" s="586"/>
      <c r="F48" s="586"/>
      <c r="G48" s="586"/>
      <c r="Q48" s="444" t="s">
        <v>219</v>
      </c>
      <c r="R48" s="443">
        <f>UpgradeRating</f>
        <v>300</v>
      </c>
      <c r="AF48" s="443" t="s">
        <v>220</v>
      </c>
      <c r="AG48" s="443">
        <v>400</v>
      </c>
      <c r="AH48" s="443">
        <v>40</v>
      </c>
      <c r="AI48" s="443">
        <v>2.2</v>
      </c>
      <c r="AJ48" s="443">
        <v>0.33</v>
      </c>
      <c r="AK48" s="443">
        <f t="shared" si="2"/>
        <v>0.15</v>
      </c>
    </row>
    <row r="49" spans="2:37" ht="13.5" thickBot="1">
      <c r="B49" s="586">
        <v>1200</v>
      </c>
      <c r="C49" s="443">
        <v>6.69</v>
      </c>
      <c r="D49" s="443" t="s">
        <v>151</v>
      </c>
      <c r="E49" s="586"/>
      <c r="F49" s="586"/>
      <c r="G49" s="586"/>
      <c r="Q49" s="444" t="s">
        <v>221</v>
      </c>
      <c r="R49" s="443">
        <f>BaselineRating</f>
        <v>150</v>
      </c>
      <c r="AF49" s="443" t="s">
        <v>222</v>
      </c>
      <c r="AG49" s="443">
        <v>600</v>
      </c>
      <c r="AH49" s="443">
        <v>60</v>
      </c>
      <c r="AI49" s="443">
        <v>3.2</v>
      </c>
      <c r="AJ49" s="443">
        <v>0.43</v>
      </c>
      <c r="AK49" s="443">
        <f t="shared" si="2"/>
        <v>0.134375</v>
      </c>
    </row>
    <row r="50" spans="2:37" ht="12.75">
      <c r="B50" s="586">
        <v>1200</v>
      </c>
      <c r="C50" s="443">
        <v>8.72</v>
      </c>
      <c r="D50" s="443" t="s">
        <v>179</v>
      </c>
      <c r="E50" s="586"/>
      <c r="F50" s="586"/>
      <c r="G50" s="586"/>
      <c r="Q50" s="545" t="s">
        <v>223</v>
      </c>
      <c r="R50" s="548"/>
      <c r="AF50" s="443" t="s">
        <v>224</v>
      </c>
      <c r="AG50" s="443">
        <v>800</v>
      </c>
      <c r="AH50" s="443">
        <v>80</v>
      </c>
      <c r="AI50" s="443">
        <v>4.2</v>
      </c>
      <c r="AJ50" s="443">
        <v>0.53</v>
      </c>
      <c r="AK50" s="443">
        <f t="shared" si="2"/>
        <v>0.1261904761904762</v>
      </c>
    </row>
    <row r="51" spans="2:19" ht="12.75">
      <c r="B51" s="586">
        <v>1200</v>
      </c>
      <c r="C51" s="443">
        <v>10.5</v>
      </c>
      <c r="D51" s="587" t="s">
        <v>173</v>
      </c>
      <c r="E51" s="586"/>
      <c r="F51" s="586"/>
      <c r="G51" s="586"/>
      <c r="Q51" s="549" t="s">
        <v>225</v>
      </c>
      <c r="R51" s="551">
        <f>VLOOKUP(R48,F9:G42,2)</f>
        <v>2.54</v>
      </c>
      <c r="S51" s="443" t="s">
        <v>226</v>
      </c>
    </row>
    <row r="52" spans="2:19" ht="12.75">
      <c r="B52" s="586">
        <v>1350</v>
      </c>
      <c r="C52" s="443">
        <v>9.6</v>
      </c>
      <c r="D52" s="444" t="s">
        <v>177</v>
      </c>
      <c r="E52" s="586"/>
      <c r="F52" s="586"/>
      <c r="G52" s="586"/>
      <c r="Q52" s="549" t="s">
        <v>227</v>
      </c>
      <c r="R52" s="551">
        <f>VLOOKUP(R48,U9:V29,2)</f>
        <v>1.65</v>
      </c>
      <c r="S52" s="443" t="s">
        <v>228</v>
      </c>
    </row>
    <row r="53" spans="2:33" ht="12.75">
      <c r="B53" s="586">
        <v>1600</v>
      </c>
      <c r="C53" s="443">
        <v>11.48</v>
      </c>
      <c r="D53" s="443" t="s">
        <v>179</v>
      </c>
      <c r="E53" s="586"/>
      <c r="F53" s="586"/>
      <c r="G53" s="586"/>
      <c r="Q53" s="549"/>
      <c r="R53" s="551"/>
      <c r="AF53" s="443" t="s">
        <v>229</v>
      </c>
      <c r="AG53" s="443">
        <f>AVERAGE(AK16:AK17,AK29:AK30,AK42)</f>
        <v>0.19358562091503267</v>
      </c>
    </row>
    <row r="54" spans="2:33" ht="12.75">
      <c r="B54" s="586">
        <v>1600</v>
      </c>
      <c r="C54" s="443">
        <v>13.1</v>
      </c>
      <c r="D54" s="587" t="s">
        <v>173</v>
      </c>
      <c r="E54" s="586"/>
      <c r="F54" s="586"/>
      <c r="G54" s="586"/>
      <c r="Q54" s="549" t="s">
        <v>230</v>
      </c>
      <c r="R54" s="551"/>
      <c r="AF54" s="443" t="s">
        <v>231</v>
      </c>
      <c r="AG54" s="443">
        <f>AVERAGE(AK18:AK22,AK31:AK34,AI43:AI50)</f>
        <v>2.1056990160651203</v>
      </c>
    </row>
    <row r="55" spans="2:19" ht="12.75">
      <c r="B55" s="586">
        <v>1800</v>
      </c>
      <c r="C55" s="443">
        <v>12.18</v>
      </c>
      <c r="D55" s="444" t="s">
        <v>177</v>
      </c>
      <c r="E55" s="586"/>
      <c r="F55" s="586"/>
      <c r="G55" s="586"/>
      <c r="Q55" s="549" t="s">
        <v>225</v>
      </c>
      <c r="R55" s="551">
        <f>VLOOKUP(R49,E77:F99,2)</f>
        <v>1.185</v>
      </c>
      <c r="S55" s="443" t="s">
        <v>232</v>
      </c>
    </row>
    <row r="56" spans="2:19" ht="13.5" thickBot="1">
      <c r="B56" s="586">
        <v>2000</v>
      </c>
      <c r="C56" s="443">
        <v>11.7</v>
      </c>
      <c r="D56" s="443" t="s">
        <v>151</v>
      </c>
      <c r="E56" s="586"/>
      <c r="F56" s="586"/>
      <c r="G56" s="586"/>
      <c r="Q56" s="561" t="s">
        <v>227</v>
      </c>
      <c r="R56" s="551">
        <f>VLOOKUP(R49,B124:C144,2)</f>
        <v>1</v>
      </c>
      <c r="S56" s="443" t="s">
        <v>233</v>
      </c>
    </row>
    <row r="57" spans="2:32" ht="12.75">
      <c r="B57" s="586">
        <v>2000</v>
      </c>
      <c r="C57" s="443">
        <v>13.18</v>
      </c>
      <c r="D57" s="443" t="s">
        <v>179</v>
      </c>
      <c r="E57" s="586"/>
      <c r="F57" s="586"/>
      <c r="G57" s="586"/>
      <c r="AF57" s="443" t="s">
        <v>234</v>
      </c>
    </row>
    <row r="58" spans="2:37" ht="12.75">
      <c r="B58" s="586">
        <v>2000</v>
      </c>
      <c r="C58" s="443">
        <v>14</v>
      </c>
      <c r="D58" s="587" t="s">
        <v>173</v>
      </c>
      <c r="E58" s="586"/>
      <c r="F58" s="586"/>
      <c r="G58" s="586"/>
      <c r="AF58" s="443" t="s">
        <v>162</v>
      </c>
      <c r="AG58" s="443" t="s">
        <v>163</v>
      </c>
      <c r="AH58" s="443" t="s">
        <v>164</v>
      </c>
      <c r="AI58" s="443" t="s">
        <v>165</v>
      </c>
      <c r="AJ58" s="443" t="s">
        <v>166</v>
      </c>
      <c r="AK58" s="443" t="s">
        <v>167</v>
      </c>
    </row>
    <row r="59" spans="2:37" ht="12.75">
      <c r="B59" s="586">
        <v>2400</v>
      </c>
      <c r="C59" s="443">
        <v>14.29</v>
      </c>
      <c r="D59" s="443" t="s">
        <v>179</v>
      </c>
      <c r="E59" s="586"/>
      <c r="F59" s="586"/>
      <c r="G59" s="586"/>
      <c r="AF59" s="443" t="s">
        <v>235</v>
      </c>
      <c r="AG59" s="443">
        <v>200</v>
      </c>
      <c r="AH59" s="443">
        <v>20</v>
      </c>
      <c r="AI59" s="443">
        <v>1.7</v>
      </c>
      <c r="AJ59" s="443">
        <v>1.6</v>
      </c>
      <c r="AK59" s="443">
        <f aca="true" t="shared" si="3" ref="AK59:AK64">AJ59/AI59</f>
        <v>0.9411764705882354</v>
      </c>
    </row>
    <row r="60" spans="2:37" ht="12.75">
      <c r="B60" s="586">
        <v>2400</v>
      </c>
      <c r="C60" s="443">
        <v>15.8</v>
      </c>
      <c r="D60" s="587" t="s">
        <v>173</v>
      </c>
      <c r="AF60" s="443" t="s">
        <v>236</v>
      </c>
      <c r="AG60" s="443">
        <v>400</v>
      </c>
      <c r="AH60" s="443">
        <v>40</v>
      </c>
      <c r="AI60" s="443">
        <v>3.5</v>
      </c>
      <c r="AJ60" s="443">
        <v>3.3</v>
      </c>
      <c r="AK60" s="443">
        <f t="shared" si="3"/>
        <v>0.9428571428571428</v>
      </c>
    </row>
    <row r="61" spans="2:37" ht="12.75">
      <c r="B61" s="586">
        <v>2500</v>
      </c>
      <c r="C61" s="443">
        <v>14.79</v>
      </c>
      <c r="D61" s="443" t="s">
        <v>151</v>
      </c>
      <c r="AF61" s="443" t="s">
        <v>237</v>
      </c>
      <c r="AG61" s="443">
        <v>800</v>
      </c>
      <c r="AH61" s="443">
        <v>80</v>
      </c>
      <c r="AI61" s="443">
        <v>5.6</v>
      </c>
      <c r="AJ61" s="443">
        <v>5.3</v>
      </c>
      <c r="AK61" s="443">
        <f t="shared" si="3"/>
        <v>0.9464285714285715</v>
      </c>
    </row>
    <row r="62" spans="2:37" ht="12.75">
      <c r="B62" s="586">
        <v>3000</v>
      </c>
      <c r="C62" s="443">
        <v>15.5</v>
      </c>
      <c r="D62" s="443" t="s">
        <v>151</v>
      </c>
      <c r="AF62" s="443" t="s">
        <v>238</v>
      </c>
      <c r="AG62" s="443">
        <v>200</v>
      </c>
      <c r="AH62" s="443">
        <v>20</v>
      </c>
      <c r="AI62" s="443">
        <v>1.4</v>
      </c>
      <c r="AJ62" s="443">
        <v>1.3</v>
      </c>
      <c r="AK62" s="443">
        <f t="shared" si="3"/>
        <v>0.9285714285714287</v>
      </c>
    </row>
    <row r="63" spans="2:37" ht="12.75">
      <c r="B63" s="586">
        <v>3250</v>
      </c>
      <c r="C63" s="443">
        <v>18.03</v>
      </c>
      <c r="D63" s="443" t="s">
        <v>179</v>
      </c>
      <c r="AF63" s="443" t="s">
        <v>239</v>
      </c>
      <c r="AG63" s="443">
        <v>400</v>
      </c>
      <c r="AH63" s="443">
        <v>40</v>
      </c>
      <c r="AI63" s="443">
        <v>2.9</v>
      </c>
      <c r="AJ63" s="443">
        <v>2.8</v>
      </c>
      <c r="AK63" s="443">
        <f t="shared" si="3"/>
        <v>0.9655172413793103</v>
      </c>
    </row>
    <row r="64" spans="2:37" ht="12.75">
      <c r="B64" s="586">
        <v>4000</v>
      </c>
      <c r="C64" s="443">
        <v>21.77</v>
      </c>
      <c r="D64" s="443" t="s">
        <v>179</v>
      </c>
      <c r="AF64" s="443" t="s">
        <v>240</v>
      </c>
      <c r="AG64" s="443">
        <v>800</v>
      </c>
      <c r="AH64" s="443">
        <v>80</v>
      </c>
      <c r="AI64" s="443">
        <v>4.6</v>
      </c>
      <c r="AJ64" s="443">
        <v>4.4</v>
      </c>
      <c r="AK64" s="443">
        <f t="shared" si="3"/>
        <v>0.9565217391304349</v>
      </c>
    </row>
    <row r="65" spans="2:37" ht="12.75">
      <c r="B65" s="586">
        <v>4800</v>
      </c>
      <c r="C65" s="443">
        <v>28.72</v>
      </c>
      <c r="D65" s="443" t="s">
        <v>179</v>
      </c>
      <c r="AJ65" s="443" t="s">
        <v>241</v>
      </c>
      <c r="AK65" s="443">
        <f>AVERAGE(AK59:AK64)</f>
        <v>0.9468454323258539</v>
      </c>
    </row>
    <row r="66" spans="2:4" ht="12.75">
      <c r="B66" s="586">
        <v>6000</v>
      </c>
      <c r="C66" s="443">
        <v>32.65</v>
      </c>
      <c r="D66" s="443" t="s">
        <v>179</v>
      </c>
    </row>
    <row r="67" spans="2:6" ht="12.75">
      <c r="B67" s="586">
        <v>8000</v>
      </c>
      <c r="C67" s="443">
        <v>43.54</v>
      </c>
      <c r="D67" s="443" t="s">
        <v>179</v>
      </c>
      <c r="E67" s="586"/>
      <c r="F67" s="586"/>
    </row>
    <row r="68" spans="2:6" ht="12.75">
      <c r="B68" s="586"/>
      <c r="E68" s="586"/>
      <c r="F68" s="586"/>
    </row>
    <row r="69" spans="2:6" ht="12.75">
      <c r="B69" s="593" t="s">
        <v>126</v>
      </c>
      <c r="C69" s="594">
        <f>SLOPE(C9:C67,B9:B67)</f>
        <v>0.005456450052860342</v>
      </c>
      <c r="D69" s="594" t="s">
        <v>242</v>
      </c>
      <c r="E69" s="593"/>
      <c r="F69" s="586"/>
    </row>
    <row r="70" spans="2:6" ht="12.75">
      <c r="B70" s="593" t="s">
        <v>129</v>
      </c>
      <c r="C70" s="594">
        <f>INTERCEPT(C9:C67,B9:B67)</f>
        <v>1.1701325138780643</v>
      </c>
      <c r="D70" s="594" t="s">
        <v>243</v>
      </c>
      <c r="E70" s="593"/>
      <c r="F70" s="586"/>
    </row>
    <row r="71" spans="2:6" ht="12.75">
      <c r="B71" s="586"/>
      <c r="E71" s="586"/>
      <c r="F71" s="586"/>
    </row>
    <row r="72" spans="2:6" ht="12.75">
      <c r="B72" s="595" t="s">
        <v>244</v>
      </c>
      <c r="E72" s="586"/>
      <c r="F72" s="586"/>
    </row>
    <row r="73" spans="2:6" ht="12.75">
      <c r="B73" s="586"/>
      <c r="E73" s="586"/>
      <c r="F73" s="586"/>
    </row>
    <row r="74" spans="1:5" ht="12.75">
      <c r="A74" s="442" t="s">
        <v>155</v>
      </c>
      <c r="B74" s="537" t="s">
        <v>157</v>
      </c>
      <c r="C74" s="537" t="s">
        <v>158</v>
      </c>
      <c r="E74" s="586"/>
    </row>
    <row r="75" spans="2:5" ht="12.75">
      <c r="B75" s="537" t="s">
        <v>160</v>
      </c>
      <c r="C75" s="537" t="s">
        <v>669</v>
      </c>
      <c r="E75" s="586"/>
    </row>
    <row r="76" spans="2:6" ht="12.75">
      <c r="B76" s="538" t="s">
        <v>168</v>
      </c>
      <c r="C76" s="538" t="s">
        <v>169</v>
      </c>
      <c r="D76" s="554"/>
      <c r="E76" s="596" t="s">
        <v>245</v>
      </c>
      <c r="F76" s="444" t="s">
        <v>125</v>
      </c>
    </row>
    <row r="77" spans="2:6" ht="12.75">
      <c r="B77" s="586">
        <v>20</v>
      </c>
      <c r="C77" s="443">
        <v>0.255</v>
      </c>
      <c r="D77" s="444" t="s">
        <v>177</v>
      </c>
      <c r="E77" s="586">
        <v>20</v>
      </c>
      <c r="F77" s="588">
        <v>0.255</v>
      </c>
    </row>
    <row r="78" spans="2:6" ht="12.75">
      <c r="B78" s="586">
        <v>25</v>
      </c>
      <c r="C78" s="443">
        <v>0.36</v>
      </c>
      <c r="D78" s="444" t="s">
        <v>177</v>
      </c>
      <c r="E78" s="586">
        <v>25</v>
      </c>
      <c r="F78" s="588">
        <v>0.36</v>
      </c>
    </row>
    <row r="79" spans="2:6" ht="12.75">
      <c r="B79" s="586">
        <v>40</v>
      </c>
      <c r="C79" s="443">
        <v>0.435</v>
      </c>
      <c r="D79" s="444" t="s">
        <v>177</v>
      </c>
      <c r="E79" s="586">
        <v>40</v>
      </c>
      <c r="F79" s="588">
        <v>0.435</v>
      </c>
    </row>
    <row r="80" spans="2:6" ht="12.75">
      <c r="B80" s="586">
        <v>50</v>
      </c>
      <c r="C80" s="443">
        <v>0.56</v>
      </c>
      <c r="D80" s="444" t="s">
        <v>177</v>
      </c>
      <c r="E80" s="586">
        <v>50</v>
      </c>
      <c r="F80" s="588">
        <v>0.56</v>
      </c>
    </row>
    <row r="81" spans="2:6" ht="12.75">
      <c r="B81" s="586">
        <v>75</v>
      </c>
      <c r="C81" s="443">
        <v>0.67</v>
      </c>
      <c r="D81" s="537" t="s">
        <v>173</v>
      </c>
      <c r="E81" s="586">
        <v>75</v>
      </c>
      <c r="F81" s="588">
        <v>0.715</v>
      </c>
    </row>
    <row r="82" spans="2:6" ht="12.75">
      <c r="B82" s="586">
        <v>75</v>
      </c>
      <c r="C82" s="443">
        <v>0.76</v>
      </c>
      <c r="D82" s="444" t="s">
        <v>177</v>
      </c>
      <c r="E82" s="586">
        <v>100</v>
      </c>
      <c r="F82" s="588">
        <v>1.02</v>
      </c>
    </row>
    <row r="83" spans="2:6" ht="12.75">
      <c r="B83" s="586">
        <v>100</v>
      </c>
      <c r="C83" s="443">
        <v>1.03</v>
      </c>
      <c r="D83" s="537" t="s">
        <v>173</v>
      </c>
      <c r="E83" s="586">
        <v>125</v>
      </c>
      <c r="F83" s="588">
        <v>1.185</v>
      </c>
    </row>
    <row r="84" spans="2:6" ht="12.75">
      <c r="B84" s="586">
        <v>100</v>
      </c>
      <c r="C84" s="443">
        <v>1.01</v>
      </c>
      <c r="D84" s="444" t="s">
        <v>177</v>
      </c>
      <c r="E84" s="586">
        <v>150</v>
      </c>
      <c r="F84" s="588">
        <v>1.185</v>
      </c>
    </row>
    <row r="85" spans="2:6" ht="12.75">
      <c r="B85" s="586">
        <v>125</v>
      </c>
      <c r="C85" s="443">
        <v>1.27</v>
      </c>
      <c r="D85" s="537" t="s">
        <v>173</v>
      </c>
      <c r="E85" s="586">
        <v>200</v>
      </c>
      <c r="F85" s="588">
        <v>1.62</v>
      </c>
    </row>
    <row r="86" spans="2:6" ht="12.75">
      <c r="B86" s="586">
        <v>125</v>
      </c>
      <c r="C86" s="443">
        <v>1.1</v>
      </c>
      <c r="D86" s="444" t="s">
        <v>177</v>
      </c>
      <c r="E86" s="586">
        <v>250</v>
      </c>
      <c r="F86" s="588">
        <v>1.8166666666666667</v>
      </c>
    </row>
    <row r="87" spans="2:6" ht="12.75">
      <c r="B87" s="586">
        <v>150</v>
      </c>
      <c r="C87" s="443">
        <v>1.27</v>
      </c>
      <c r="D87" s="537" t="s">
        <v>173</v>
      </c>
      <c r="E87" s="586">
        <v>300</v>
      </c>
      <c r="F87" s="588">
        <v>2.0866666666666664</v>
      </c>
    </row>
    <row r="88" spans="2:6" ht="12.75">
      <c r="B88" s="586">
        <v>150</v>
      </c>
      <c r="C88" s="443">
        <v>1.1</v>
      </c>
      <c r="D88" s="444" t="s">
        <v>177</v>
      </c>
      <c r="E88" s="586">
        <v>400</v>
      </c>
      <c r="F88" s="588">
        <v>2.8123333333333336</v>
      </c>
    </row>
    <row r="89" spans="2:6" ht="12.75">
      <c r="B89" s="586">
        <v>200</v>
      </c>
      <c r="C89" s="443">
        <v>1.7</v>
      </c>
      <c r="D89" s="537" t="s">
        <v>173</v>
      </c>
      <c r="E89" s="586">
        <v>500</v>
      </c>
      <c r="F89" s="588">
        <v>3.872666666666666</v>
      </c>
    </row>
    <row r="90" spans="2:7" ht="12.75">
      <c r="B90" s="586">
        <v>200</v>
      </c>
      <c r="C90" s="443">
        <v>1.8</v>
      </c>
      <c r="D90" s="537" t="s">
        <v>173</v>
      </c>
      <c r="E90" s="554">
        <v>600</v>
      </c>
      <c r="F90" s="588">
        <v>4.5</v>
      </c>
      <c r="G90" s="554"/>
    </row>
    <row r="91" spans="2:6" ht="12.75">
      <c r="B91" s="586">
        <v>200</v>
      </c>
      <c r="C91" s="443">
        <v>1.36</v>
      </c>
      <c r="D91" s="444" t="s">
        <v>177</v>
      </c>
      <c r="E91" s="537">
        <v>625</v>
      </c>
      <c r="F91" s="588">
        <v>4.2</v>
      </c>
    </row>
    <row r="92" spans="2:6" ht="12.75">
      <c r="B92" s="586">
        <v>250</v>
      </c>
      <c r="C92" s="443">
        <v>1.6</v>
      </c>
      <c r="D92" s="537" t="s">
        <v>173</v>
      </c>
      <c r="E92" s="586">
        <v>650</v>
      </c>
      <c r="F92" s="588">
        <v>4.028</v>
      </c>
    </row>
    <row r="93" spans="2:6" ht="12.75">
      <c r="B93" s="586">
        <v>250</v>
      </c>
      <c r="C93" s="443">
        <v>2</v>
      </c>
      <c r="D93" s="443" t="s">
        <v>151</v>
      </c>
      <c r="E93" s="586">
        <v>700</v>
      </c>
      <c r="F93" s="588">
        <v>5.38</v>
      </c>
    </row>
    <row r="94" spans="2:6" ht="12.75">
      <c r="B94" s="586">
        <v>250</v>
      </c>
      <c r="C94" s="443">
        <v>1.85</v>
      </c>
      <c r="D94" s="444" t="s">
        <v>177</v>
      </c>
      <c r="E94" s="586">
        <v>800</v>
      </c>
      <c r="F94" s="588">
        <v>5.295</v>
      </c>
    </row>
    <row r="95" spans="2:6" ht="12.75">
      <c r="B95" s="586">
        <v>300</v>
      </c>
      <c r="C95" s="443">
        <v>2.11</v>
      </c>
      <c r="D95" s="537" t="s">
        <v>173</v>
      </c>
      <c r="E95" s="586">
        <v>1000</v>
      </c>
      <c r="F95" s="588">
        <v>6.5</v>
      </c>
    </row>
    <row r="96" spans="2:6" ht="12.75">
      <c r="B96" s="586">
        <v>300</v>
      </c>
      <c r="C96" s="443">
        <v>2.3</v>
      </c>
      <c r="D96" s="443" t="s">
        <v>151</v>
      </c>
      <c r="E96" s="586">
        <v>1200</v>
      </c>
      <c r="F96" s="588">
        <v>9.5</v>
      </c>
    </row>
    <row r="97" spans="2:6" ht="12.75">
      <c r="B97" s="586">
        <v>300</v>
      </c>
      <c r="C97" s="443">
        <v>1.85</v>
      </c>
      <c r="D97" s="444" t="s">
        <v>177</v>
      </c>
      <c r="E97" s="586">
        <v>1600</v>
      </c>
      <c r="F97" s="588">
        <v>11.3</v>
      </c>
    </row>
    <row r="98" spans="2:6" ht="12.75">
      <c r="B98" s="586">
        <v>400</v>
      </c>
      <c r="C98" s="443">
        <v>3.48</v>
      </c>
      <c r="D98" s="537" t="s">
        <v>173</v>
      </c>
      <c r="E98" s="586">
        <v>2000</v>
      </c>
      <c r="F98" s="588">
        <v>13.8</v>
      </c>
    </row>
    <row r="99" spans="2:6" ht="12.75">
      <c r="B99" s="586">
        <v>400</v>
      </c>
      <c r="C99" s="443">
        <v>2.5</v>
      </c>
      <c r="D99" s="443" t="s">
        <v>151</v>
      </c>
      <c r="E99" s="586">
        <v>2400</v>
      </c>
      <c r="F99" s="588">
        <v>16.2</v>
      </c>
    </row>
    <row r="100" spans="2:4" ht="12.75">
      <c r="B100" s="586">
        <v>400</v>
      </c>
      <c r="C100" s="443">
        <v>2.457</v>
      </c>
      <c r="D100" s="444" t="s">
        <v>177</v>
      </c>
    </row>
    <row r="101" spans="2:4" ht="12.75">
      <c r="B101" s="586">
        <v>500</v>
      </c>
      <c r="C101" s="443">
        <v>3.59</v>
      </c>
      <c r="D101" s="537" t="s">
        <v>173</v>
      </c>
    </row>
    <row r="102" spans="2:4" ht="12.75">
      <c r="B102" s="586">
        <v>500</v>
      </c>
      <c r="C102" s="443">
        <v>4</v>
      </c>
      <c r="D102" s="443" t="s">
        <v>151</v>
      </c>
    </row>
    <row r="103" spans="2:4" ht="12.75">
      <c r="B103" s="586">
        <v>500</v>
      </c>
      <c r="C103" s="443">
        <v>4.028</v>
      </c>
      <c r="D103" s="444" t="s">
        <v>177</v>
      </c>
    </row>
    <row r="104" spans="2:4" ht="12.75">
      <c r="B104" s="586">
        <v>600</v>
      </c>
      <c r="C104" s="443">
        <v>4.5</v>
      </c>
      <c r="D104" s="537" t="s">
        <v>173</v>
      </c>
    </row>
    <row r="105" spans="2:4" ht="12.75">
      <c r="B105" s="586">
        <v>625</v>
      </c>
      <c r="C105" s="443">
        <v>4.2</v>
      </c>
      <c r="D105" s="443" t="s">
        <v>151</v>
      </c>
    </row>
    <row r="106" spans="2:4" ht="12.75">
      <c r="B106" s="586">
        <v>650</v>
      </c>
      <c r="C106" s="443">
        <v>4.028</v>
      </c>
      <c r="D106" s="444" t="s">
        <v>177</v>
      </c>
    </row>
    <row r="107" spans="2:4" ht="12.75">
      <c r="B107" s="586">
        <v>700</v>
      </c>
      <c r="C107" s="443">
        <v>5.38</v>
      </c>
      <c r="D107" s="537" t="s">
        <v>173</v>
      </c>
    </row>
    <row r="108" spans="2:4" ht="12.75">
      <c r="B108" s="586">
        <v>800</v>
      </c>
      <c r="C108" s="443">
        <v>5.59</v>
      </c>
      <c r="D108" s="537" t="s">
        <v>173</v>
      </c>
    </row>
    <row r="109" spans="2:4" ht="12.75">
      <c r="B109" s="586">
        <v>800</v>
      </c>
      <c r="C109" s="443">
        <v>5</v>
      </c>
      <c r="D109" s="444" t="s">
        <v>177</v>
      </c>
    </row>
    <row r="110" spans="2:4" ht="12.75">
      <c r="B110" s="586">
        <v>1000</v>
      </c>
      <c r="C110" s="443">
        <v>6.5</v>
      </c>
      <c r="D110" s="537" t="s">
        <v>173</v>
      </c>
    </row>
    <row r="111" spans="2:4" ht="12.75">
      <c r="B111" s="586">
        <v>1200</v>
      </c>
      <c r="C111" s="443">
        <v>9.5</v>
      </c>
      <c r="D111" s="537" t="s">
        <v>173</v>
      </c>
    </row>
    <row r="112" spans="2:4" ht="12.75">
      <c r="B112" s="586">
        <v>1600</v>
      </c>
      <c r="C112" s="443">
        <v>11.3</v>
      </c>
      <c r="D112" s="537" t="s">
        <v>173</v>
      </c>
    </row>
    <row r="113" spans="2:4" ht="12.75">
      <c r="B113" s="586">
        <v>2000</v>
      </c>
      <c r="C113" s="443">
        <v>13.8</v>
      </c>
      <c r="D113" s="537" t="s">
        <v>173</v>
      </c>
    </row>
    <row r="114" spans="2:6" ht="12.75">
      <c r="B114" s="586">
        <v>2400</v>
      </c>
      <c r="C114" s="443">
        <v>16.2</v>
      </c>
      <c r="D114" s="537" t="s">
        <v>173</v>
      </c>
      <c r="E114" s="444"/>
      <c r="F114" s="444"/>
    </row>
    <row r="115" ht="12.75">
      <c r="B115" s="586"/>
    </row>
    <row r="116" ht="12.75">
      <c r="B116" s="586"/>
    </row>
    <row r="117" ht="12.75"/>
    <row r="118" spans="2:5" ht="12.75">
      <c r="B118" s="593" t="s">
        <v>126</v>
      </c>
      <c r="C118" s="594">
        <f>SLOPE(F77:F99,E77:E99)</f>
        <v>0.006805510936445116</v>
      </c>
      <c r="D118" s="594" t="s">
        <v>246</v>
      </c>
      <c r="E118" s="594"/>
    </row>
    <row r="119" spans="2:5" ht="12.75">
      <c r="B119" s="593" t="s">
        <v>129</v>
      </c>
      <c r="C119" s="594">
        <f>INTERCEPT(F77:F99,E77:E99)</f>
        <v>0.20183596960983863</v>
      </c>
      <c r="D119" s="594" t="s">
        <v>247</v>
      </c>
      <c r="E119" s="594"/>
    </row>
    <row r="120" ht="12.75">
      <c r="B120" s="586"/>
    </row>
    <row r="121" spans="2:3" ht="12.75">
      <c r="B121" s="537" t="s">
        <v>157</v>
      </c>
      <c r="C121" s="537" t="s">
        <v>158</v>
      </c>
    </row>
    <row r="122" spans="1:3" ht="12.75">
      <c r="A122" s="442" t="s">
        <v>156</v>
      </c>
      <c r="B122" s="537" t="s">
        <v>160</v>
      </c>
      <c r="C122" s="537" t="s">
        <v>669</v>
      </c>
    </row>
    <row r="123" spans="2:5" ht="12.75">
      <c r="B123" s="538" t="s">
        <v>168</v>
      </c>
      <c r="C123" s="538" t="s">
        <v>171</v>
      </c>
      <c r="D123" s="597"/>
      <c r="E123" s="444"/>
    </row>
    <row r="124" spans="2:3" ht="12.75">
      <c r="B124" s="443">
        <v>100</v>
      </c>
      <c r="C124" s="443">
        <v>1</v>
      </c>
    </row>
    <row r="125" spans="2:4" ht="12.75">
      <c r="B125" s="586">
        <v>200</v>
      </c>
      <c r="C125" s="443">
        <v>1.34</v>
      </c>
      <c r="D125" s="443" t="s">
        <v>173</v>
      </c>
    </row>
    <row r="126" spans="2:3" ht="12.75">
      <c r="B126" s="586">
        <v>250</v>
      </c>
      <c r="C126" s="443">
        <v>1.25</v>
      </c>
    </row>
    <row r="127" spans="2:3" ht="12.75">
      <c r="B127" s="586">
        <v>300</v>
      </c>
      <c r="C127" s="443">
        <v>1.67</v>
      </c>
    </row>
    <row r="128" spans="2:3" ht="12.75">
      <c r="B128" s="586">
        <v>400</v>
      </c>
      <c r="C128" s="443">
        <v>2.88</v>
      </c>
    </row>
    <row r="129" spans="2:3" ht="12.75">
      <c r="B129" s="586">
        <v>500</v>
      </c>
      <c r="C129" s="443">
        <v>2.88</v>
      </c>
    </row>
    <row r="130" spans="2:3" ht="12.75">
      <c r="B130" s="586">
        <v>600</v>
      </c>
      <c r="C130" s="443">
        <v>3.71</v>
      </c>
    </row>
    <row r="131" spans="2:3" ht="12.75">
      <c r="B131" s="586">
        <v>700</v>
      </c>
      <c r="C131" s="443">
        <v>4.24</v>
      </c>
    </row>
    <row r="132" spans="2:3" ht="12.75">
      <c r="B132" s="586">
        <v>800</v>
      </c>
      <c r="C132" s="443">
        <v>4.54</v>
      </c>
    </row>
    <row r="133" spans="2:3" ht="12.75">
      <c r="B133" s="586">
        <v>1000</v>
      </c>
      <c r="C133" s="443">
        <v>6.1</v>
      </c>
    </row>
    <row r="134" spans="2:3" ht="12.75">
      <c r="B134" s="586">
        <v>1200</v>
      </c>
      <c r="C134" s="443">
        <v>6.1</v>
      </c>
    </row>
    <row r="135" spans="2:3" ht="12.75">
      <c r="B135" s="586">
        <v>1600</v>
      </c>
      <c r="C135" s="443">
        <v>7.7</v>
      </c>
    </row>
    <row r="136" spans="2:3" ht="12.75">
      <c r="B136" s="586">
        <v>2000</v>
      </c>
      <c r="C136" s="443">
        <v>9</v>
      </c>
    </row>
    <row r="137" spans="2:3" ht="12.75">
      <c r="B137" s="586">
        <v>2400</v>
      </c>
      <c r="C137" s="443">
        <v>11.7</v>
      </c>
    </row>
    <row r="138" spans="2:3" ht="12.75">
      <c r="B138" s="586">
        <v>4000</v>
      </c>
      <c r="C138" s="443">
        <v>13.9</v>
      </c>
    </row>
    <row r="139" spans="2:3" ht="12.75">
      <c r="B139" s="586">
        <v>5000</v>
      </c>
      <c r="C139" s="443">
        <v>16.4</v>
      </c>
    </row>
    <row r="140" spans="2:3" ht="12.75">
      <c r="B140" s="586">
        <v>6250</v>
      </c>
      <c r="C140" s="443">
        <v>22.5</v>
      </c>
    </row>
    <row r="141" spans="2:3" ht="12.75">
      <c r="B141" s="586">
        <v>8250</v>
      </c>
      <c r="C141" s="443">
        <v>28.9</v>
      </c>
    </row>
    <row r="142" spans="2:3" ht="12.75">
      <c r="B142" s="586">
        <v>10000</v>
      </c>
      <c r="C142" s="443">
        <v>39.6</v>
      </c>
    </row>
    <row r="143" spans="2:4" ht="12.75">
      <c r="B143" s="586">
        <v>12000</v>
      </c>
      <c r="C143" s="443">
        <v>49.6</v>
      </c>
      <c r="D143" s="443" t="s">
        <v>150</v>
      </c>
    </row>
    <row r="144" spans="2:3" ht="12.75">
      <c r="B144" s="586">
        <v>15000</v>
      </c>
      <c r="C144" s="443">
        <v>57.6</v>
      </c>
    </row>
    <row r="145" spans="2:5" ht="12.75">
      <c r="B145" s="593" t="s">
        <v>126</v>
      </c>
      <c r="C145" s="594">
        <f>SLOPE(C125:C144,B125:B144)</f>
        <v>0.003767723105195143</v>
      </c>
      <c r="D145" s="594" t="s">
        <v>248</v>
      </c>
      <c r="E145" s="594"/>
    </row>
    <row r="146" spans="2:5" ht="12.75">
      <c r="B146" s="593" t="s">
        <v>129</v>
      </c>
      <c r="C146" s="594">
        <f>INTERCEPT(C125:C144,B125:B144)</f>
        <v>0.9319230514305943</v>
      </c>
      <c r="D146" s="594" t="s">
        <v>249</v>
      </c>
      <c r="E146" s="594"/>
    </row>
    <row r="151" spans="4:5" ht="12.75">
      <c r="D151" s="493"/>
      <c r="E151" s="493"/>
    </row>
    <row r="152" ht="12.75">
      <c r="F152" s="554"/>
    </row>
  </sheetData>
  <sheetProtection formatCells="0"/>
  <printOptions/>
  <pageMargins left="0.75" right="0.75" top="1" bottom="1" header="0.5" footer="0.5"/>
  <pageSetup orientation="portrait" paperSize="9"/>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Cascade Energy Engineering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CA_NWRCAT_4.0_BPA_20191001</dc:title>
  <dc:subject/>
  <dc:creator>Morse, Adam</dc:creator>
  <cp:keywords/>
  <dc:description/>
  <cp:lastModifiedBy>Mullendore,Eric J (BPA) - PEJC-6</cp:lastModifiedBy>
  <cp:lastPrinted>2015-08-04T21:15:37Z</cp:lastPrinted>
  <dcterms:created xsi:type="dcterms:W3CDTF">2007-07-31T14:54:41Z</dcterms:created>
  <dcterms:modified xsi:type="dcterms:W3CDTF">2023-01-13T20:00:10Z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Coverage">
    <vt:lpwstr/>
  </property>
  <property fmtid="{D5CDD505-2E9C-101B-9397-08002B2CF9AE}" pid="3" name="_Format">
    <vt:lpwstr/>
  </property>
  <property fmtid="{D5CDD505-2E9C-101B-9397-08002B2CF9AE}" pid="4" name="_Publisher">
    <vt:lpwstr/>
  </property>
  <property fmtid="{D5CDD505-2E9C-101B-9397-08002B2CF9AE}" pid="5" name="_Relation">
    <vt:lpwstr/>
  </property>
  <property fmtid="{D5CDD505-2E9C-101B-9397-08002B2CF9AE}" pid="6" name="_Contributor">
    <vt:lpwstr/>
  </property>
  <property fmtid="{D5CDD505-2E9C-101B-9397-08002B2CF9AE}" pid="7" name="_Source">
    <vt:lpwstr/>
  </property>
  <property fmtid="{D5CDD505-2E9C-101B-9397-08002B2CF9AE}" pid="8" name="Tags">
    <vt:lpwstr>16;#Energy Efficiency|7d88f299-fa2d-4d2a-99d9-9b08652f27c4</vt:lpwstr>
  </property>
  <property fmtid="{D5CDD505-2E9C-101B-9397-08002B2CF9AE}" pid="9" name="Language">
    <vt:lpwstr>English</vt:lpwstr>
  </property>
  <property fmtid="{D5CDD505-2E9C-101B-9397-08002B2CF9AE}" pid="10" name="_Identifier">
    <vt:lpwstr/>
  </property>
  <property fmtid="{D5CDD505-2E9C-101B-9397-08002B2CF9AE}" pid="11" name="_ResourceType">
    <vt:lpwstr>Document</vt:lpwstr>
  </property>
  <property fmtid="{D5CDD505-2E9C-101B-9397-08002B2CF9AE}" pid="12" name="pb95b497b12c48a38c5a5dfead4fe67f">
    <vt:lpwstr>Energy Efficiency|7d88f299-fa2d-4d2a-99d9-9b08652f27c4</vt:lpwstr>
  </property>
  <property fmtid="{D5CDD505-2E9C-101B-9397-08002B2CF9AE}" pid="13" name="TaxCatchAll">
    <vt:lpwstr>16;#Energy Efficiency|7d88f299-fa2d-4d2a-99d9-9b08652f27c4</vt:lpwstr>
  </property>
  <property fmtid="{D5CDD505-2E9C-101B-9397-08002B2CF9AE}" pid="14" name="xd_Signature">
    <vt:lpwstr/>
  </property>
  <property fmtid="{D5CDD505-2E9C-101B-9397-08002B2CF9AE}" pid="15" name="display_urn:schemas-microsoft-com:office:office#Editor">
    <vt:lpwstr>System Account</vt:lpwstr>
  </property>
  <property fmtid="{D5CDD505-2E9C-101B-9397-08002B2CF9AE}" pid="16" name="Order">
    <vt:lpwstr>12000.0000000000</vt:lpwstr>
  </property>
  <property fmtid="{D5CDD505-2E9C-101B-9397-08002B2CF9AE}" pid="17" name="TemplateUrl">
    <vt:lpwstr/>
  </property>
  <property fmtid="{D5CDD505-2E9C-101B-9397-08002B2CF9AE}" pid="18" name="xd_ProgID">
    <vt:lpwstr/>
  </property>
  <property fmtid="{D5CDD505-2E9C-101B-9397-08002B2CF9AE}" pid="19" name="PublishingStartDate">
    <vt:lpwstr/>
  </property>
  <property fmtid="{D5CDD505-2E9C-101B-9397-08002B2CF9AE}" pid="20" name="PublishingExpirationDate">
    <vt:lpwstr/>
  </property>
  <property fmtid="{D5CDD505-2E9C-101B-9397-08002B2CF9AE}" pid="21" name="display_urn:schemas-microsoft-com:office:office#Author">
    <vt:lpwstr>System Account</vt:lpwstr>
  </property>
  <property fmtid="{D5CDD505-2E9C-101B-9397-08002B2CF9AE}" pid="22" name="ContentTypeId">
    <vt:lpwstr>0x01010009CADF263C0D504489E167F7F8742031</vt:lpwstr>
  </property>
  <property fmtid="{D5CDD505-2E9C-101B-9397-08002B2CF9AE}" pid="23" name="display_urn">
    <vt:lpwstr>System Account</vt:lpwstr>
  </property>
  <property fmtid="{D5CDD505-2E9C-101B-9397-08002B2CF9AE}" pid="24" name="_DCDateCreated">
    <vt:lpwstr/>
  </property>
  <property fmtid="{D5CDD505-2E9C-101B-9397-08002B2CF9AE}" pid="25" name="_DCDateModified">
    <vt:lpwstr/>
  </property>
</Properties>
</file>