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HF7716\Desktop\"/>
    </mc:Choice>
  </mc:AlternateContent>
  <xr:revisionPtr revIDLastSave="0" documentId="13_ncr:1_{AA548886-8D56-4BC8-93CA-ADA9118C5C55}" xr6:coauthVersionLast="47" xr6:coauthVersionMax="47" xr10:uidLastSave="{00000000-0000-0000-0000-000000000000}"/>
  <bookViews>
    <workbookView xWindow="29985" yWindow="570" windowWidth="21600" windowHeight="12645" xr2:uid="{EA779FA3-B1D5-4B9B-B59C-DC4C279CB75F}"/>
  </bookViews>
  <sheets>
    <sheet name="REPSettlementConcept_v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1" l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F30" i="1"/>
  <c r="K11" i="1"/>
  <c r="K4" i="1"/>
  <c r="K7" i="1"/>
  <c r="K6" i="1"/>
  <c r="M15" i="1"/>
  <c r="O8" i="1"/>
  <c r="K10" i="1" l="1"/>
  <c r="K12" i="1" s="1"/>
  <c r="L15" i="1" s="1"/>
  <c r="K8" i="1"/>
  <c r="K15" i="1" s="1"/>
  <c r="G29" i="1" l="1"/>
  <c r="I29" i="1"/>
  <c r="J29" i="1"/>
  <c r="K29" i="1"/>
  <c r="L29" i="1"/>
  <c r="M29" i="1"/>
  <c r="N29" i="1"/>
  <c r="P29" i="1"/>
  <c r="H29" i="1"/>
  <c r="O29" i="1"/>
  <c r="Q29" i="1"/>
  <c r="R29" i="1"/>
  <c r="S29" i="1"/>
  <c r="T29" i="1"/>
  <c r="U29" i="1"/>
  <c r="F29" i="1"/>
  <c r="N15" i="1"/>
  <c r="M18" i="1"/>
  <c r="L18" i="1" l="1"/>
  <c r="K18" i="1" s="1"/>
  <c r="J18" i="1" s="1"/>
  <c r="I18" i="1" s="1"/>
  <c r="H18" i="1" s="1"/>
  <c r="G18" i="1" s="1"/>
  <c r="F18" i="1" s="1"/>
  <c r="N18" i="1"/>
  <c r="O18" i="1" s="1"/>
  <c r="P18" i="1" s="1"/>
  <c r="Q18" i="1" s="1"/>
  <c r="R18" i="1" s="1"/>
  <c r="S18" i="1" s="1"/>
  <c r="T18" i="1" s="1"/>
  <c r="U18" i="1" s="1"/>
  <c r="M19" i="1"/>
  <c r="M28" i="1" s="1"/>
  <c r="M32" i="1" s="1"/>
  <c r="E18" i="1" l="1"/>
  <c r="N19" i="1"/>
  <c r="N28" i="1" s="1"/>
  <c r="N32" i="1" s="1"/>
  <c r="L19" i="1"/>
  <c r="L28" i="1" s="1"/>
  <c r="L32" i="1" s="1"/>
  <c r="O19" i="1" l="1"/>
  <c r="O28" i="1" s="1"/>
  <c r="O32" i="1" s="1"/>
  <c r="K19" i="1"/>
  <c r="K28" i="1" s="1"/>
  <c r="K32" i="1" s="1"/>
  <c r="J19" i="1" l="1"/>
  <c r="J28" i="1" s="1"/>
  <c r="J32" i="1" s="1"/>
  <c r="P19" i="1"/>
  <c r="P28" i="1" s="1"/>
  <c r="P32" i="1" s="1"/>
  <c r="Q19" i="1" l="1"/>
  <c r="Q28" i="1" s="1"/>
  <c r="Q32" i="1" s="1"/>
  <c r="I19" i="1"/>
  <c r="I28" i="1" s="1"/>
  <c r="I32" i="1" s="1"/>
  <c r="H19" i="1" l="1"/>
  <c r="H28" i="1" s="1"/>
  <c r="H32" i="1" s="1"/>
  <c r="R19" i="1"/>
  <c r="R28" i="1" s="1"/>
  <c r="R32" i="1" s="1"/>
  <c r="S19" i="1" l="1"/>
  <c r="S28" i="1" s="1"/>
  <c r="S32" i="1" s="1"/>
  <c r="G19" i="1"/>
  <c r="G28" i="1" s="1"/>
  <c r="G32" i="1" s="1"/>
  <c r="F19" i="1" l="1"/>
  <c r="F28" i="1" s="1"/>
  <c r="F32" i="1" s="1"/>
  <c r="T19" i="1"/>
  <c r="T28" i="1" s="1"/>
  <c r="T32" i="1" s="1"/>
  <c r="U19" i="1" l="1"/>
  <c r="E19" i="1"/>
  <c r="E20" i="1" s="1"/>
  <c r="U28" i="1" l="1"/>
  <c r="U32" i="1" s="1"/>
</calcChain>
</file>

<file path=xl/sharedStrings.xml><?xml version="1.0" encoding="utf-8"?>
<sst xmlns="http://schemas.openxmlformats.org/spreadsheetml/2006/main" count="84" uniqueCount="38">
  <si>
    <t>NPV</t>
  </si>
  <si>
    <t>Year</t>
  </si>
  <si>
    <t>Flat Base REP Benefits</t>
  </si>
  <si>
    <t>Front Base REP Payments</t>
  </si>
  <si>
    <t>Back Base Payments</t>
  </si>
  <si>
    <t>Expected Secondary</t>
  </si>
  <si>
    <t>PFp Load</t>
  </si>
  <si>
    <t>IP Load</t>
  </si>
  <si>
    <t>Eligible PFx Load</t>
  </si>
  <si>
    <t>REP % Share of Secondary Inventory</t>
  </si>
  <si>
    <t>Midpoint</t>
  </si>
  <si>
    <t>aMW</t>
  </si>
  <si>
    <t>NPV Equal?</t>
  </si>
  <si>
    <t>Shaped Base REP Benefits</t>
  </si>
  <si>
    <t>Unconstrained REP Benefits ($millions)</t>
  </si>
  <si>
    <t>RAM NR 7(b)(3) REP Benefits ($millions)</t>
  </si>
  <si>
    <t>Total Load (excluding NR)</t>
  </si>
  <si>
    <t>NR Load</t>
  </si>
  <si>
    <t>Expected Secondary ($millions)</t>
  </si>
  <si>
    <t>($millions)</t>
  </si>
  <si>
    <t>RAM Calculated Total REP Benefits less RAM NR 7(b)(3) REP Benefits ($millions)</t>
  </si>
  <si>
    <t>Settlement Term 7(b)(3) Amount ($/MWh)</t>
  </si>
  <si>
    <t>Average Base REP Benefits</t>
  </si>
  <si>
    <t>IP 7(b)(3)</t>
  </si>
  <si>
    <t>Total Expected REP Benefits</t>
  </si>
  <si>
    <t>RAM Calculated Total REP Benefits ($millions)</t>
  </si>
  <si>
    <t>Total Expected REP Benefits*** ($millions)</t>
  </si>
  <si>
    <t>Base REP Benefits Shape</t>
  </si>
  <si>
    <t>Front Add ($millions)</t>
  </si>
  <si>
    <t>Back Subtract ($millions)</t>
  </si>
  <si>
    <t>Fixed Base REP Benefits ($millions)</t>
  </si>
  <si>
    <t>Expected Variable REP Benefits ($millions)</t>
  </si>
  <si>
    <t>IP 7(b)(3) REP Benefits*** ($millions)</t>
  </si>
  <si>
    <t>*** Contingent on actual IP and NR load</t>
  </si>
  <si>
    <t>NR 7(b)(3) REP Benefits*** ($millions)</t>
  </si>
  <si>
    <t>TBD</t>
  </si>
  <si>
    <t>Expected REP Share of Secondary ($millions)</t>
  </si>
  <si>
    <t>[Eligible PFx Load]/[[PFp Load]+[Eligible PFx Load]+[IP Load]] x [REP Benefits]/[Unconstrained REP Benefits]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</si>
</sst>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4" formatCode="_(&quot;$&quot;* #,##0.00_);_(&quot;$&quot;* \(#,##0.00\);_(&quot;$&quot;* &quot;-&quot;??_);_(@_)"/>
    <numFmt numFmtId="164" formatCode="0.0"/>
    <numFmt numFmtId="165" formatCode="_(&quot;$&quot;* #,##0.0_);_(&quot;$&quot;* \(#,##0.0\);_(&quot;$&quot;* &quot;-&quot;??_);_(@_)"/>
    <numFmt numFmtId="166" formatCode="0.0%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6" fontId="0" fillId="0" borderId="0" xfId="0" applyNumberFormat="1" applyAlignment="1">
      <alignment horizontal="left"/>
    </xf>
    <xf numFmtId="1" fontId="0" fillId="0" borderId="0" xfId="0" applyNumberFormat="1"/>
    <xf numFmtId="0" fontId="0" fillId="2" borderId="0" xfId="0" applyFill="1"/>
    <xf numFmtId="10" fontId="0" fillId="0" borderId="0" xfId="0" applyNumberFormat="1"/>
    <xf numFmtId="44" fontId="0" fillId="0" borderId="0" xfId="1" applyFont="1"/>
    <xf numFmtId="164" fontId="0" fillId="0" borderId="0" xfId="0" applyNumberFormat="1"/>
    <xf numFmtId="164" fontId="0" fillId="2" borderId="0" xfId="0" applyNumberFormat="1" applyFill="1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6" fontId="0" fillId="0" borderId="0" xfId="0" applyNumberFormat="1" applyAlignment="1">
      <alignment horizontal="center"/>
    </xf>
    <xf numFmtId="165" fontId="0" fillId="0" borderId="0" xfId="1" applyNumberFormat="1" applyFont="1"/>
    <xf numFmtId="165" fontId="0" fillId="0" borderId="0" xfId="0" applyNumberFormat="1"/>
    <xf numFmtId="44" fontId="0" fillId="0" borderId="0" xfId="0" applyNumberFormat="1"/>
    <xf numFmtId="166" fontId="0" fillId="0" borderId="0" xfId="0" applyNumberFormat="1"/>
    <xf numFmtId="164" fontId="0" fillId="0" borderId="1" xfId="0" applyNumberFormat="1" applyBorder="1"/>
    <xf numFmtId="9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6" fontId="0" fillId="0" borderId="0" xfId="0" applyNumberFormat="1" applyAlignment="1">
      <alignment horizontal="right"/>
    </xf>
    <xf numFmtId="2" fontId="0" fillId="3" borderId="8" xfId="0" applyNumberFormat="1" applyFill="1" applyBorder="1"/>
    <xf numFmtId="2" fontId="0" fillId="3" borderId="9" xfId="0" applyNumberFormat="1" applyFill="1" applyBorder="1"/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165" fontId="0" fillId="0" borderId="0" xfId="1" applyNumberFormat="1" applyFont="1" applyAlignment="1">
      <alignment horizontal="center"/>
    </xf>
    <xf numFmtId="44" fontId="2" fillId="4" borderId="10" xfId="0" applyNumberFormat="1" applyFont="1" applyFill="1" applyBorder="1" applyAlignment="1">
      <alignment horizontal="center"/>
    </xf>
    <xf numFmtId="44" fontId="2" fillId="4" borderId="11" xfId="0" applyNumberFormat="1" applyFont="1" applyFill="1" applyBorder="1" applyAlignment="1">
      <alignment horizontal="center"/>
    </xf>
    <xf numFmtId="44" fontId="2" fillId="4" borderId="1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2D56C-04F2-4843-BB24-A1FD7F63B42B}">
  <sheetPr>
    <pageSetUpPr fitToPage="1"/>
  </sheetPr>
  <dimension ref="D3:U33"/>
  <sheetViews>
    <sheetView tabSelected="1" topLeftCell="C1" workbookViewId="0">
      <selection activeCell="Q14" sqref="Q14"/>
    </sheetView>
  </sheetViews>
  <sheetFormatPr defaultRowHeight="15" x14ac:dyDescent="0.25"/>
  <cols>
    <col min="2" max="2" width="2.7109375" customWidth="1"/>
    <col min="3" max="3" width="16.5703125" customWidth="1"/>
    <col min="5" max="5" width="12.5703125" bestFit="1" customWidth="1"/>
    <col min="6" max="6" width="10.28515625" customWidth="1"/>
    <col min="7" max="7" width="12.5703125" bestFit="1" customWidth="1"/>
    <col min="12" max="12" width="9.85546875" customWidth="1"/>
    <col min="13" max="13" width="10.5703125" customWidth="1"/>
    <col min="14" max="14" width="10.85546875" customWidth="1"/>
  </cols>
  <sheetData>
    <row r="3" spans="5:21" x14ac:dyDescent="0.25">
      <c r="J3" s="8" t="s">
        <v>21</v>
      </c>
      <c r="K3">
        <v>27.88</v>
      </c>
      <c r="M3" s="8"/>
      <c r="O3" s="11" t="s">
        <v>11</v>
      </c>
    </row>
    <row r="4" spans="5:21" x14ac:dyDescent="0.25">
      <c r="J4" s="8" t="s">
        <v>14</v>
      </c>
      <c r="K4">
        <f>ROUND(662153.310462847/1000,1)</f>
        <v>662.2</v>
      </c>
      <c r="N4" s="8" t="s">
        <v>6</v>
      </c>
      <c r="O4" s="6">
        <v>7660.2739207438462</v>
      </c>
    </row>
    <row r="5" spans="5:21" x14ac:dyDescent="0.25">
      <c r="N5" s="8" t="s">
        <v>8</v>
      </c>
      <c r="O5" s="6">
        <v>2132.0740747370055</v>
      </c>
    </row>
    <row r="6" spans="5:21" x14ac:dyDescent="0.25">
      <c r="J6" s="8" t="s">
        <v>25</v>
      </c>
      <c r="K6">
        <f>ROUND(157319.598837598/1000,1)</f>
        <v>157.30000000000001</v>
      </c>
      <c r="N6" s="8" t="s">
        <v>7</v>
      </c>
      <c r="O6" s="6">
        <v>11.352389049125806</v>
      </c>
      <c r="P6" s="6"/>
    </row>
    <row r="7" spans="5:21" ht="15.75" thickBot="1" x14ac:dyDescent="0.3">
      <c r="G7" s="9"/>
      <c r="H7" s="9"/>
      <c r="I7" s="9"/>
      <c r="J7" s="10" t="s">
        <v>15</v>
      </c>
      <c r="K7" s="9">
        <f>ROUND(6215.56226217172/1000,1)</f>
        <v>6.2</v>
      </c>
      <c r="N7" s="10" t="s">
        <v>17</v>
      </c>
      <c r="O7" s="19">
        <v>26.3873180731979</v>
      </c>
    </row>
    <row r="8" spans="5:21" ht="15.75" thickTop="1" x14ac:dyDescent="0.25">
      <c r="I8" s="5"/>
      <c r="J8" s="8" t="s">
        <v>20</v>
      </c>
      <c r="K8">
        <f>K6-K7</f>
        <v>151.10000000000002</v>
      </c>
      <c r="N8" s="8" t="s">
        <v>16</v>
      </c>
      <c r="O8" s="6">
        <f>O4+O5+O6</f>
        <v>9803.7003845299769</v>
      </c>
    </row>
    <row r="10" spans="5:21" x14ac:dyDescent="0.25">
      <c r="J10" s="8" t="s">
        <v>9</v>
      </c>
      <c r="K10" s="18">
        <f>ROUND(O5/O8*K6/K4,3)</f>
        <v>5.1999999999999998E-2</v>
      </c>
      <c r="L10" t="s">
        <v>37</v>
      </c>
      <c r="N10" s="8"/>
    </row>
    <row r="11" spans="5:21" ht="15" customHeight="1" x14ac:dyDescent="0.25">
      <c r="J11" s="8" t="s">
        <v>18</v>
      </c>
      <c r="K11" s="15">
        <f>ROUND(465632.970663119/1000,1)</f>
        <v>465.6</v>
      </c>
    </row>
    <row r="12" spans="5:21" ht="15" customHeight="1" x14ac:dyDescent="0.25">
      <c r="J12" s="8" t="s">
        <v>36</v>
      </c>
      <c r="K12" s="16">
        <f>ROUND(K10*K11,1)</f>
        <v>24.2</v>
      </c>
      <c r="L12" s="21"/>
      <c r="M12" s="21"/>
      <c r="N12" s="21"/>
    </row>
    <row r="13" spans="5:21" ht="15" customHeight="1" x14ac:dyDescent="0.25">
      <c r="F13" s="8"/>
      <c r="G13" s="16"/>
      <c r="K13" s="21"/>
      <c r="L13" s="21"/>
      <c r="M13" s="21"/>
      <c r="N13" s="21"/>
    </row>
    <row r="14" spans="5:21" ht="60" x14ac:dyDescent="0.25">
      <c r="K14" s="21" t="s">
        <v>24</v>
      </c>
      <c r="L14" s="21" t="s">
        <v>5</v>
      </c>
      <c r="M14" s="21" t="s">
        <v>23</v>
      </c>
      <c r="N14" s="21" t="s">
        <v>22</v>
      </c>
    </row>
    <row r="15" spans="5:21" x14ac:dyDescent="0.25">
      <c r="K15" s="15">
        <f>K8</f>
        <v>151.10000000000002</v>
      </c>
      <c r="L15" s="15">
        <f>K12</f>
        <v>24.2</v>
      </c>
      <c r="M15" s="15">
        <f>ROUND(2674.0679277637/1000,1)</f>
        <v>2.7</v>
      </c>
      <c r="N15" s="16">
        <f>K15-L15-M15</f>
        <v>124.20000000000002</v>
      </c>
      <c r="O15" s="17"/>
    </row>
    <row r="16" spans="5:21" x14ac:dyDescent="0.25">
      <c r="E16" s="20">
        <v>0.02</v>
      </c>
      <c r="F16" t="s">
        <v>1</v>
      </c>
      <c r="G16" t="s">
        <v>1</v>
      </c>
      <c r="H16" t="s">
        <v>1</v>
      </c>
      <c r="I16" t="s">
        <v>1</v>
      </c>
      <c r="J16" t="s">
        <v>1</v>
      </c>
      <c r="K16" t="s">
        <v>1</v>
      </c>
      <c r="L16" t="s">
        <v>1</v>
      </c>
      <c r="M16" t="s">
        <v>1</v>
      </c>
      <c r="N16" t="s">
        <v>1</v>
      </c>
      <c r="O16" t="s">
        <v>1</v>
      </c>
      <c r="P16" t="s">
        <v>1</v>
      </c>
      <c r="Q16" t="s">
        <v>1</v>
      </c>
      <c r="R16" t="s">
        <v>1</v>
      </c>
      <c r="S16" t="s">
        <v>1</v>
      </c>
      <c r="T16" t="s">
        <v>1</v>
      </c>
      <c r="U16" t="s">
        <v>1</v>
      </c>
    </row>
    <row r="17" spans="4:21" x14ac:dyDescent="0.25">
      <c r="D17" s="8" t="s">
        <v>19</v>
      </c>
      <c r="E17" s="13" t="s">
        <v>0</v>
      </c>
      <c r="F17">
        <v>1</v>
      </c>
      <c r="G17">
        <v>2</v>
      </c>
      <c r="H17">
        <v>3</v>
      </c>
      <c r="I17">
        <v>4</v>
      </c>
      <c r="J17">
        <v>5</v>
      </c>
      <c r="K17">
        <v>6</v>
      </c>
      <c r="L17">
        <v>7</v>
      </c>
      <c r="M17" s="3">
        <v>8</v>
      </c>
      <c r="N17">
        <v>9</v>
      </c>
      <c r="O17">
        <v>10</v>
      </c>
      <c r="P17">
        <v>11</v>
      </c>
      <c r="Q17">
        <v>12</v>
      </c>
      <c r="R17">
        <v>13</v>
      </c>
      <c r="S17">
        <v>14</v>
      </c>
      <c r="T17">
        <v>15</v>
      </c>
      <c r="U17">
        <v>16</v>
      </c>
    </row>
    <row r="18" spans="4:21" x14ac:dyDescent="0.25">
      <c r="D18" s="8" t="s">
        <v>2</v>
      </c>
      <c r="E18" s="14">
        <f>NPV(E16,F18:U18)</f>
        <v>1686.3514968346042</v>
      </c>
      <c r="F18" s="6">
        <f t="shared" ref="F18:K18" si="0">G18</f>
        <v>124.20000000000002</v>
      </c>
      <c r="G18" s="6">
        <f t="shared" si="0"/>
        <v>124.20000000000002</v>
      </c>
      <c r="H18" s="6">
        <f t="shared" si="0"/>
        <v>124.20000000000002</v>
      </c>
      <c r="I18" s="6">
        <f t="shared" si="0"/>
        <v>124.20000000000002</v>
      </c>
      <c r="J18" s="6">
        <f t="shared" si="0"/>
        <v>124.20000000000002</v>
      </c>
      <c r="K18" s="6">
        <f t="shared" si="0"/>
        <v>124.20000000000002</v>
      </c>
      <c r="L18" s="6">
        <f>M18</f>
        <v>124.20000000000002</v>
      </c>
      <c r="M18" s="7">
        <f>K15-L15-M15</f>
        <v>124.20000000000002</v>
      </c>
      <c r="N18" s="6">
        <f>M18</f>
        <v>124.20000000000002</v>
      </c>
      <c r="O18" s="6">
        <f t="shared" ref="O18:U18" si="1">N18</f>
        <v>124.20000000000002</v>
      </c>
      <c r="P18" s="6">
        <f t="shared" si="1"/>
        <v>124.20000000000002</v>
      </c>
      <c r="Q18" s="6">
        <f t="shared" si="1"/>
        <v>124.20000000000002</v>
      </c>
      <c r="R18" s="6">
        <f t="shared" si="1"/>
        <v>124.20000000000002</v>
      </c>
      <c r="S18" s="6">
        <f t="shared" si="1"/>
        <v>124.20000000000002</v>
      </c>
      <c r="T18" s="6">
        <f t="shared" si="1"/>
        <v>124.20000000000002</v>
      </c>
      <c r="U18" s="6">
        <f t="shared" si="1"/>
        <v>124.20000000000002</v>
      </c>
    </row>
    <row r="19" spans="4:21" ht="15.75" thickBot="1" x14ac:dyDescent="0.3">
      <c r="D19" s="8" t="s">
        <v>13</v>
      </c>
      <c r="E19" s="14">
        <f>NPV(E16,F19:U19)</f>
        <v>1686.0483980293882</v>
      </c>
      <c r="F19" s="6">
        <f t="shared" ref="F19:L19" si="2">G19+$M$24</f>
        <v>174.04000000000005</v>
      </c>
      <c r="G19" s="6">
        <f t="shared" si="2"/>
        <v>166.92000000000004</v>
      </c>
      <c r="H19" s="6">
        <f t="shared" si="2"/>
        <v>159.80000000000004</v>
      </c>
      <c r="I19" s="6">
        <f t="shared" si="2"/>
        <v>152.68000000000004</v>
      </c>
      <c r="J19" s="6">
        <f t="shared" si="2"/>
        <v>145.56000000000003</v>
      </c>
      <c r="K19" s="6">
        <f t="shared" si="2"/>
        <v>138.44000000000003</v>
      </c>
      <c r="L19" s="6">
        <f t="shared" si="2"/>
        <v>131.32000000000002</v>
      </c>
      <c r="M19" s="7">
        <f>M18</f>
        <v>124.20000000000002</v>
      </c>
      <c r="N19" s="6">
        <f t="shared" ref="N19:U19" si="3">M19-$N$24</f>
        <v>117.35000000000002</v>
      </c>
      <c r="O19" s="6">
        <f t="shared" si="3"/>
        <v>110.50000000000003</v>
      </c>
      <c r="P19" s="6">
        <f t="shared" si="3"/>
        <v>103.65000000000003</v>
      </c>
      <c r="Q19" s="6">
        <f t="shared" si="3"/>
        <v>96.80000000000004</v>
      </c>
      <c r="R19" s="6">
        <f t="shared" si="3"/>
        <v>89.950000000000045</v>
      </c>
      <c r="S19" s="6">
        <f t="shared" si="3"/>
        <v>83.100000000000051</v>
      </c>
      <c r="T19" s="6">
        <f t="shared" si="3"/>
        <v>76.250000000000057</v>
      </c>
      <c r="U19" s="6">
        <f t="shared" si="3"/>
        <v>69.400000000000063</v>
      </c>
    </row>
    <row r="20" spans="4:21" ht="15.75" thickBot="1" x14ac:dyDescent="0.3">
      <c r="D20" s="8" t="s">
        <v>12</v>
      </c>
      <c r="E20" s="11" t="b">
        <f>ROUND(E18,0)=ROUND(E19,0)</f>
        <v>1</v>
      </c>
      <c r="F20" s="33" t="s">
        <v>3</v>
      </c>
      <c r="G20" s="34"/>
      <c r="H20" s="34"/>
      <c r="I20" s="34"/>
      <c r="J20" s="34"/>
      <c r="K20" s="34"/>
      <c r="L20" s="35"/>
      <c r="M20" s="12" t="s">
        <v>10</v>
      </c>
      <c r="N20" s="33" t="s">
        <v>4</v>
      </c>
      <c r="O20" s="34"/>
      <c r="P20" s="34"/>
      <c r="Q20" s="34"/>
      <c r="R20" s="34"/>
      <c r="S20" s="34"/>
      <c r="T20" s="34"/>
      <c r="U20" s="35"/>
    </row>
    <row r="21" spans="4:21" ht="15.75" thickBot="1" x14ac:dyDescent="0.3"/>
    <row r="22" spans="4:21" ht="31.5" customHeight="1" thickBot="1" x14ac:dyDescent="0.3">
      <c r="F22" s="17"/>
      <c r="M22" s="31" t="s">
        <v>27</v>
      </c>
      <c r="N22" s="32"/>
    </row>
    <row r="23" spans="4:21" ht="45.75" customHeight="1" x14ac:dyDescent="0.25">
      <c r="I23" s="4"/>
      <c r="M23" s="25" t="s">
        <v>28</v>
      </c>
      <c r="N23" s="26" t="s">
        <v>29</v>
      </c>
    </row>
    <row r="24" spans="4:21" ht="15.75" thickBot="1" x14ac:dyDescent="0.3">
      <c r="M24" s="23">
        <v>7.12</v>
      </c>
      <c r="N24" s="24">
        <v>6.85</v>
      </c>
    </row>
    <row r="26" spans="4:21" x14ac:dyDescent="0.25">
      <c r="F26" s="11" t="s">
        <v>1</v>
      </c>
      <c r="G26" s="11" t="s">
        <v>1</v>
      </c>
      <c r="H26" s="11" t="s">
        <v>1</v>
      </c>
      <c r="I26" s="11" t="s">
        <v>1</v>
      </c>
      <c r="J26" s="11" t="s">
        <v>1</v>
      </c>
      <c r="K26" s="11" t="s">
        <v>1</v>
      </c>
      <c r="L26" s="11" t="s">
        <v>1</v>
      </c>
      <c r="M26" s="11" t="s">
        <v>1</v>
      </c>
      <c r="N26" s="11" t="s">
        <v>1</v>
      </c>
      <c r="O26" s="11" t="s">
        <v>1</v>
      </c>
      <c r="P26" s="11" t="s">
        <v>1</v>
      </c>
      <c r="Q26" s="11" t="s">
        <v>1</v>
      </c>
      <c r="R26" s="11" t="s">
        <v>1</v>
      </c>
      <c r="S26" s="11" t="s">
        <v>1</v>
      </c>
      <c r="T26" s="11" t="s">
        <v>1</v>
      </c>
      <c r="U26" s="11" t="s">
        <v>1</v>
      </c>
    </row>
    <row r="27" spans="4:21" x14ac:dyDescent="0.25">
      <c r="F27" s="11">
        <v>1</v>
      </c>
      <c r="G27" s="11">
        <v>2</v>
      </c>
      <c r="H27" s="11">
        <v>3</v>
      </c>
      <c r="I27" s="11">
        <v>4</v>
      </c>
      <c r="J27" s="11">
        <v>5</v>
      </c>
      <c r="K27" s="11">
        <v>6</v>
      </c>
      <c r="L27" s="11">
        <v>7</v>
      </c>
      <c r="M27" s="11">
        <v>8</v>
      </c>
      <c r="N27" s="11">
        <v>9</v>
      </c>
      <c r="O27" s="11">
        <v>10</v>
      </c>
      <c r="P27" s="11">
        <v>11</v>
      </c>
      <c r="Q27" s="11">
        <v>12</v>
      </c>
      <c r="R27" s="11">
        <v>13</v>
      </c>
      <c r="S27" s="11">
        <v>14</v>
      </c>
      <c r="T27" s="11">
        <v>15</v>
      </c>
      <c r="U27" s="11">
        <v>16</v>
      </c>
    </row>
    <row r="28" spans="4:21" x14ac:dyDescent="0.25">
      <c r="E28" s="8" t="s">
        <v>30</v>
      </c>
      <c r="F28" s="27">
        <f>F19</f>
        <v>174.04000000000005</v>
      </c>
      <c r="G28" s="27">
        <f t="shared" ref="G28:U28" si="4">G19</f>
        <v>166.92000000000004</v>
      </c>
      <c r="H28" s="27">
        <f t="shared" si="4"/>
        <v>159.80000000000004</v>
      </c>
      <c r="I28" s="27">
        <f t="shared" si="4"/>
        <v>152.68000000000004</v>
      </c>
      <c r="J28" s="27">
        <f t="shared" si="4"/>
        <v>145.56000000000003</v>
      </c>
      <c r="K28" s="27">
        <f t="shared" si="4"/>
        <v>138.44000000000003</v>
      </c>
      <c r="L28" s="27">
        <f t="shared" si="4"/>
        <v>131.32000000000002</v>
      </c>
      <c r="M28" s="27">
        <f t="shared" si="4"/>
        <v>124.20000000000002</v>
      </c>
      <c r="N28" s="27">
        <f t="shared" si="4"/>
        <v>117.35000000000002</v>
      </c>
      <c r="O28" s="27">
        <f t="shared" si="4"/>
        <v>110.50000000000003</v>
      </c>
      <c r="P28" s="27">
        <f t="shared" si="4"/>
        <v>103.65000000000003</v>
      </c>
      <c r="Q28" s="27">
        <f t="shared" si="4"/>
        <v>96.80000000000004</v>
      </c>
      <c r="R28" s="27">
        <f t="shared" si="4"/>
        <v>89.950000000000045</v>
      </c>
      <c r="S28" s="27">
        <f t="shared" si="4"/>
        <v>83.100000000000051</v>
      </c>
      <c r="T28" s="27">
        <f t="shared" si="4"/>
        <v>76.250000000000057</v>
      </c>
      <c r="U28" s="27">
        <f t="shared" si="4"/>
        <v>69.400000000000063</v>
      </c>
    </row>
    <row r="29" spans="4:21" x14ac:dyDescent="0.25">
      <c r="E29" s="8" t="s">
        <v>31</v>
      </c>
      <c r="F29" s="27">
        <f>$L$15</f>
        <v>24.2</v>
      </c>
      <c r="G29" s="27">
        <f t="shared" ref="G29:U29" si="5">$L$15</f>
        <v>24.2</v>
      </c>
      <c r="H29" s="27">
        <f t="shared" si="5"/>
        <v>24.2</v>
      </c>
      <c r="I29" s="27">
        <f t="shared" si="5"/>
        <v>24.2</v>
      </c>
      <c r="J29" s="27">
        <f t="shared" si="5"/>
        <v>24.2</v>
      </c>
      <c r="K29" s="27">
        <f t="shared" si="5"/>
        <v>24.2</v>
      </c>
      <c r="L29" s="27">
        <f t="shared" si="5"/>
        <v>24.2</v>
      </c>
      <c r="M29" s="27">
        <f t="shared" si="5"/>
        <v>24.2</v>
      </c>
      <c r="N29" s="27">
        <f t="shared" si="5"/>
        <v>24.2</v>
      </c>
      <c r="O29" s="27">
        <f t="shared" si="5"/>
        <v>24.2</v>
      </c>
      <c r="P29" s="27">
        <f t="shared" si="5"/>
        <v>24.2</v>
      </c>
      <c r="Q29" s="27">
        <f t="shared" si="5"/>
        <v>24.2</v>
      </c>
      <c r="R29" s="27">
        <f t="shared" si="5"/>
        <v>24.2</v>
      </c>
      <c r="S29" s="27">
        <f t="shared" si="5"/>
        <v>24.2</v>
      </c>
      <c r="T29" s="27">
        <f t="shared" si="5"/>
        <v>24.2</v>
      </c>
      <c r="U29" s="27">
        <f t="shared" si="5"/>
        <v>24.2</v>
      </c>
    </row>
    <row r="30" spans="4:21" x14ac:dyDescent="0.25">
      <c r="E30" s="8" t="s">
        <v>32</v>
      </c>
      <c r="F30" s="27">
        <f>$M$15</f>
        <v>2.7</v>
      </c>
      <c r="G30" s="27">
        <f t="shared" ref="G30:U30" si="6">$M$15</f>
        <v>2.7</v>
      </c>
      <c r="H30" s="27">
        <f t="shared" si="6"/>
        <v>2.7</v>
      </c>
      <c r="I30" s="27">
        <f t="shared" si="6"/>
        <v>2.7</v>
      </c>
      <c r="J30" s="27">
        <f t="shared" si="6"/>
        <v>2.7</v>
      </c>
      <c r="K30" s="27">
        <f t="shared" si="6"/>
        <v>2.7</v>
      </c>
      <c r="L30" s="27">
        <f t="shared" si="6"/>
        <v>2.7</v>
      </c>
      <c r="M30" s="27">
        <f t="shared" si="6"/>
        <v>2.7</v>
      </c>
      <c r="N30" s="27">
        <f t="shared" si="6"/>
        <v>2.7</v>
      </c>
      <c r="O30" s="27">
        <f t="shared" si="6"/>
        <v>2.7</v>
      </c>
      <c r="P30" s="27">
        <f t="shared" si="6"/>
        <v>2.7</v>
      </c>
      <c r="Q30" s="27">
        <f t="shared" si="6"/>
        <v>2.7</v>
      </c>
      <c r="R30" s="27">
        <f t="shared" si="6"/>
        <v>2.7</v>
      </c>
      <c r="S30" s="27">
        <f t="shared" si="6"/>
        <v>2.7</v>
      </c>
      <c r="T30" s="27">
        <f t="shared" si="6"/>
        <v>2.7</v>
      </c>
      <c r="U30" s="27">
        <f t="shared" si="6"/>
        <v>2.7</v>
      </c>
    </row>
    <row r="31" spans="4:21" ht="15.75" thickBot="1" x14ac:dyDescent="0.3">
      <c r="E31" s="8" t="s">
        <v>34</v>
      </c>
      <c r="F31" s="11" t="s">
        <v>35</v>
      </c>
      <c r="G31" s="11" t="s">
        <v>35</v>
      </c>
      <c r="H31" s="11" t="s">
        <v>35</v>
      </c>
      <c r="I31" s="11" t="s">
        <v>35</v>
      </c>
      <c r="J31" s="11" t="s">
        <v>35</v>
      </c>
      <c r="K31" s="11" t="s">
        <v>35</v>
      </c>
      <c r="L31" s="11" t="s">
        <v>35</v>
      </c>
      <c r="M31" s="11" t="s">
        <v>35</v>
      </c>
      <c r="N31" s="11" t="s">
        <v>35</v>
      </c>
      <c r="O31" s="11" t="s">
        <v>35</v>
      </c>
      <c r="P31" s="11" t="s">
        <v>35</v>
      </c>
      <c r="Q31" s="11" t="s">
        <v>35</v>
      </c>
      <c r="R31" s="11" t="s">
        <v>35</v>
      </c>
      <c r="S31" s="11" t="s">
        <v>35</v>
      </c>
      <c r="T31" s="11" t="s">
        <v>35</v>
      </c>
      <c r="U31" s="11" t="s">
        <v>35</v>
      </c>
    </row>
    <row r="32" spans="4:21" ht="15.75" thickBot="1" x14ac:dyDescent="0.3">
      <c r="E32" s="22" t="s">
        <v>26</v>
      </c>
      <c r="F32" s="28">
        <f>F28+F29+F30</f>
        <v>200.94000000000003</v>
      </c>
      <c r="G32" s="29">
        <f t="shared" ref="G32:U32" si="7">G28+G29+G30</f>
        <v>193.82000000000002</v>
      </c>
      <c r="H32" s="29">
        <f t="shared" si="7"/>
        <v>186.70000000000002</v>
      </c>
      <c r="I32" s="29">
        <f t="shared" si="7"/>
        <v>179.58</v>
      </c>
      <c r="J32" s="29">
        <f t="shared" si="7"/>
        <v>172.46</v>
      </c>
      <c r="K32" s="29">
        <f t="shared" si="7"/>
        <v>165.34</v>
      </c>
      <c r="L32" s="29">
        <f t="shared" si="7"/>
        <v>158.22</v>
      </c>
      <c r="M32" s="29">
        <f t="shared" si="7"/>
        <v>151.1</v>
      </c>
      <c r="N32" s="29">
        <f t="shared" si="7"/>
        <v>144.25</v>
      </c>
      <c r="O32" s="29">
        <f t="shared" si="7"/>
        <v>137.4</v>
      </c>
      <c r="P32" s="29">
        <f t="shared" si="7"/>
        <v>130.55000000000004</v>
      </c>
      <c r="Q32" s="29">
        <f t="shared" si="7"/>
        <v>123.70000000000005</v>
      </c>
      <c r="R32" s="29">
        <f t="shared" si="7"/>
        <v>116.85000000000005</v>
      </c>
      <c r="S32" s="29">
        <f t="shared" si="7"/>
        <v>110.00000000000006</v>
      </c>
      <c r="T32" s="29">
        <f t="shared" si="7"/>
        <v>103.15000000000006</v>
      </c>
      <c r="U32" s="30">
        <f t="shared" si="7"/>
        <v>96.300000000000068</v>
      </c>
    </row>
    <row r="33" spans="5:21" x14ac:dyDescent="0.25">
      <c r="E33" s="1" t="s">
        <v>33</v>
      </c>
      <c r="F33" s="2"/>
      <c r="G33" s="2"/>
      <c r="H33" s="2"/>
      <c r="I33" s="2"/>
      <c r="J33" s="2"/>
      <c r="K33" s="2"/>
      <c r="O33" s="2"/>
      <c r="P33" s="2"/>
      <c r="Q33" s="2"/>
      <c r="R33" s="2"/>
      <c r="S33" s="2"/>
      <c r="T33" s="2"/>
      <c r="U33" s="2"/>
    </row>
  </sheetData>
  <mergeCells count="3">
    <mergeCell ref="M22:N22"/>
    <mergeCell ref="N20:U20"/>
    <mergeCell ref="F20:L20"/>
  </mergeCells>
  <pageMargins left="0.25" right="0.25" top="0.75" bottom="0.75" header="0.3" footer="0.3"/>
  <pageSetup scale="65" orientation="landscape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6E24FC16C59A4B9B2D927B94657A16" ma:contentTypeVersion="10" ma:contentTypeDescription="Create a new document." ma:contentTypeScope="" ma:versionID="6c3d5222f98e485cf4d69c77902daf13">
  <xsd:schema xmlns:xsd="http://www.w3.org/2001/XMLSchema" xmlns:xs="http://www.w3.org/2001/XMLSchema" xmlns:p="http://schemas.microsoft.com/office/2006/metadata/properties" xmlns:ns2="94d0a5ce-4b4c-4969-81bc-bcc4fc289eff" targetNamespace="http://schemas.microsoft.com/office/2006/metadata/properties" ma:root="true" ma:fieldsID="4bb3f15a41597416952a669f3b15107d" ns2:_="">
    <xsd:import namespace="94d0a5ce-4b4c-4969-81bc-bcc4fc289ef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d0a5ce-4b4c-4969-81bc-bcc4fc289e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5512F6A-DFDE-43AF-B720-EDE869AD82F3}"/>
</file>

<file path=customXml/itemProps2.xml><?xml version="1.0" encoding="utf-8"?>
<ds:datastoreItem xmlns:ds="http://schemas.openxmlformats.org/officeDocument/2006/customXml" ds:itemID="{ABFF8E05-DF52-45A0-92B3-1DE44050B217}"/>
</file>

<file path=customXml/itemProps3.xml><?xml version="1.0" encoding="utf-8"?>
<ds:datastoreItem xmlns:ds="http://schemas.openxmlformats.org/officeDocument/2006/customXml" ds:itemID="{DAC0EA23-9177-4D64-BB13-046CE01D10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REPSettlementConcept_v2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Fisher,Daniel H (BPA) - PSR-6</dc:creator>
  <cp:lastModifiedBy>Fisher,Daniel H (BPA) - PSR-6</cp:lastModifiedBy>
  <cp:lastPrinted>2025-11-05T18:12:38Z</cp:lastPrinted>
  <dcterms:created xsi:type="dcterms:W3CDTF">2025-10-24T17:56:55Z</dcterms:created>
  <dcterms:modified xsi:type="dcterms:W3CDTF">2025-11-07T15:57:26Z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0x010100BD6E24FC16C59A4B9B2D927B94657A16</vt:lpwstr>
  </property>
</Properties>
</file>