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chartsheets/sheet1.xml" ContentType="application/vnd.openxmlformats-officedocument.spreadsheetml.chart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N:\1Projects\Ramse\Post2028 Contract Issues\LDD and IRD\Above RHWM LDD analysis\"/>
    </mc:Choice>
  </mc:AlternateContent>
  <xr:revisionPtr revIDLastSave="0" documentId="8_{75E2BFD5-586E-426B-881B-635F6E9AE930}" xr6:coauthVersionLast="47" xr6:coauthVersionMax="47" xr10:uidLastSave="{00000000-0000-0000-0000-000000000000}"/>
  <bookViews>
    <workbookView xWindow="-120" yWindow="-120" windowWidth="29040" windowHeight="15720" activeTab="3" xr2:uid="{46082005-FC24-4C90-B42A-05D827FC418F}"/>
  </bookViews>
  <sheets>
    <sheet name="Discount Details" sheetId="1" r:id="rId1"/>
    <sheet name="LDD Alt 1" sheetId="9" r:id="rId2"/>
    <sheet name="LDD Alt 2" sheetId="10" r:id="rId3"/>
    <sheet name="Scenario Summary" sheetId="6" r:id="rId4"/>
    <sheet name="Charges_NonSlice" sheetId="13" r:id="rId5"/>
    <sheet name="PNGC" sheetId="4" r:id="rId6"/>
    <sheet name="POC CHWM Calculation" sheetId="8" r:id="rId7"/>
    <sheet name="FY 2028 RHWM Values" sheetId="7" r:id="rId8"/>
    <sheet name="Chart (LDD)" sheetId="3" r:id="rId9"/>
    <sheet name="Program Cost Details (LDD)" sheetId="2" r:id="rId10"/>
  </sheets>
  <definedNames>
    <definedName name="_xlnm._FilterDatabase" localSheetId="7" hidden="1">'FY 2028 RHWM Values'!$A$3:$Q$181</definedName>
    <definedName name="_xlnm._FilterDatabase" localSheetId="5" hidden="1">PNGC!$D$5:$G$5</definedName>
    <definedName name="CurrentYear">#REF!</definedName>
    <definedName name="DemandRateSelect" localSheetId="4">#REF!</definedName>
    <definedName name="DemandRateSelect">#REF!</definedName>
    <definedName name="No" localSheetId="4">#REF!</definedName>
    <definedName name="No">#REF!</definedName>
    <definedName name="_xlnm.Print_Area" localSheetId="7">'FY 2028 RHWM Values'!$A$1:$Q$148</definedName>
    <definedName name="_xlnm.Print_Titles" localSheetId="7">'FY 2028 RHWM Values'!$1:$3</definedName>
    <definedName name="YesNo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7" i="10" l="1"/>
  <c r="C47" i="10"/>
  <c r="E46" i="10"/>
  <c r="C46" i="10"/>
  <c r="E45" i="10"/>
  <c r="C45" i="10"/>
  <c r="E44" i="10"/>
  <c r="C44" i="10"/>
  <c r="E43" i="10"/>
  <c r="C43" i="10"/>
  <c r="E42" i="10"/>
  <c r="C42" i="10"/>
  <c r="E41" i="10"/>
  <c r="C41" i="10"/>
  <c r="E40" i="10"/>
  <c r="C40" i="10"/>
  <c r="E39" i="10"/>
  <c r="C39" i="10"/>
  <c r="E38" i="10"/>
  <c r="C38" i="10"/>
  <c r="E47" i="9"/>
  <c r="C47" i="9"/>
  <c r="E46" i="9"/>
  <c r="C46" i="9"/>
  <c r="E45" i="9"/>
  <c r="C45" i="9"/>
  <c r="E44" i="9"/>
  <c r="C44" i="9"/>
  <c r="E43" i="9"/>
  <c r="C43" i="9"/>
  <c r="E42" i="9"/>
  <c r="C42" i="9"/>
  <c r="E41" i="9"/>
  <c r="C41" i="9"/>
  <c r="E40" i="9"/>
  <c r="C40" i="9"/>
  <c r="E39" i="9"/>
  <c r="C39" i="9"/>
  <c r="E38" i="9"/>
  <c r="C38" i="9"/>
  <c r="AC9" i="6"/>
  <c r="V3" i="10" l="1"/>
  <c r="O7" i="6"/>
  <c r="O8" i="6"/>
  <c r="O9" i="6"/>
  <c r="O10" i="6"/>
  <c r="O11" i="6"/>
  <c r="O12" i="6"/>
  <c r="O13" i="6"/>
  <c r="O14" i="6"/>
  <c r="O15" i="6"/>
  <c r="O16" i="6"/>
  <c r="O17" i="6"/>
  <c r="O18" i="6"/>
  <c r="O19" i="6"/>
  <c r="O20" i="6"/>
  <c r="O21" i="6"/>
  <c r="O22" i="6"/>
  <c r="O23" i="6"/>
  <c r="O24" i="6"/>
  <c r="O25" i="6"/>
  <c r="O26" i="6"/>
  <c r="O27" i="6"/>
  <c r="O28" i="6"/>
  <c r="O29" i="6"/>
  <c r="O30" i="6"/>
  <c r="O31" i="6"/>
  <c r="O32" i="6"/>
  <c r="O33" i="6"/>
  <c r="O34" i="6"/>
  <c r="O35" i="6"/>
  <c r="O36" i="6"/>
  <c r="O37" i="6"/>
  <c r="O38" i="6"/>
  <c r="O39" i="6"/>
  <c r="O40" i="6"/>
  <c r="O41" i="6"/>
  <c r="O42" i="6"/>
  <c r="O43" i="6"/>
  <c r="O44" i="6"/>
  <c r="O45" i="6"/>
  <c r="O46" i="6"/>
  <c r="O47" i="6"/>
  <c r="O48" i="6"/>
  <c r="O49" i="6"/>
  <c r="O50" i="6"/>
  <c r="O51" i="6"/>
  <c r="O52" i="6"/>
  <c r="O53" i="6"/>
  <c r="O54" i="6"/>
  <c r="O55" i="6"/>
  <c r="O56" i="6"/>
  <c r="O57" i="6"/>
  <c r="O58" i="6"/>
  <c r="O6" i="6"/>
  <c r="M7" i="6"/>
  <c r="M8" i="6"/>
  <c r="M9" i="6"/>
  <c r="M10" i="6"/>
  <c r="M11" i="6"/>
  <c r="M12" i="6"/>
  <c r="M13" i="6"/>
  <c r="M14" i="6"/>
  <c r="M15" i="6"/>
  <c r="M16" i="6"/>
  <c r="M17" i="6"/>
  <c r="M18" i="6"/>
  <c r="M19" i="6"/>
  <c r="M20" i="6"/>
  <c r="M21" i="6"/>
  <c r="M22" i="6"/>
  <c r="M23" i="6"/>
  <c r="M24" i="6"/>
  <c r="M25" i="6"/>
  <c r="M26" i="6"/>
  <c r="M27" i="6"/>
  <c r="M28" i="6"/>
  <c r="M29" i="6"/>
  <c r="M30" i="6"/>
  <c r="M31" i="6"/>
  <c r="M32" i="6"/>
  <c r="M33" i="6"/>
  <c r="M34" i="6"/>
  <c r="M35" i="6"/>
  <c r="M36" i="6"/>
  <c r="M37" i="6"/>
  <c r="M38" i="6"/>
  <c r="M39" i="6"/>
  <c r="M40" i="6"/>
  <c r="M41" i="6"/>
  <c r="M42" i="6"/>
  <c r="M43" i="6"/>
  <c r="M44" i="6"/>
  <c r="M45" i="6"/>
  <c r="M46" i="6"/>
  <c r="M47" i="6"/>
  <c r="M48" i="6"/>
  <c r="M49" i="6"/>
  <c r="M50" i="6"/>
  <c r="M51" i="6"/>
  <c r="M52" i="6"/>
  <c r="M53" i="6"/>
  <c r="M54" i="6"/>
  <c r="M55" i="6"/>
  <c r="M56" i="6"/>
  <c r="M57" i="6"/>
  <c r="M58" i="6"/>
  <c r="M6" i="6"/>
  <c r="H7" i="6"/>
  <c r="H8" i="6"/>
  <c r="H9" i="6"/>
  <c r="K9" i="6" s="1"/>
  <c r="H10" i="6"/>
  <c r="H11" i="6"/>
  <c r="H12" i="6"/>
  <c r="H13" i="6"/>
  <c r="H14" i="6"/>
  <c r="H15" i="6"/>
  <c r="H16" i="6"/>
  <c r="H17" i="6"/>
  <c r="H18" i="6"/>
  <c r="H19" i="6"/>
  <c r="H20" i="6"/>
  <c r="H21" i="6"/>
  <c r="H22" i="6"/>
  <c r="H23" i="6"/>
  <c r="H24" i="6"/>
  <c r="H25" i="6"/>
  <c r="H26" i="6"/>
  <c r="H27" i="6"/>
  <c r="H28" i="6"/>
  <c r="H29" i="6"/>
  <c r="H30" i="6"/>
  <c r="H31" i="6"/>
  <c r="H32" i="6"/>
  <c r="H33" i="6"/>
  <c r="H34" i="6"/>
  <c r="H35" i="6"/>
  <c r="H36" i="6"/>
  <c r="H37" i="6"/>
  <c r="H38" i="6"/>
  <c r="H39" i="6"/>
  <c r="H40" i="6"/>
  <c r="H41" i="6"/>
  <c r="H42" i="6"/>
  <c r="H43" i="6"/>
  <c r="H44" i="6"/>
  <c r="H45" i="6"/>
  <c r="H46" i="6"/>
  <c r="H47" i="6"/>
  <c r="H48" i="6"/>
  <c r="H49" i="6"/>
  <c r="H50" i="6"/>
  <c r="H51" i="6"/>
  <c r="H52" i="6"/>
  <c r="H53" i="6"/>
  <c r="H54" i="6"/>
  <c r="H55" i="6"/>
  <c r="H56" i="6"/>
  <c r="H57" i="6"/>
  <c r="H58" i="6"/>
  <c r="H6" i="6"/>
  <c r="D7" i="6"/>
  <c r="D8" i="6"/>
  <c r="D9" i="6"/>
  <c r="D10" i="6"/>
  <c r="D11" i="6"/>
  <c r="D12" i="6"/>
  <c r="D13" i="6"/>
  <c r="D14" i="6"/>
  <c r="D15" i="6"/>
  <c r="D16" i="6"/>
  <c r="D17" i="6"/>
  <c r="D18" i="6"/>
  <c r="D19" i="6"/>
  <c r="D20" i="6"/>
  <c r="D21" i="6"/>
  <c r="D22" i="6"/>
  <c r="D23" i="6"/>
  <c r="D24" i="6"/>
  <c r="D25" i="6"/>
  <c r="D26" i="6"/>
  <c r="D27" i="6"/>
  <c r="D28" i="6"/>
  <c r="D29" i="6"/>
  <c r="D30" i="6"/>
  <c r="D31" i="6"/>
  <c r="D32" i="6"/>
  <c r="D33" i="6"/>
  <c r="D34" i="6"/>
  <c r="D35" i="6"/>
  <c r="D36" i="6"/>
  <c r="D37" i="6"/>
  <c r="D38" i="6"/>
  <c r="D39" i="6"/>
  <c r="D40" i="6"/>
  <c r="D41" i="6"/>
  <c r="D42" i="6"/>
  <c r="D43" i="6"/>
  <c r="D44" i="6"/>
  <c r="D45" i="6"/>
  <c r="D46" i="6"/>
  <c r="D47" i="6"/>
  <c r="D48" i="6"/>
  <c r="D49" i="6"/>
  <c r="D50" i="6"/>
  <c r="D51" i="6"/>
  <c r="D52" i="6"/>
  <c r="D53" i="6"/>
  <c r="D54" i="6"/>
  <c r="D55" i="6"/>
  <c r="D56" i="6"/>
  <c r="D57" i="6"/>
  <c r="D58" i="6"/>
  <c r="C7" i="6"/>
  <c r="Q7" i="6" s="1"/>
  <c r="C8" i="6"/>
  <c r="Q8" i="6" s="1"/>
  <c r="C9" i="6"/>
  <c r="Q9" i="6" s="1"/>
  <c r="C10" i="6"/>
  <c r="Q10" i="6" s="1"/>
  <c r="C11" i="6"/>
  <c r="Q11" i="6" s="1"/>
  <c r="C12" i="6"/>
  <c r="Q12" i="6" s="1"/>
  <c r="C13" i="6"/>
  <c r="Q13" i="6" s="1"/>
  <c r="C14" i="6"/>
  <c r="Q14" i="6" s="1"/>
  <c r="C15" i="6"/>
  <c r="Q15" i="6" s="1"/>
  <c r="C16" i="6"/>
  <c r="Q16" i="6" s="1"/>
  <c r="C17" i="6"/>
  <c r="Q17" i="6" s="1"/>
  <c r="C18" i="6"/>
  <c r="Q18" i="6" s="1"/>
  <c r="C19" i="6"/>
  <c r="Q19" i="6" s="1"/>
  <c r="C20" i="6"/>
  <c r="Q20" i="6" s="1"/>
  <c r="C21" i="6"/>
  <c r="Q21" i="6" s="1"/>
  <c r="C22" i="6"/>
  <c r="Q22" i="6" s="1"/>
  <c r="C23" i="6"/>
  <c r="Q23" i="6" s="1"/>
  <c r="C24" i="6"/>
  <c r="Q24" i="6" s="1"/>
  <c r="C25" i="6"/>
  <c r="Q25" i="6" s="1"/>
  <c r="C26" i="6"/>
  <c r="Q26" i="6" s="1"/>
  <c r="C27" i="6"/>
  <c r="Q27" i="6" s="1"/>
  <c r="C28" i="6"/>
  <c r="Q28" i="6" s="1"/>
  <c r="C29" i="6"/>
  <c r="Q29" i="6" s="1"/>
  <c r="C30" i="6"/>
  <c r="Q30" i="6" s="1"/>
  <c r="C31" i="6"/>
  <c r="Q31" i="6" s="1"/>
  <c r="C32" i="6"/>
  <c r="Q32" i="6" s="1"/>
  <c r="C33" i="6"/>
  <c r="Q33" i="6" s="1"/>
  <c r="C34" i="6"/>
  <c r="Q34" i="6" s="1"/>
  <c r="C35" i="6"/>
  <c r="Q35" i="6" s="1"/>
  <c r="C36" i="6"/>
  <c r="Q36" i="6" s="1"/>
  <c r="C37" i="6"/>
  <c r="Q37" i="6" s="1"/>
  <c r="C38" i="6"/>
  <c r="Q38" i="6" s="1"/>
  <c r="C39" i="6"/>
  <c r="Q39" i="6" s="1"/>
  <c r="C40" i="6"/>
  <c r="Q40" i="6" s="1"/>
  <c r="C41" i="6"/>
  <c r="Q41" i="6" s="1"/>
  <c r="C42" i="6"/>
  <c r="Q42" i="6" s="1"/>
  <c r="C43" i="6"/>
  <c r="Q43" i="6" s="1"/>
  <c r="C44" i="6"/>
  <c r="Q44" i="6" s="1"/>
  <c r="C45" i="6"/>
  <c r="Q45" i="6" s="1"/>
  <c r="C46" i="6"/>
  <c r="Q46" i="6" s="1"/>
  <c r="C47" i="6"/>
  <c r="Q47" i="6" s="1"/>
  <c r="C48" i="6"/>
  <c r="Q48" i="6" s="1"/>
  <c r="C49" i="6"/>
  <c r="Q49" i="6" s="1"/>
  <c r="C50" i="6"/>
  <c r="Q50" i="6" s="1"/>
  <c r="C51" i="6"/>
  <c r="Q51" i="6" s="1"/>
  <c r="C52" i="6"/>
  <c r="Q52" i="6" s="1"/>
  <c r="C53" i="6"/>
  <c r="Q53" i="6" s="1"/>
  <c r="C54" i="6"/>
  <c r="Q54" i="6" s="1"/>
  <c r="C55" i="6"/>
  <c r="Q55" i="6" s="1"/>
  <c r="C56" i="6"/>
  <c r="Q56" i="6" s="1"/>
  <c r="C57" i="6"/>
  <c r="Q57" i="6" s="1"/>
  <c r="C58" i="6"/>
  <c r="Q58" i="6" s="1"/>
  <c r="C6" i="6"/>
  <c r="Q6" i="6" s="1"/>
  <c r="B7" i="6"/>
  <c r="E7" i="6" s="1"/>
  <c r="B8" i="6"/>
  <c r="E8" i="6" s="1"/>
  <c r="B9" i="6"/>
  <c r="E9" i="6" s="1"/>
  <c r="B10" i="6"/>
  <c r="E10" i="6" s="1"/>
  <c r="B11" i="6"/>
  <c r="F11" i="6" s="1"/>
  <c r="B12" i="6"/>
  <c r="E12" i="6" s="1"/>
  <c r="B13" i="6"/>
  <c r="E13" i="6" s="1"/>
  <c r="B14" i="6"/>
  <c r="F14" i="6" s="1"/>
  <c r="B15" i="6"/>
  <c r="E15" i="6" s="1"/>
  <c r="B16" i="6"/>
  <c r="E16" i="6" s="1"/>
  <c r="B17" i="6"/>
  <c r="E17" i="6" s="1"/>
  <c r="B18" i="6"/>
  <c r="E18" i="6" s="1"/>
  <c r="B19" i="6"/>
  <c r="F19" i="6" s="1"/>
  <c r="B20" i="6"/>
  <c r="E20" i="6" s="1"/>
  <c r="B21" i="6"/>
  <c r="F21" i="6" s="1"/>
  <c r="B22" i="6"/>
  <c r="F22" i="6" s="1"/>
  <c r="B23" i="6"/>
  <c r="E23" i="6" s="1"/>
  <c r="B24" i="6"/>
  <c r="E24" i="6" s="1"/>
  <c r="B25" i="6"/>
  <c r="E25" i="6" s="1"/>
  <c r="B26" i="6"/>
  <c r="E26" i="6" s="1"/>
  <c r="B27" i="6"/>
  <c r="F27" i="6" s="1"/>
  <c r="B28" i="6"/>
  <c r="E28" i="6" s="1"/>
  <c r="B29" i="6"/>
  <c r="F29" i="6" s="1"/>
  <c r="B30" i="6"/>
  <c r="F30" i="6" s="1"/>
  <c r="B31" i="6"/>
  <c r="E31" i="6" s="1"/>
  <c r="B32" i="6"/>
  <c r="E32" i="6" s="1"/>
  <c r="B33" i="6"/>
  <c r="E33" i="6" s="1"/>
  <c r="B34" i="6"/>
  <c r="E34" i="6" s="1"/>
  <c r="B35" i="6"/>
  <c r="F35" i="6" s="1"/>
  <c r="B36" i="6"/>
  <c r="E36" i="6" s="1"/>
  <c r="B37" i="6"/>
  <c r="F37" i="6" s="1"/>
  <c r="B38" i="6"/>
  <c r="F38" i="6" s="1"/>
  <c r="B39" i="6"/>
  <c r="E39" i="6" s="1"/>
  <c r="B40" i="6"/>
  <c r="E40" i="6" s="1"/>
  <c r="B41" i="6"/>
  <c r="E41" i="6" s="1"/>
  <c r="B42" i="6"/>
  <c r="E42" i="6" s="1"/>
  <c r="B43" i="6"/>
  <c r="F43" i="6" s="1"/>
  <c r="B44" i="6"/>
  <c r="E44" i="6" s="1"/>
  <c r="B45" i="6"/>
  <c r="F45" i="6" s="1"/>
  <c r="B46" i="6"/>
  <c r="F46" i="6" s="1"/>
  <c r="B47" i="6"/>
  <c r="E47" i="6" s="1"/>
  <c r="B48" i="6"/>
  <c r="E48" i="6" s="1"/>
  <c r="B49" i="6"/>
  <c r="E49" i="6" s="1"/>
  <c r="B50" i="6"/>
  <c r="E50" i="6" s="1"/>
  <c r="B51" i="6"/>
  <c r="F51" i="6" s="1"/>
  <c r="B52" i="6"/>
  <c r="E52" i="6" s="1"/>
  <c r="B53" i="6"/>
  <c r="E53" i="6" s="1"/>
  <c r="B54" i="6"/>
  <c r="F54" i="6" s="1"/>
  <c r="B55" i="6"/>
  <c r="E55" i="6" s="1"/>
  <c r="B56" i="6"/>
  <c r="E56" i="6" s="1"/>
  <c r="B57" i="6"/>
  <c r="E57" i="6" s="1"/>
  <c r="B58" i="6"/>
  <c r="E58" i="6" s="1"/>
  <c r="B6" i="6"/>
  <c r="F6" i="6" s="1"/>
  <c r="W7" i="10"/>
  <c r="V9" i="10"/>
  <c r="V10" i="10"/>
  <c r="V11" i="10"/>
  <c r="V12" i="10"/>
  <c r="V13" i="10"/>
  <c r="V14" i="10"/>
  <c r="V15" i="10"/>
  <c r="V16" i="10"/>
  <c r="V17" i="10"/>
  <c r="V18" i="10"/>
  <c r="V19" i="10"/>
  <c r="V20" i="10"/>
  <c r="V21" i="10"/>
  <c r="V22" i="10"/>
  <c r="V23" i="10"/>
  <c r="V24" i="10"/>
  <c r="V25" i="10"/>
  <c r="V26" i="10"/>
  <c r="V27" i="10"/>
  <c r="V28" i="10"/>
  <c r="V29" i="10"/>
  <c r="V30" i="10"/>
  <c r="V31" i="10"/>
  <c r="V32" i="10"/>
  <c r="V33" i="10"/>
  <c r="V34" i="10"/>
  <c r="V35" i="10"/>
  <c r="V36" i="10"/>
  <c r="V37" i="10"/>
  <c r="V38" i="10"/>
  <c r="V39" i="10"/>
  <c r="V40" i="10"/>
  <c r="V41" i="10"/>
  <c r="V42" i="10"/>
  <c r="V43" i="10"/>
  <c r="V44" i="10"/>
  <c r="V45" i="10"/>
  <c r="V46" i="10"/>
  <c r="V47" i="10"/>
  <c r="V48" i="10"/>
  <c r="V49" i="10"/>
  <c r="V50" i="10"/>
  <c r="V51" i="10"/>
  <c r="V52" i="10"/>
  <c r="V53" i="10"/>
  <c r="V54" i="10"/>
  <c r="V55" i="10"/>
  <c r="V56" i="10"/>
  <c r="V57" i="10"/>
  <c r="V58" i="10"/>
  <c r="V59" i="10"/>
  <c r="V8" i="10"/>
  <c r="V7" i="10"/>
  <c r="R7" i="10"/>
  <c r="S7" i="10" s="1"/>
  <c r="X7" i="10" s="1"/>
  <c r="R8" i="10"/>
  <c r="R9" i="10"/>
  <c r="R10" i="10"/>
  <c r="R11" i="10"/>
  <c r="R12" i="10"/>
  <c r="R13" i="10"/>
  <c r="R14" i="10"/>
  <c r="R15" i="10"/>
  <c r="R16" i="10"/>
  <c r="R17" i="10"/>
  <c r="R18" i="10"/>
  <c r="R19" i="10"/>
  <c r="R20" i="10"/>
  <c r="R21" i="10"/>
  <c r="R22" i="10"/>
  <c r="R23" i="10"/>
  <c r="R24" i="10"/>
  <c r="R25" i="10"/>
  <c r="R26" i="10"/>
  <c r="R27" i="10"/>
  <c r="R28" i="10"/>
  <c r="R29" i="10"/>
  <c r="R30" i="10"/>
  <c r="R31" i="10"/>
  <c r="R32" i="10"/>
  <c r="R33" i="10"/>
  <c r="R34" i="10"/>
  <c r="R35" i="10"/>
  <c r="R36" i="10"/>
  <c r="R37" i="10"/>
  <c r="R38" i="10"/>
  <c r="R39" i="10"/>
  <c r="R40" i="10"/>
  <c r="R41" i="10"/>
  <c r="R42" i="10"/>
  <c r="R43" i="10"/>
  <c r="R44" i="10"/>
  <c r="R45" i="10"/>
  <c r="R46" i="10"/>
  <c r="R47" i="10"/>
  <c r="R48" i="10"/>
  <c r="R49" i="10"/>
  <c r="R50" i="10"/>
  <c r="R51" i="10"/>
  <c r="R52" i="10"/>
  <c r="R53" i="10"/>
  <c r="R54" i="10"/>
  <c r="R55" i="10"/>
  <c r="R56" i="10"/>
  <c r="R57" i="10"/>
  <c r="R58" i="10"/>
  <c r="R59" i="10"/>
  <c r="Q8" i="10"/>
  <c r="Q9" i="10"/>
  <c r="Q10" i="10"/>
  <c r="Q11" i="10"/>
  <c r="Q12" i="10"/>
  <c r="Q13" i="10"/>
  <c r="Q14" i="10"/>
  <c r="Q15" i="10"/>
  <c r="Q16" i="10"/>
  <c r="Q17" i="10"/>
  <c r="Q18" i="10"/>
  <c r="Q19" i="10"/>
  <c r="Q20" i="10"/>
  <c r="Q21" i="10"/>
  <c r="Q22" i="10"/>
  <c r="Q23" i="10"/>
  <c r="Q24" i="10"/>
  <c r="Q25" i="10"/>
  <c r="Q26" i="10"/>
  <c r="Q27" i="10"/>
  <c r="Q28" i="10"/>
  <c r="Q29" i="10"/>
  <c r="Q30" i="10"/>
  <c r="Q31" i="10"/>
  <c r="Q32" i="10"/>
  <c r="Q33" i="10"/>
  <c r="Q34" i="10"/>
  <c r="Q35" i="10"/>
  <c r="Q36" i="10"/>
  <c r="Q37" i="10"/>
  <c r="Q38" i="10"/>
  <c r="Q39" i="10"/>
  <c r="Q40" i="10"/>
  <c r="Q41" i="10"/>
  <c r="Q42" i="10"/>
  <c r="Q43" i="10"/>
  <c r="Q44" i="10"/>
  <c r="Q45" i="10"/>
  <c r="Q46" i="10"/>
  <c r="Q47" i="10"/>
  <c r="Q48" i="10"/>
  <c r="Q49" i="10"/>
  <c r="Q50" i="10"/>
  <c r="Q51" i="10"/>
  <c r="Q52" i="10"/>
  <c r="Q53" i="10"/>
  <c r="Q54" i="10"/>
  <c r="Q55" i="10"/>
  <c r="Q56" i="10"/>
  <c r="Q57" i="10"/>
  <c r="Q58" i="10"/>
  <c r="Q59" i="10"/>
  <c r="Q7" i="10"/>
  <c r="P56" i="10"/>
  <c r="P8" i="10"/>
  <c r="P9" i="10"/>
  <c r="P10" i="10"/>
  <c r="P11" i="10"/>
  <c r="P12" i="10"/>
  <c r="P13" i="10"/>
  <c r="P14" i="10"/>
  <c r="P15" i="10"/>
  <c r="P16" i="10"/>
  <c r="P17" i="10"/>
  <c r="P18" i="10"/>
  <c r="P19" i="10"/>
  <c r="P20" i="10"/>
  <c r="P21" i="10"/>
  <c r="P22" i="10"/>
  <c r="P23" i="10"/>
  <c r="P24" i="10"/>
  <c r="P25" i="10"/>
  <c r="P26" i="10"/>
  <c r="P27" i="10"/>
  <c r="P28" i="10"/>
  <c r="P29" i="10"/>
  <c r="P30" i="10"/>
  <c r="P31" i="10"/>
  <c r="P32" i="10"/>
  <c r="P33" i="10"/>
  <c r="P34" i="10"/>
  <c r="P35" i="10"/>
  <c r="P36" i="10"/>
  <c r="P37" i="10"/>
  <c r="P38" i="10"/>
  <c r="P39" i="10"/>
  <c r="P40" i="10"/>
  <c r="P41" i="10"/>
  <c r="P42" i="10"/>
  <c r="P43" i="10"/>
  <c r="P44" i="10"/>
  <c r="P45" i="10"/>
  <c r="P46" i="10"/>
  <c r="P47" i="10"/>
  <c r="P48" i="10"/>
  <c r="P49" i="10"/>
  <c r="P50" i="10"/>
  <c r="P51" i="10"/>
  <c r="P52" i="10"/>
  <c r="P53" i="10"/>
  <c r="P54" i="10"/>
  <c r="P55" i="10"/>
  <c r="P57" i="10"/>
  <c r="P58" i="10"/>
  <c r="P59" i="10"/>
  <c r="P7" i="10"/>
  <c r="O8" i="10"/>
  <c r="O9" i="10"/>
  <c r="O10" i="10"/>
  <c r="O11" i="10"/>
  <c r="O12" i="10"/>
  <c r="O13" i="10"/>
  <c r="O14" i="10"/>
  <c r="O15" i="10"/>
  <c r="O16" i="10"/>
  <c r="O17" i="10"/>
  <c r="O18" i="10"/>
  <c r="O19" i="10"/>
  <c r="O20" i="10"/>
  <c r="O21" i="10"/>
  <c r="O22" i="10"/>
  <c r="O23" i="10"/>
  <c r="O24" i="10"/>
  <c r="O25" i="10"/>
  <c r="O26" i="10"/>
  <c r="O27" i="10"/>
  <c r="O28" i="10"/>
  <c r="O29" i="10"/>
  <c r="O30" i="10"/>
  <c r="O31" i="10"/>
  <c r="O32" i="10"/>
  <c r="O33" i="10"/>
  <c r="O34" i="10"/>
  <c r="O35" i="10"/>
  <c r="O36" i="10"/>
  <c r="O37" i="10"/>
  <c r="O38" i="10"/>
  <c r="O39" i="10"/>
  <c r="O40" i="10"/>
  <c r="O41" i="10"/>
  <c r="O42" i="10"/>
  <c r="O43" i="10"/>
  <c r="O44" i="10"/>
  <c r="O45" i="10"/>
  <c r="O46" i="10"/>
  <c r="O47" i="10"/>
  <c r="O48" i="10"/>
  <c r="O49" i="10"/>
  <c r="O50" i="10"/>
  <c r="O51" i="10"/>
  <c r="O52" i="10"/>
  <c r="O53" i="10"/>
  <c r="O54" i="10"/>
  <c r="O55" i="10"/>
  <c r="O56" i="10"/>
  <c r="O57" i="10"/>
  <c r="O58" i="10"/>
  <c r="O59" i="10"/>
  <c r="O7" i="10"/>
  <c r="N7" i="10" a="1"/>
  <c r="N7" i="10" s="1"/>
  <c r="M7" i="10" a="1"/>
  <c r="M7" i="10" s="1"/>
  <c r="I8" i="10"/>
  <c r="J8" i="10"/>
  <c r="K8" i="10"/>
  <c r="L8" i="10"/>
  <c r="I9" i="10"/>
  <c r="J9" i="10"/>
  <c r="K9" i="10"/>
  <c r="L9" i="10"/>
  <c r="I10" i="10"/>
  <c r="J10" i="10"/>
  <c r="K10" i="10"/>
  <c r="L10" i="10"/>
  <c r="I11" i="10"/>
  <c r="J11" i="10"/>
  <c r="K11" i="10"/>
  <c r="L11" i="10"/>
  <c r="I12" i="10"/>
  <c r="J12" i="10"/>
  <c r="K12" i="10"/>
  <c r="L12" i="10"/>
  <c r="I13" i="10"/>
  <c r="J13" i="10"/>
  <c r="K13" i="10"/>
  <c r="L13" i="10"/>
  <c r="I14" i="10"/>
  <c r="J14" i="10"/>
  <c r="K14" i="10"/>
  <c r="L14" i="10"/>
  <c r="I15" i="10"/>
  <c r="J15" i="10"/>
  <c r="K15" i="10"/>
  <c r="L15" i="10"/>
  <c r="I16" i="10"/>
  <c r="J16" i="10"/>
  <c r="K16" i="10"/>
  <c r="L16" i="10"/>
  <c r="I17" i="10"/>
  <c r="J17" i="10"/>
  <c r="K17" i="10"/>
  <c r="L17" i="10"/>
  <c r="I18" i="10"/>
  <c r="J18" i="10"/>
  <c r="K18" i="10"/>
  <c r="L18" i="10"/>
  <c r="I19" i="10"/>
  <c r="J19" i="10"/>
  <c r="K19" i="10"/>
  <c r="L19" i="10"/>
  <c r="I20" i="10"/>
  <c r="J20" i="10"/>
  <c r="K20" i="10"/>
  <c r="L20" i="10"/>
  <c r="I21" i="10"/>
  <c r="J21" i="10"/>
  <c r="K21" i="10"/>
  <c r="L21" i="10"/>
  <c r="I22" i="10"/>
  <c r="J22" i="10"/>
  <c r="K22" i="10"/>
  <c r="L22" i="10"/>
  <c r="I23" i="10"/>
  <c r="J23" i="10"/>
  <c r="K23" i="10"/>
  <c r="L23" i="10"/>
  <c r="I24" i="10"/>
  <c r="J24" i="10"/>
  <c r="K24" i="10"/>
  <c r="L24" i="10"/>
  <c r="I25" i="10"/>
  <c r="J25" i="10"/>
  <c r="K25" i="10"/>
  <c r="L25" i="10"/>
  <c r="I26" i="10"/>
  <c r="J26" i="10"/>
  <c r="K26" i="10"/>
  <c r="L26" i="10"/>
  <c r="I27" i="10"/>
  <c r="J27" i="10"/>
  <c r="K27" i="10"/>
  <c r="L27" i="10"/>
  <c r="I28" i="10"/>
  <c r="J28" i="10"/>
  <c r="K28" i="10"/>
  <c r="L28" i="10"/>
  <c r="I29" i="10"/>
  <c r="J29" i="10"/>
  <c r="K29" i="10"/>
  <c r="L29" i="10"/>
  <c r="I30" i="10"/>
  <c r="J30" i="10"/>
  <c r="K30" i="10"/>
  <c r="L30" i="10"/>
  <c r="I31" i="10"/>
  <c r="J31" i="10"/>
  <c r="K31" i="10"/>
  <c r="L31" i="10"/>
  <c r="I32" i="10"/>
  <c r="J32" i="10"/>
  <c r="K32" i="10"/>
  <c r="L32" i="10"/>
  <c r="I33" i="10"/>
  <c r="J33" i="10"/>
  <c r="K33" i="10"/>
  <c r="L33" i="10"/>
  <c r="I34" i="10"/>
  <c r="J34" i="10"/>
  <c r="K34" i="10"/>
  <c r="L34" i="10"/>
  <c r="I35" i="10"/>
  <c r="J35" i="10"/>
  <c r="K35" i="10"/>
  <c r="L35" i="10"/>
  <c r="I36" i="10"/>
  <c r="J36" i="10"/>
  <c r="K36" i="10"/>
  <c r="L36" i="10"/>
  <c r="I37" i="10"/>
  <c r="J37" i="10"/>
  <c r="K37" i="10"/>
  <c r="L37" i="10"/>
  <c r="I38" i="10"/>
  <c r="J38" i="10"/>
  <c r="K38" i="10"/>
  <c r="L38" i="10"/>
  <c r="I39" i="10"/>
  <c r="J39" i="10"/>
  <c r="K39" i="10"/>
  <c r="L39" i="10"/>
  <c r="I40" i="10"/>
  <c r="J40" i="10"/>
  <c r="K40" i="10"/>
  <c r="L40" i="10"/>
  <c r="I41" i="10"/>
  <c r="J41" i="10"/>
  <c r="K41" i="10"/>
  <c r="L41" i="10"/>
  <c r="I42" i="10"/>
  <c r="J42" i="10"/>
  <c r="K42" i="10"/>
  <c r="L42" i="10"/>
  <c r="I43" i="10"/>
  <c r="J43" i="10"/>
  <c r="K43" i="10"/>
  <c r="L43" i="10"/>
  <c r="I44" i="10"/>
  <c r="J44" i="10"/>
  <c r="K44" i="10"/>
  <c r="L44" i="10"/>
  <c r="I45" i="10"/>
  <c r="J45" i="10"/>
  <c r="K45" i="10"/>
  <c r="L45" i="10"/>
  <c r="I46" i="10"/>
  <c r="J46" i="10"/>
  <c r="K46" i="10"/>
  <c r="L46" i="10"/>
  <c r="I47" i="10"/>
  <c r="J47" i="10"/>
  <c r="K47" i="10"/>
  <c r="L47" i="10"/>
  <c r="I48" i="10"/>
  <c r="J48" i="10"/>
  <c r="K48" i="10"/>
  <c r="L48" i="10"/>
  <c r="I49" i="10"/>
  <c r="J49" i="10"/>
  <c r="K49" i="10"/>
  <c r="L49" i="10"/>
  <c r="I50" i="10"/>
  <c r="J50" i="10"/>
  <c r="K50" i="10"/>
  <c r="L50" i="10"/>
  <c r="I51" i="10"/>
  <c r="J51" i="10"/>
  <c r="K51" i="10"/>
  <c r="L51" i="10"/>
  <c r="I52" i="10"/>
  <c r="J52" i="10"/>
  <c r="K52" i="10"/>
  <c r="L52" i="10"/>
  <c r="I53" i="10"/>
  <c r="J53" i="10"/>
  <c r="K53" i="10"/>
  <c r="L53" i="10"/>
  <c r="I54" i="10"/>
  <c r="J54" i="10"/>
  <c r="K54" i="10"/>
  <c r="L54" i="10"/>
  <c r="I55" i="10"/>
  <c r="J55" i="10"/>
  <c r="K55" i="10"/>
  <c r="L55" i="10"/>
  <c r="I56" i="10"/>
  <c r="J56" i="10"/>
  <c r="K56" i="10"/>
  <c r="L56" i="10"/>
  <c r="I57" i="10"/>
  <c r="J57" i="10"/>
  <c r="K57" i="10"/>
  <c r="L57" i="10"/>
  <c r="I58" i="10"/>
  <c r="J58" i="10"/>
  <c r="K58" i="10"/>
  <c r="L58" i="10"/>
  <c r="I59" i="10"/>
  <c r="J59" i="10"/>
  <c r="K59" i="10"/>
  <c r="L59" i="10"/>
  <c r="L7" i="10"/>
  <c r="K7" i="10"/>
  <c r="J7" i="10"/>
  <c r="I7" i="10"/>
  <c r="V11" i="9"/>
  <c r="V12" i="9"/>
  <c r="V13" i="9"/>
  <c r="V14" i="9"/>
  <c r="V15" i="9"/>
  <c r="V16" i="9"/>
  <c r="V17" i="9"/>
  <c r="V18" i="9"/>
  <c r="V19" i="9"/>
  <c r="V20" i="9"/>
  <c r="V21" i="9"/>
  <c r="V22" i="9"/>
  <c r="V23" i="9"/>
  <c r="V24" i="9"/>
  <c r="V25" i="9"/>
  <c r="V26" i="9"/>
  <c r="V27" i="9"/>
  <c r="V28" i="9"/>
  <c r="V29" i="9"/>
  <c r="V30" i="9"/>
  <c r="V31" i="9"/>
  <c r="V32" i="9"/>
  <c r="V33" i="9"/>
  <c r="V34" i="9"/>
  <c r="V35" i="9"/>
  <c r="V36" i="9"/>
  <c r="V37" i="9"/>
  <c r="V38" i="9"/>
  <c r="V39" i="9"/>
  <c r="V40" i="9"/>
  <c r="V41" i="9"/>
  <c r="V42" i="9"/>
  <c r="V43" i="9"/>
  <c r="V44" i="9"/>
  <c r="V45" i="9"/>
  <c r="V46" i="9"/>
  <c r="V47" i="9"/>
  <c r="V48" i="9"/>
  <c r="V49" i="9"/>
  <c r="V50" i="9"/>
  <c r="V51" i="9"/>
  <c r="V52" i="9"/>
  <c r="V53" i="9"/>
  <c r="V54" i="9"/>
  <c r="V55" i="9"/>
  <c r="V56" i="9"/>
  <c r="V57" i="9"/>
  <c r="V58" i="9"/>
  <c r="V59" i="9"/>
  <c r="V10" i="9"/>
  <c r="V8" i="9"/>
  <c r="V9" i="9"/>
  <c r="V7" i="9"/>
  <c r="O8" i="9"/>
  <c r="O9" i="9"/>
  <c r="O10" i="9"/>
  <c r="O11" i="9"/>
  <c r="O12" i="9"/>
  <c r="O13" i="9"/>
  <c r="O14" i="9"/>
  <c r="O15" i="9"/>
  <c r="O16" i="9"/>
  <c r="O17" i="9"/>
  <c r="O18" i="9"/>
  <c r="O19" i="9"/>
  <c r="O20" i="9"/>
  <c r="O21" i="9"/>
  <c r="O22" i="9"/>
  <c r="O23" i="9"/>
  <c r="O24" i="9"/>
  <c r="O25" i="9"/>
  <c r="O26" i="9"/>
  <c r="O27" i="9"/>
  <c r="O28" i="9"/>
  <c r="O29" i="9"/>
  <c r="O30" i="9"/>
  <c r="O31" i="9"/>
  <c r="O32" i="9"/>
  <c r="O33" i="9"/>
  <c r="O34" i="9"/>
  <c r="O35" i="9"/>
  <c r="O36" i="9"/>
  <c r="O37" i="9"/>
  <c r="O38" i="9"/>
  <c r="O39" i="9"/>
  <c r="O40" i="9"/>
  <c r="O41" i="9"/>
  <c r="O42" i="9"/>
  <c r="O43" i="9"/>
  <c r="O44" i="9"/>
  <c r="O45" i="9"/>
  <c r="O46" i="9"/>
  <c r="O47" i="9"/>
  <c r="O48" i="9"/>
  <c r="O49" i="9"/>
  <c r="O50" i="9"/>
  <c r="O51" i="9"/>
  <c r="O52" i="9"/>
  <c r="O53" i="9"/>
  <c r="O54" i="9"/>
  <c r="O55" i="9"/>
  <c r="O56" i="9"/>
  <c r="O57" i="9"/>
  <c r="O58" i="9"/>
  <c r="O59" i="9"/>
  <c r="O7" i="9"/>
  <c r="K8" i="9"/>
  <c r="L8" i="9"/>
  <c r="K9" i="9"/>
  <c r="L9" i="9"/>
  <c r="K10" i="9"/>
  <c r="L10" i="9"/>
  <c r="K11" i="9"/>
  <c r="L11" i="9"/>
  <c r="K12" i="9"/>
  <c r="L12" i="9"/>
  <c r="K13" i="9"/>
  <c r="L13" i="9"/>
  <c r="K14" i="9"/>
  <c r="L14" i="9"/>
  <c r="K15" i="9"/>
  <c r="L15" i="9"/>
  <c r="K16" i="9"/>
  <c r="L16" i="9"/>
  <c r="K17" i="9"/>
  <c r="L17" i="9"/>
  <c r="K18" i="9"/>
  <c r="L18" i="9"/>
  <c r="K19" i="9"/>
  <c r="L19" i="9"/>
  <c r="K20" i="9"/>
  <c r="L20" i="9"/>
  <c r="K21" i="9"/>
  <c r="L21" i="9"/>
  <c r="K22" i="9"/>
  <c r="L22" i="9"/>
  <c r="K23" i="9"/>
  <c r="L23" i="9"/>
  <c r="K24" i="9"/>
  <c r="L24" i="9"/>
  <c r="K25" i="9"/>
  <c r="L25" i="9"/>
  <c r="K26" i="9"/>
  <c r="L26" i="9"/>
  <c r="K27" i="9"/>
  <c r="L27" i="9"/>
  <c r="K28" i="9"/>
  <c r="L28" i="9"/>
  <c r="K29" i="9"/>
  <c r="L29" i="9"/>
  <c r="K30" i="9"/>
  <c r="L30" i="9"/>
  <c r="K31" i="9"/>
  <c r="L31" i="9"/>
  <c r="K32" i="9"/>
  <c r="L32" i="9"/>
  <c r="K33" i="9"/>
  <c r="L33" i="9"/>
  <c r="K34" i="9"/>
  <c r="L34" i="9"/>
  <c r="K35" i="9"/>
  <c r="L35" i="9"/>
  <c r="K36" i="9"/>
  <c r="L36" i="9"/>
  <c r="K37" i="9"/>
  <c r="L37" i="9"/>
  <c r="K38" i="9"/>
  <c r="L38" i="9"/>
  <c r="K39" i="9"/>
  <c r="L39" i="9"/>
  <c r="K40" i="9"/>
  <c r="L40" i="9"/>
  <c r="K41" i="9"/>
  <c r="L41" i="9"/>
  <c r="K42" i="9"/>
  <c r="L42" i="9"/>
  <c r="K43" i="9"/>
  <c r="L43" i="9"/>
  <c r="K44" i="9"/>
  <c r="L44" i="9"/>
  <c r="K45" i="9"/>
  <c r="L45" i="9"/>
  <c r="K46" i="9"/>
  <c r="L46" i="9"/>
  <c r="K47" i="9"/>
  <c r="L47" i="9"/>
  <c r="K48" i="9"/>
  <c r="L48" i="9"/>
  <c r="K49" i="9"/>
  <c r="L49" i="9"/>
  <c r="K50" i="9"/>
  <c r="L50" i="9"/>
  <c r="K51" i="9"/>
  <c r="L51" i="9"/>
  <c r="K52" i="9"/>
  <c r="L52" i="9"/>
  <c r="K53" i="9"/>
  <c r="L53" i="9"/>
  <c r="K54" i="9"/>
  <c r="L54" i="9"/>
  <c r="K55" i="9"/>
  <c r="L55" i="9"/>
  <c r="K56" i="9"/>
  <c r="L56" i="9"/>
  <c r="K57" i="9"/>
  <c r="L57" i="9"/>
  <c r="K58" i="9"/>
  <c r="L58" i="9"/>
  <c r="K59" i="9"/>
  <c r="L59" i="9"/>
  <c r="L7" i="9"/>
  <c r="K7" i="9"/>
  <c r="J8" i="9"/>
  <c r="J9" i="9"/>
  <c r="J10" i="9"/>
  <c r="J11" i="9"/>
  <c r="J12" i="9"/>
  <c r="J13" i="9"/>
  <c r="J14" i="9"/>
  <c r="J15" i="9"/>
  <c r="J16" i="9"/>
  <c r="J17" i="9"/>
  <c r="J18" i="9"/>
  <c r="J19" i="9"/>
  <c r="J20" i="9"/>
  <c r="J21" i="9"/>
  <c r="J22" i="9"/>
  <c r="J23" i="9"/>
  <c r="J24" i="9"/>
  <c r="J25" i="9"/>
  <c r="J26" i="9"/>
  <c r="J27" i="9"/>
  <c r="J28" i="9"/>
  <c r="J29" i="9"/>
  <c r="J30" i="9"/>
  <c r="J31" i="9"/>
  <c r="J32" i="9"/>
  <c r="J33" i="9"/>
  <c r="J34" i="9"/>
  <c r="J35" i="9"/>
  <c r="J36" i="9"/>
  <c r="J37" i="9"/>
  <c r="J38" i="9"/>
  <c r="J39" i="9"/>
  <c r="J40" i="9"/>
  <c r="J41" i="9"/>
  <c r="J42" i="9"/>
  <c r="J43" i="9"/>
  <c r="J44" i="9"/>
  <c r="J45" i="9"/>
  <c r="J46" i="9"/>
  <c r="J47" i="9"/>
  <c r="J48" i="9"/>
  <c r="J49" i="9"/>
  <c r="J50" i="9"/>
  <c r="J51" i="9"/>
  <c r="J52" i="9"/>
  <c r="J53" i="9"/>
  <c r="J54" i="9"/>
  <c r="J55" i="9"/>
  <c r="J56" i="9"/>
  <c r="J57" i="9"/>
  <c r="J58" i="9"/>
  <c r="J59" i="9"/>
  <c r="J7" i="9"/>
  <c r="I8" i="9"/>
  <c r="I9" i="9"/>
  <c r="I10" i="9"/>
  <c r="Z10" i="9" s="1"/>
  <c r="I11" i="9"/>
  <c r="Z11" i="9" s="1"/>
  <c r="I12" i="9"/>
  <c r="Z12" i="9" s="1"/>
  <c r="I13" i="9"/>
  <c r="I14" i="9"/>
  <c r="Z14" i="9" s="1"/>
  <c r="I15" i="9"/>
  <c r="I16" i="9"/>
  <c r="I17" i="9"/>
  <c r="I18" i="9"/>
  <c r="Z18" i="9" s="1"/>
  <c r="I19" i="9"/>
  <c r="I20" i="9"/>
  <c r="Z20" i="9" s="1"/>
  <c r="I21" i="9"/>
  <c r="Z21" i="9" s="1"/>
  <c r="I22" i="9"/>
  <c r="Z22" i="9" s="1"/>
  <c r="I23" i="9"/>
  <c r="I24" i="9"/>
  <c r="I25" i="9"/>
  <c r="I26" i="9"/>
  <c r="Z26" i="9" s="1"/>
  <c r="I27" i="9"/>
  <c r="I28" i="9"/>
  <c r="Z28" i="9" s="1"/>
  <c r="I29" i="9"/>
  <c r="I30" i="9"/>
  <c r="Z30" i="9" s="1"/>
  <c r="I31" i="9"/>
  <c r="I32" i="9"/>
  <c r="I33" i="9"/>
  <c r="I34" i="9"/>
  <c r="Z34" i="9" s="1"/>
  <c r="I35" i="9"/>
  <c r="I36" i="9"/>
  <c r="Z36" i="9" s="1"/>
  <c r="I37" i="9"/>
  <c r="I38" i="9"/>
  <c r="Z38" i="9" s="1"/>
  <c r="I39" i="9"/>
  <c r="I40" i="9"/>
  <c r="I41" i="9"/>
  <c r="I42" i="9"/>
  <c r="Z42" i="9" s="1"/>
  <c r="I43" i="9"/>
  <c r="I44" i="9"/>
  <c r="Z44" i="9" s="1"/>
  <c r="I45" i="9"/>
  <c r="I46" i="9"/>
  <c r="Z46" i="9" s="1"/>
  <c r="I47" i="9"/>
  <c r="I48" i="9"/>
  <c r="I49" i="9"/>
  <c r="I50" i="9"/>
  <c r="Z50" i="9" s="1"/>
  <c r="I51" i="9"/>
  <c r="I52" i="9"/>
  <c r="Z52" i="9" s="1"/>
  <c r="I53" i="9"/>
  <c r="Z53" i="9" s="1"/>
  <c r="I54" i="9"/>
  <c r="Z54" i="9" s="1"/>
  <c r="I55" i="9"/>
  <c r="I56" i="9"/>
  <c r="I57" i="9"/>
  <c r="I58" i="9"/>
  <c r="I59" i="9"/>
  <c r="Z59" i="9" s="1"/>
  <c r="I7" i="9"/>
  <c r="Z7" i="9" s="1"/>
  <c r="Z9" i="9"/>
  <c r="Z13" i="9"/>
  <c r="Z17" i="9"/>
  <c r="Z19" i="9"/>
  <c r="Z25" i="9"/>
  <c r="Z27" i="9"/>
  <c r="Z29" i="9"/>
  <c r="Z33" i="9"/>
  <c r="Z35" i="9"/>
  <c r="Z37" i="9"/>
  <c r="Z41" i="9"/>
  <c r="Z43" i="9"/>
  <c r="Z45" i="9"/>
  <c r="Z49" i="9"/>
  <c r="Z51" i="9"/>
  <c r="Z57" i="9"/>
  <c r="R8" i="1"/>
  <c r="R9" i="1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R38" i="1"/>
  <c r="R39" i="1"/>
  <c r="R40" i="1"/>
  <c r="R41" i="1"/>
  <c r="R42" i="1"/>
  <c r="R43" i="1"/>
  <c r="R44" i="1"/>
  <c r="R45" i="1"/>
  <c r="R46" i="1"/>
  <c r="R47" i="1"/>
  <c r="R48" i="1"/>
  <c r="R49" i="1"/>
  <c r="R50" i="1"/>
  <c r="R51" i="1"/>
  <c r="R52" i="1"/>
  <c r="R53" i="1"/>
  <c r="R54" i="1"/>
  <c r="R55" i="1"/>
  <c r="R56" i="1"/>
  <c r="R57" i="1"/>
  <c r="R58" i="1"/>
  <c r="R7" i="1"/>
  <c r="R6" i="1"/>
  <c r="L7" i="4"/>
  <c r="L8" i="4"/>
  <c r="L9" i="4"/>
  <c r="L10" i="4"/>
  <c r="L11" i="4"/>
  <c r="L12" i="4"/>
  <c r="L13" i="4"/>
  <c r="L14" i="4"/>
  <c r="L15" i="4"/>
  <c r="L16" i="4"/>
  <c r="L17" i="4"/>
  <c r="L18" i="4"/>
  <c r="L19" i="4"/>
  <c r="L20" i="4"/>
  <c r="L21" i="4"/>
  <c r="L6" i="4"/>
  <c r="L22" i="4"/>
  <c r="V5" i="13"/>
  <c r="V6" i="13"/>
  <c r="V7" i="13"/>
  <c r="V8" i="13"/>
  <c r="V9" i="13"/>
  <c r="V10" i="13"/>
  <c r="V11" i="13"/>
  <c r="V12" i="13"/>
  <c r="V13" i="13"/>
  <c r="V14" i="13"/>
  <c r="V15" i="13"/>
  <c r="V16" i="13"/>
  <c r="V17" i="13"/>
  <c r="V18" i="13"/>
  <c r="V19" i="13"/>
  <c r="V20" i="13"/>
  <c r="V21" i="13"/>
  <c r="V22" i="13"/>
  <c r="V23" i="13"/>
  <c r="V24" i="13"/>
  <c r="V25" i="13"/>
  <c r="V26" i="13"/>
  <c r="V27" i="13"/>
  <c r="V28" i="13"/>
  <c r="V29" i="13"/>
  <c r="V30" i="13"/>
  <c r="V31" i="13"/>
  <c r="V32" i="13"/>
  <c r="V33" i="13"/>
  <c r="V34" i="13"/>
  <c r="V35" i="13"/>
  <c r="V36" i="13"/>
  <c r="V37" i="13"/>
  <c r="V38" i="13"/>
  <c r="V39" i="13"/>
  <c r="V40" i="13"/>
  <c r="V41" i="13"/>
  <c r="V42" i="13"/>
  <c r="V43" i="13"/>
  <c r="V44" i="13"/>
  <c r="V45" i="13"/>
  <c r="V46" i="13"/>
  <c r="V47" i="13"/>
  <c r="V48" i="13"/>
  <c r="V49" i="13"/>
  <c r="V50" i="13"/>
  <c r="V51" i="13"/>
  <c r="V52" i="13"/>
  <c r="V53" i="13"/>
  <c r="V54" i="13"/>
  <c r="V55" i="13"/>
  <c r="V56" i="13"/>
  <c r="V57" i="13"/>
  <c r="V58" i="13"/>
  <c r="V59" i="13"/>
  <c r="V60" i="13"/>
  <c r="V61" i="13"/>
  <c r="V62" i="13"/>
  <c r="V63" i="13"/>
  <c r="V64" i="13"/>
  <c r="V65" i="13"/>
  <c r="V66" i="13"/>
  <c r="V67" i="13"/>
  <c r="V68" i="13"/>
  <c r="V69" i="13"/>
  <c r="V70" i="13"/>
  <c r="V71" i="13"/>
  <c r="V72" i="13"/>
  <c r="V73" i="13"/>
  <c r="V74" i="13"/>
  <c r="V75" i="13"/>
  <c r="V76" i="13"/>
  <c r="V77" i="13"/>
  <c r="V78" i="13"/>
  <c r="V79" i="13"/>
  <c r="V80" i="13"/>
  <c r="V81" i="13"/>
  <c r="V82" i="13"/>
  <c r="V83" i="13"/>
  <c r="V84" i="13"/>
  <c r="V85" i="13"/>
  <c r="V86" i="13"/>
  <c r="V87" i="13"/>
  <c r="V88" i="13"/>
  <c r="V89" i="13"/>
  <c r="V90" i="13"/>
  <c r="V91" i="13"/>
  <c r="V92" i="13"/>
  <c r="V93" i="13"/>
  <c r="V94" i="13"/>
  <c r="V95" i="13"/>
  <c r="V96" i="13"/>
  <c r="V97" i="13"/>
  <c r="V98" i="13"/>
  <c r="V99" i="13"/>
  <c r="V100" i="13"/>
  <c r="V101" i="13"/>
  <c r="V102" i="13"/>
  <c r="V103" i="13"/>
  <c r="V104" i="13"/>
  <c r="V105" i="13"/>
  <c r="V106" i="13"/>
  <c r="V107" i="13"/>
  <c r="V108" i="13"/>
  <c r="V109" i="13"/>
  <c r="V110" i="13"/>
  <c r="V111" i="13"/>
  <c r="V112" i="13"/>
  <c r="V113" i="13"/>
  <c r="V114" i="13"/>
  <c r="V115" i="13"/>
  <c r="V116" i="13"/>
  <c r="V117" i="13"/>
  <c r="V118" i="13"/>
  <c r="V119" i="13"/>
  <c r="V120" i="13"/>
  <c r="V121" i="13"/>
  <c r="V122" i="13"/>
  <c r="V123" i="13"/>
  <c r="V124" i="13"/>
  <c r="V125" i="13"/>
  <c r="V126" i="13"/>
  <c r="V127" i="13"/>
  <c r="V128" i="13"/>
  <c r="V129" i="13"/>
  <c r="V130" i="13"/>
  <c r="V131" i="13"/>
  <c r="V132" i="13"/>
  <c r="V133" i="13"/>
  <c r="V134" i="13"/>
  <c r="V135" i="13"/>
  <c r="V136" i="13"/>
  <c r="V137" i="13"/>
  <c r="V138" i="13"/>
  <c r="V4" i="13"/>
  <c r="I6" i="4"/>
  <c r="K6" i="4"/>
  <c r="J22" i="4"/>
  <c r="I22" i="4"/>
  <c r="O7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6" i="1"/>
  <c r="U5" i="13"/>
  <c r="U6" i="13"/>
  <c r="U7" i="13"/>
  <c r="U8" i="13"/>
  <c r="U9" i="13"/>
  <c r="U10" i="13"/>
  <c r="U11" i="13"/>
  <c r="U12" i="13"/>
  <c r="U13" i="13"/>
  <c r="U14" i="13"/>
  <c r="U15" i="13"/>
  <c r="U16" i="13"/>
  <c r="U17" i="13"/>
  <c r="U18" i="13"/>
  <c r="U19" i="13"/>
  <c r="U20" i="13"/>
  <c r="U21" i="13"/>
  <c r="U22" i="13"/>
  <c r="U23" i="13"/>
  <c r="U24" i="13"/>
  <c r="U25" i="13"/>
  <c r="U26" i="13"/>
  <c r="U27" i="13"/>
  <c r="U28" i="13"/>
  <c r="U29" i="13"/>
  <c r="U30" i="13"/>
  <c r="U31" i="13"/>
  <c r="U32" i="13"/>
  <c r="U33" i="13"/>
  <c r="U34" i="13"/>
  <c r="U35" i="13"/>
  <c r="U36" i="13"/>
  <c r="U37" i="13"/>
  <c r="U38" i="13"/>
  <c r="U39" i="13"/>
  <c r="U40" i="13"/>
  <c r="U41" i="13"/>
  <c r="U42" i="13"/>
  <c r="U43" i="13"/>
  <c r="U44" i="13"/>
  <c r="U45" i="13"/>
  <c r="U46" i="13"/>
  <c r="U47" i="13"/>
  <c r="U48" i="13"/>
  <c r="U49" i="13"/>
  <c r="U50" i="13"/>
  <c r="U51" i="13"/>
  <c r="U52" i="13"/>
  <c r="U53" i="13"/>
  <c r="U54" i="13"/>
  <c r="U55" i="13"/>
  <c r="U56" i="13"/>
  <c r="U57" i="13"/>
  <c r="U58" i="13"/>
  <c r="U59" i="13"/>
  <c r="U60" i="13"/>
  <c r="U61" i="13"/>
  <c r="U62" i="13"/>
  <c r="U63" i="13"/>
  <c r="U64" i="13"/>
  <c r="U65" i="13"/>
  <c r="U66" i="13"/>
  <c r="U67" i="13"/>
  <c r="U68" i="13"/>
  <c r="U69" i="13"/>
  <c r="U70" i="13"/>
  <c r="U71" i="13"/>
  <c r="U72" i="13"/>
  <c r="U73" i="13"/>
  <c r="U74" i="13"/>
  <c r="U75" i="13"/>
  <c r="U76" i="13"/>
  <c r="U77" i="13"/>
  <c r="U78" i="13"/>
  <c r="U79" i="13"/>
  <c r="U80" i="13"/>
  <c r="U81" i="13"/>
  <c r="U82" i="13"/>
  <c r="U83" i="13"/>
  <c r="U84" i="13"/>
  <c r="U85" i="13"/>
  <c r="U86" i="13"/>
  <c r="U87" i="13"/>
  <c r="U88" i="13"/>
  <c r="U89" i="13"/>
  <c r="U90" i="13"/>
  <c r="U91" i="13"/>
  <c r="U92" i="13"/>
  <c r="U93" i="13"/>
  <c r="U94" i="13"/>
  <c r="U95" i="13"/>
  <c r="U96" i="13"/>
  <c r="U97" i="13"/>
  <c r="U98" i="13"/>
  <c r="U99" i="13"/>
  <c r="U100" i="13"/>
  <c r="U101" i="13"/>
  <c r="U102" i="13"/>
  <c r="U103" i="13"/>
  <c r="U104" i="13"/>
  <c r="U105" i="13"/>
  <c r="U106" i="13"/>
  <c r="U107" i="13"/>
  <c r="U108" i="13"/>
  <c r="U109" i="13"/>
  <c r="U110" i="13"/>
  <c r="U111" i="13"/>
  <c r="U112" i="13"/>
  <c r="U113" i="13"/>
  <c r="U114" i="13"/>
  <c r="U115" i="13"/>
  <c r="U116" i="13"/>
  <c r="U117" i="13"/>
  <c r="U118" i="13"/>
  <c r="U119" i="13"/>
  <c r="U120" i="13"/>
  <c r="U121" i="13"/>
  <c r="U122" i="13"/>
  <c r="U123" i="13"/>
  <c r="U124" i="13"/>
  <c r="U125" i="13"/>
  <c r="U126" i="13"/>
  <c r="U127" i="13"/>
  <c r="U128" i="13"/>
  <c r="U129" i="13"/>
  <c r="U130" i="13"/>
  <c r="U131" i="13"/>
  <c r="U132" i="13"/>
  <c r="U133" i="13"/>
  <c r="U134" i="13"/>
  <c r="U135" i="13"/>
  <c r="U136" i="13"/>
  <c r="U137" i="13"/>
  <c r="U138" i="13"/>
  <c r="U4" i="13"/>
  <c r="S57" i="13"/>
  <c r="Q5" i="13"/>
  <c r="Q6" i="13"/>
  <c r="Q7" i="13"/>
  <c r="Q8" i="13"/>
  <c r="Q9" i="13"/>
  <c r="Q10" i="13"/>
  <c r="Q11" i="13"/>
  <c r="Q12" i="13"/>
  <c r="Q13" i="13"/>
  <c r="Q14" i="13"/>
  <c r="Q15" i="13"/>
  <c r="Q16" i="13"/>
  <c r="Q17" i="13"/>
  <c r="Q18" i="13"/>
  <c r="Q19" i="13"/>
  <c r="Q20" i="13"/>
  <c r="Q21" i="13"/>
  <c r="Q22" i="13"/>
  <c r="Q23" i="13"/>
  <c r="Q24" i="13"/>
  <c r="Q25" i="13"/>
  <c r="Q26" i="13"/>
  <c r="Q27" i="13"/>
  <c r="Q28" i="13"/>
  <c r="Q29" i="13"/>
  <c r="Q30" i="13"/>
  <c r="Q31" i="13"/>
  <c r="Q32" i="13"/>
  <c r="Q33" i="13"/>
  <c r="Q34" i="13"/>
  <c r="Q35" i="13"/>
  <c r="Q36" i="13"/>
  <c r="Q37" i="13"/>
  <c r="Q38" i="13"/>
  <c r="Q39" i="13"/>
  <c r="Q40" i="13"/>
  <c r="Q41" i="13"/>
  <c r="Q42" i="13"/>
  <c r="Q43" i="13"/>
  <c r="Q44" i="13"/>
  <c r="Q45" i="13"/>
  <c r="Q46" i="13"/>
  <c r="Q47" i="13"/>
  <c r="Q48" i="13"/>
  <c r="Q49" i="13"/>
  <c r="Q50" i="13"/>
  <c r="Q51" i="13"/>
  <c r="Q52" i="13"/>
  <c r="Q53" i="13"/>
  <c r="Q54" i="13"/>
  <c r="Q55" i="13"/>
  <c r="Q56" i="13"/>
  <c r="Q57" i="13"/>
  <c r="Q58" i="13"/>
  <c r="Q59" i="13"/>
  <c r="Q60" i="13"/>
  <c r="Q61" i="13"/>
  <c r="Q62" i="13"/>
  <c r="Q63" i="13"/>
  <c r="Q64" i="13"/>
  <c r="Q65" i="13"/>
  <c r="Q66" i="13"/>
  <c r="Q67" i="13"/>
  <c r="Q68" i="13"/>
  <c r="Q69" i="13"/>
  <c r="Q70" i="13"/>
  <c r="Q71" i="13"/>
  <c r="Q72" i="13"/>
  <c r="Q73" i="13"/>
  <c r="Q74" i="13"/>
  <c r="Q75" i="13"/>
  <c r="Q76" i="13"/>
  <c r="Q77" i="13"/>
  <c r="Q78" i="13"/>
  <c r="Q79" i="13"/>
  <c r="Q80" i="13"/>
  <c r="Q81" i="13"/>
  <c r="Q82" i="13"/>
  <c r="Q83" i="13"/>
  <c r="Q84" i="13"/>
  <c r="Q85" i="13"/>
  <c r="Q86" i="13"/>
  <c r="Q87" i="13"/>
  <c r="Q88" i="13"/>
  <c r="Q89" i="13"/>
  <c r="Q90" i="13"/>
  <c r="Q91" i="13"/>
  <c r="Q92" i="13"/>
  <c r="Q93" i="13"/>
  <c r="Q94" i="13"/>
  <c r="Q95" i="13"/>
  <c r="Q96" i="13"/>
  <c r="Q97" i="13"/>
  <c r="Q98" i="13"/>
  <c r="Q99" i="13"/>
  <c r="Q100" i="13"/>
  <c r="Q101" i="13"/>
  <c r="Q102" i="13"/>
  <c r="Q103" i="13"/>
  <c r="Q104" i="13"/>
  <c r="Q105" i="13"/>
  <c r="Q106" i="13"/>
  <c r="Q107" i="13"/>
  <c r="Q108" i="13"/>
  <c r="Q109" i="13"/>
  <c r="Q110" i="13"/>
  <c r="Q111" i="13"/>
  <c r="Q112" i="13"/>
  <c r="Q113" i="13"/>
  <c r="Q114" i="13"/>
  <c r="Q115" i="13"/>
  <c r="Q116" i="13"/>
  <c r="Q117" i="13"/>
  <c r="Q118" i="13"/>
  <c r="Q119" i="13"/>
  <c r="Q120" i="13"/>
  <c r="Q121" i="13"/>
  <c r="Q122" i="13"/>
  <c r="Q123" i="13"/>
  <c r="Q124" i="13"/>
  <c r="Q125" i="13"/>
  <c r="Q126" i="13"/>
  <c r="Q127" i="13"/>
  <c r="Q128" i="13"/>
  <c r="Q129" i="13"/>
  <c r="Q130" i="13"/>
  <c r="Q131" i="13"/>
  <c r="Q132" i="13"/>
  <c r="Q133" i="13"/>
  <c r="Q134" i="13"/>
  <c r="Q135" i="13"/>
  <c r="Q136" i="13"/>
  <c r="Q137" i="13"/>
  <c r="Q138" i="13"/>
  <c r="Q4" i="13"/>
  <c r="S79" i="13"/>
  <c r="T79" i="13" s="1"/>
  <c r="T57" i="13"/>
  <c r="K29" i="6" l="1"/>
  <c r="K21" i="6"/>
  <c r="Y9" i="6"/>
  <c r="I57" i="6"/>
  <c r="W57" i="6" s="1"/>
  <c r="I49" i="6"/>
  <c r="W49" i="6" s="1"/>
  <c r="I41" i="6"/>
  <c r="W41" i="6" s="1"/>
  <c r="I33" i="6"/>
  <c r="W33" i="6" s="1"/>
  <c r="I25" i="6"/>
  <c r="W25" i="6" s="1"/>
  <c r="I17" i="6"/>
  <c r="W17" i="6" s="1"/>
  <c r="I9" i="6"/>
  <c r="R9" i="6" s="1"/>
  <c r="I15" i="6"/>
  <c r="W15" i="6" s="1"/>
  <c r="K54" i="6"/>
  <c r="K46" i="6"/>
  <c r="Y46" i="6" s="1"/>
  <c r="K38" i="6"/>
  <c r="Y38" i="6" s="1"/>
  <c r="K30" i="6"/>
  <c r="K22" i="6"/>
  <c r="Y22" i="6" s="1"/>
  <c r="K14" i="6"/>
  <c r="I54" i="6"/>
  <c r="W54" i="6" s="1"/>
  <c r="I46" i="6"/>
  <c r="I38" i="6"/>
  <c r="W38" i="6" s="1"/>
  <c r="I30" i="6"/>
  <c r="W30" i="6" s="1"/>
  <c r="I22" i="6"/>
  <c r="I14" i="6"/>
  <c r="W14" i="6" s="1"/>
  <c r="E19" i="6"/>
  <c r="K51" i="6"/>
  <c r="Y51" i="6" s="1"/>
  <c r="K43" i="6"/>
  <c r="Y43" i="6" s="1"/>
  <c r="K35" i="6"/>
  <c r="K19" i="6"/>
  <c r="Y19" i="6" s="1"/>
  <c r="I55" i="6"/>
  <c r="W55" i="6" s="1"/>
  <c r="I47" i="6"/>
  <c r="I39" i="6"/>
  <c r="W39" i="6" s="1"/>
  <c r="I31" i="6"/>
  <c r="W31" i="6" s="1"/>
  <c r="I23" i="6"/>
  <c r="W23" i="6" s="1"/>
  <c r="E29" i="6"/>
  <c r="E21" i="6"/>
  <c r="F53" i="6"/>
  <c r="K53" i="6" s="1"/>
  <c r="Y53" i="6" s="1"/>
  <c r="E27" i="6"/>
  <c r="F50" i="6"/>
  <c r="K50" i="6" s="1"/>
  <c r="K45" i="6"/>
  <c r="K37" i="6"/>
  <c r="Y37" i="6" s="1"/>
  <c r="I58" i="6"/>
  <c r="W58" i="6" s="1"/>
  <c r="I50" i="6"/>
  <c r="W50" i="6" s="1"/>
  <c r="I42" i="6"/>
  <c r="R42" i="6" s="1"/>
  <c r="I34" i="6"/>
  <c r="W34" i="6" s="1"/>
  <c r="I26" i="6"/>
  <c r="W26" i="6" s="1"/>
  <c r="I18" i="6"/>
  <c r="W18" i="6" s="1"/>
  <c r="I10" i="6"/>
  <c r="W10" i="6" s="1"/>
  <c r="F34" i="6"/>
  <c r="K34" i="6" s="1"/>
  <c r="Y34" i="6" s="1"/>
  <c r="E51" i="6"/>
  <c r="K27" i="6"/>
  <c r="E43" i="6"/>
  <c r="F18" i="6"/>
  <c r="K18" i="6" s="1"/>
  <c r="Y18" i="6" s="1"/>
  <c r="I6" i="6"/>
  <c r="R6" i="6" s="1"/>
  <c r="E46" i="6"/>
  <c r="E45" i="6"/>
  <c r="E22" i="6"/>
  <c r="F58" i="6"/>
  <c r="K58" i="6" s="1"/>
  <c r="Y58" i="6" s="1"/>
  <c r="F26" i="6"/>
  <c r="K26" i="6" s="1"/>
  <c r="I27" i="6"/>
  <c r="R27" i="6" s="1"/>
  <c r="I43" i="6"/>
  <c r="R43" i="6" s="1"/>
  <c r="I56" i="6"/>
  <c r="R56" i="6" s="1"/>
  <c r="I40" i="6"/>
  <c r="R40" i="6" s="1"/>
  <c r="I24" i="6"/>
  <c r="R24" i="6" s="1"/>
  <c r="I16" i="6"/>
  <c r="W16" i="6" s="1"/>
  <c r="E38" i="6"/>
  <c r="I7" i="6"/>
  <c r="I35" i="6"/>
  <c r="W35" i="6" s="1"/>
  <c r="I48" i="6"/>
  <c r="R48" i="6" s="1"/>
  <c r="I32" i="6"/>
  <c r="W32" i="6" s="1"/>
  <c r="I8" i="6"/>
  <c r="W8" i="6" s="1"/>
  <c r="E6" i="6"/>
  <c r="G6" i="6" s="1"/>
  <c r="J6" i="6" s="1"/>
  <c r="E37" i="6"/>
  <c r="E14" i="6"/>
  <c r="F13" i="6"/>
  <c r="K13" i="6" s="1"/>
  <c r="Y13" i="6" s="1"/>
  <c r="E54" i="6"/>
  <c r="E35" i="6"/>
  <c r="I53" i="6"/>
  <c r="W53" i="6" s="1"/>
  <c r="I45" i="6"/>
  <c r="W45" i="6" s="1"/>
  <c r="I37" i="6"/>
  <c r="R37" i="6" s="1"/>
  <c r="I29" i="6"/>
  <c r="W29" i="6" s="1"/>
  <c r="I21" i="6"/>
  <c r="W21" i="6" s="1"/>
  <c r="I13" i="6"/>
  <c r="W13" i="6" s="1"/>
  <c r="F42" i="6"/>
  <c r="K42" i="6" s="1"/>
  <c r="F10" i="6"/>
  <c r="K10" i="6" s="1"/>
  <c r="I51" i="6"/>
  <c r="R51" i="6" s="1"/>
  <c r="I19" i="6"/>
  <c r="R19" i="6" s="1"/>
  <c r="I11" i="6"/>
  <c r="W11" i="6" s="1"/>
  <c r="K6" i="6"/>
  <c r="Y6" i="6" s="1"/>
  <c r="K11" i="6"/>
  <c r="Y11" i="6" s="1"/>
  <c r="E30" i="6"/>
  <c r="E11" i="6"/>
  <c r="I52" i="6"/>
  <c r="R52" i="6" s="1"/>
  <c r="I44" i="6"/>
  <c r="W44" i="6" s="1"/>
  <c r="I36" i="6"/>
  <c r="R36" i="6" s="1"/>
  <c r="I28" i="6"/>
  <c r="R28" i="6" s="1"/>
  <c r="I20" i="6"/>
  <c r="R20" i="6" s="1"/>
  <c r="I12" i="6"/>
  <c r="R12" i="6" s="1"/>
  <c r="F52" i="6"/>
  <c r="K52" i="6" s="1"/>
  <c r="Y52" i="6" s="1"/>
  <c r="F44" i="6"/>
  <c r="K44" i="6" s="1"/>
  <c r="Y44" i="6" s="1"/>
  <c r="F36" i="6"/>
  <c r="K36" i="6" s="1"/>
  <c r="F28" i="6"/>
  <c r="K28" i="6" s="1"/>
  <c r="Y28" i="6" s="1"/>
  <c r="F20" i="6"/>
  <c r="K20" i="6" s="1"/>
  <c r="F12" i="6"/>
  <c r="K12" i="6" s="1"/>
  <c r="F57" i="6"/>
  <c r="K57" i="6" s="1"/>
  <c r="Y57" i="6" s="1"/>
  <c r="F49" i="6"/>
  <c r="K49" i="6" s="1"/>
  <c r="Y49" i="6" s="1"/>
  <c r="F41" i="6"/>
  <c r="K41" i="6" s="1"/>
  <c r="Y41" i="6" s="1"/>
  <c r="F33" i="6"/>
  <c r="K33" i="6" s="1"/>
  <c r="Y33" i="6" s="1"/>
  <c r="F25" i="6"/>
  <c r="K25" i="6" s="1"/>
  <c r="Y25" i="6" s="1"/>
  <c r="F17" i="6"/>
  <c r="K17" i="6" s="1"/>
  <c r="Y17" i="6" s="1"/>
  <c r="F8" i="6"/>
  <c r="K8" i="6" s="1"/>
  <c r="F56" i="6"/>
  <c r="K56" i="6" s="1"/>
  <c r="Y56" i="6" s="1"/>
  <c r="F48" i="6"/>
  <c r="K48" i="6" s="1"/>
  <c r="Y48" i="6" s="1"/>
  <c r="F40" i="6"/>
  <c r="K40" i="6" s="1"/>
  <c r="Y40" i="6" s="1"/>
  <c r="F32" i="6"/>
  <c r="K32" i="6" s="1"/>
  <c r="F24" i="6"/>
  <c r="K24" i="6" s="1"/>
  <c r="F16" i="6"/>
  <c r="K16" i="6" s="1"/>
  <c r="F7" i="6"/>
  <c r="K7" i="6" s="1"/>
  <c r="Y7" i="6" s="1"/>
  <c r="F55" i="6"/>
  <c r="K55" i="6" s="1"/>
  <c r="F47" i="6"/>
  <c r="K47" i="6" s="1"/>
  <c r="F39" i="6"/>
  <c r="K39" i="6" s="1"/>
  <c r="F31" i="6"/>
  <c r="K31" i="6" s="1"/>
  <c r="F23" i="6"/>
  <c r="K23" i="6" s="1"/>
  <c r="F15" i="6"/>
  <c r="K15" i="6" s="1"/>
  <c r="Y15" i="6" s="1"/>
  <c r="Z48" i="9"/>
  <c r="Z32" i="9"/>
  <c r="Z16" i="9"/>
  <c r="Z56" i="9"/>
  <c r="Z40" i="9"/>
  <c r="Z24" i="9"/>
  <c r="Z8" i="9"/>
  <c r="Z55" i="9"/>
  <c r="Z47" i="9"/>
  <c r="Z39" i="9"/>
  <c r="Z31" i="9"/>
  <c r="Z23" i="9"/>
  <c r="Z15" i="9"/>
  <c r="Z58" i="9"/>
  <c r="L65" i="9"/>
  <c r="V64" i="9"/>
  <c r="K65" i="9"/>
  <c r="P7" i="1"/>
  <c r="P8" i="1"/>
  <c r="P10" i="1"/>
  <c r="P12" i="1"/>
  <c r="P14" i="1"/>
  <c r="P15" i="1"/>
  <c r="P16" i="1"/>
  <c r="P20" i="1"/>
  <c r="P21" i="1"/>
  <c r="P23" i="1"/>
  <c r="P24" i="1"/>
  <c r="P25" i="1"/>
  <c r="P26" i="1"/>
  <c r="P27" i="1"/>
  <c r="P28" i="1"/>
  <c r="P29" i="1"/>
  <c r="P31" i="1"/>
  <c r="P33" i="1"/>
  <c r="P34" i="1"/>
  <c r="P35" i="1"/>
  <c r="P36" i="1"/>
  <c r="P37" i="1"/>
  <c r="P38" i="1"/>
  <c r="P40" i="1"/>
  <c r="P43" i="1"/>
  <c r="P46" i="1"/>
  <c r="P47" i="1"/>
  <c r="P48" i="1"/>
  <c r="P49" i="1"/>
  <c r="P50" i="1"/>
  <c r="P51" i="1"/>
  <c r="P52" i="1"/>
  <c r="P53" i="1"/>
  <c r="P54" i="1"/>
  <c r="P55" i="1"/>
  <c r="P56" i="1"/>
  <c r="P58" i="1"/>
  <c r="P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6" i="1"/>
  <c r="N6" i="1" s="1"/>
  <c r="Y65" i="10"/>
  <c r="V65" i="10"/>
  <c r="L65" i="10"/>
  <c r="K65" i="10"/>
  <c r="Y64" i="10"/>
  <c r="V64" i="10"/>
  <c r="L64" i="10"/>
  <c r="K64" i="10"/>
  <c r="Y63" i="10"/>
  <c r="V63" i="10"/>
  <c r="L63" i="10"/>
  <c r="K63" i="10"/>
  <c r="Y62" i="10"/>
  <c r="V62" i="10"/>
  <c r="L62" i="10"/>
  <c r="K62" i="10"/>
  <c r="M52" i="10" a="1"/>
  <c r="M52" i="10" s="1"/>
  <c r="M48" i="10" a="1"/>
  <c r="M48" i="10" s="1"/>
  <c r="M43" i="10" a="1"/>
  <c r="M43" i="10" s="1"/>
  <c r="M40" i="10" a="1"/>
  <c r="M40" i="10" s="1"/>
  <c r="M39" i="10" a="1"/>
  <c r="M39" i="10" s="1"/>
  <c r="M36" i="10" a="1"/>
  <c r="M36" i="10" s="1"/>
  <c r="M35" i="10" a="1"/>
  <c r="M35" i="10" s="1"/>
  <c r="M32" i="10" a="1"/>
  <c r="M32" i="10" s="1"/>
  <c r="M28" i="10" a="1"/>
  <c r="M28" i="10" s="1"/>
  <c r="M27" i="10" a="1"/>
  <c r="M27" i="10" s="1"/>
  <c r="M26" i="10" a="1"/>
  <c r="M26" i="10" s="1"/>
  <c r="M25" i="10" a="1"/>
  <c r="M25" i="10" s="1"/>
  <c r="M23" i="10" a="1"/>
  <c r="M23" i="10" s="1"/>
  <c r="M22" i="10" a="1"/>
  <c r="M22" i="10" s="1"/>
  <c r="M21" i="10" a="1"/>
  <c r="M21" i="10" s="1"/>
  <c r="E19" i="10"/>
  <c r="C19" i="10"/>
  <c r="E18" i="10"/>
  <c r="C18" i="10"/>
  <c r="E17" i="10"/>
  <c r="C17" i="10"/>
  <c r="E16" i="10"/>
  <c r="C16" i="10"/>
  <c r="E15" i="10"/>
  <c r="C15" i="10"/>
  <c r="M53" i="10" s="1" a="1"/>
  <c r="M53" i="10" s="1"/>
  <c r="M14" i="10" a="1"/>
  <c r="M14" i="10" s="1"/>
  <c r="E14" i="10"/>
  <c r="N37" i="10" s="1" a="1"/>
  <c r="N37" i="10" s="1"/>
  <c r="C14" i="10"/>
  <c r="M44" i="10" s="1" a="1"/>
  <c r="M44" i="10" s="1"/>
  <c r="M13" i="10" a="1"/>
  <c r="M13" i="10" s="1"/>
  <c r="E13" i="10"/>
  <c r="C13" i="10"/>
  <c r="M12" i="10" a="1"/>
  <c r="M12" i="10" s="1"/>
  <c r="E12" i="10"/>
  <c r="C12" i="10"/>
  <c r="M11" i="10" a="1"/>
  <c r="M11" i="10" s="1"/>
  <c r="E11" i="10"/>
  <c r="C11" i="10"/>
  <c r="E10" i="10"/>
  <c r="C10" i="10"/>
  <c r="M9" i="10" a="1"/>
  <c r="M9" i="10" s="1"/>
  <c r="E9" i="10"/>
  <c r="C9" i="10"/>
  <c r="E8" i="10"/>
  <c r="C8" i="10"/>
  <c r="Y65" i="9"/>
  <c r="V65" i="9"/>
  <c r="Y64" i="9"/>
  <c r="Y63" i="9"/>
  <c r="V63" i="9"/>
  <c r="Y62" i="9"/>
  <c r="V62" i="9"/>
  <c r="N27" i="9" a="1"/>
  <c r="N27" i="9" s="1"/>
  <c r="N20" i="9" a="1"/>
  <c r="N20" i="9" s="1"/>
  <c r="E17" i="9"/>
  <c r="C17" i="9"/>
  <c r="E16" i="9"/>
  <c r="C16" i="9"/>
  <c r="E15" i="9"/>
  <c r="N11" i="9" s="1" a="1"/>
  <c r="N11" i="9" s="1"/>
  <c r="C15" i="9"/>
  <c r="E14" i="9"/>
  <c r="N12" i="9" s="1" a="1"/>
  <c r="N12" i="9" s="1"/>
  <c r="C14" i="9"/>
  <c r="M26" i="9" s="1" a="1"/>
  <c r="M26" i="9" s="1"/>
  <c r="E13" i="9"/>
  <c r="C13" i="9"/>
  <c r="E12" i="9"/>
  <c r="C12" i="9"/>
  <c r="E11" i="9"/>
  <c r="C11" i="9"/>
  <c r="E10" i="9"/>
  <c r="C10" i="9"/>
  <c r="N9" i="9" a="1"/>
  <c r="N9" i="9" s="1"/>
  <c r="E9" i="9"/>
  <c r="C9" i="9"/>
  <c r="E8" i="9"/>
  <c r="C8" i="9"/>
  <c r="N55" i="9" l="1" a="1"/>
  <c r="N55" i="9" s="1"/>
  <c r="N10" i="9" a="1"/>
  <c r="N10" i="9" s="1"/>
  <c r="N13" i="9" a="1"/>
  <c r="N13" i="9" s="1"/>
  <c r="N14" i="9" a="1"/>
  <c r="N14" i="9" s="1"/>
  <c r="N16" i="9" a="1"/>
  <c r="N16" i="9" s="1"/>
  <c r="M14" i="9" a="1"/>
  <c r="M14" i="9" s="1"/>
  <c r="M22" i="9" a="1"/>
  <c r="M22" i="9" s="1"/>
  <c r="N56" i="9" a="1"/>
  <c r="N56" i="9" s="1"/>
  <c r="M7" i="9" a="1"/>
  <c r="M7" i="9" s="1"/>
  <c r="Y21" i="6"/>
  <c r="Z21" i="6" s="1"/>
  <c r="Y29" i="6"/>
  <c r="Z29" i="6" s="1"/>
  <c r="Y50" i="6"/>
  <c r="AA50" i="6" s="1"/>
  <c r="W24" i="6"/>
  <c r="W40" i="6"/>
  <c r="AA40" i="6" s="1"/>
  <c r="Y12" i="6"/>
  <c r="R34" i="6"/>
  <c r="R17" i="6"/>
  <c r="Y54" i="6"/>
  <c r="AA54" i="6" s="1"/>
  <c r="R8" i="6"/>
  <c r="R35" i="6"/>
  <c r="Y39" i="6"/>
  <c r="AA39" i="6" s="1"/>
  <c r="R29" i="6"/>
  <c r="Y45" i="6"/>
  <c r="Z45" i="6" s="1"/>
  <c r="R11" i="6"/>
  <c r="R57" i="6"/>
  <c r="W37" i="6"/>
  <c r="Z37" i="6" s="1"/>
  <c r="Y8" i="6"/>
  <c r="AA8" i="6" s="1"/>
  <c r="Y27" i="6"/>
  <c r="W28" i="6"/>
  <c r="AA28" i="6" s="1"/>
  <c r="W36" i="6"/>
  <c r="W9" i="6"/>
  <c r="AA9" i="6" s="1"/>
  <c r="X6" i="6"/>
  <c r="R25" i="6"/>
  <c r="Y31" i="6"/>
  <c r="Z31" i="6" s="1"/>
  <c r="AA17" i="6"/>
  <c r="Z17" i="6"/>
  <c r="AA25" i="6"/>
  <c r="Z25" i="6"/>
  <c r="Z18" i="6"/>
  <c r="AA18" i="6"/>
  <c r="AA53" i="6"/>
  <c r="Z53" i="6"/>
  <c r="Z15" i="6"/>
  <c r="AA15" i="6"/>
  <c r="AA33" i="6"/>
  <c r="Z33" i="6"/>
  <c r="Z44" i="6"/>
  <c r="AA44" i="6"/>
  <c r="AA41" i="6"/>
  <c r="Z41" i="6"/>
  <c r="Z13" i="6"/>
  <c r="AA13" i="6"/>
  <c r="Z11" i="6"/>
  <c r="AA11" i="6"/>
  <c r="Z58" i="6"/>
  <c r="AA58" i="6"/>
  <c r="AA57" i="6"/>
  <c r="Z57" i="6"/>
  <c r="Z34" i="6"/>
  <c r="AA34" i="6"/>
  <c r="AA49" i="6"/>
  <c r="Z49" i="6"/>
  <c r="AA21" i="6"/>
  <c r="Z38" i="6"/>
  <c r="AA38" i="6"/>
  <c r="W46" i="6"/>
  <c r="Z46" i="6" s="1"/>
  <c r="R46" i="6"/>
  <c r="Y16" i="6"/>
  <c r="AA16" i="6" s="1"/>
  <c r="Y10" i="6"/>
  <c r="W19" i="6"/>
  <c r="AA19" i="6" s="1"/>
  <c r="Y47" i="6"/>
  <c r="W48" i="6"/>
  <c r="Z48" i="6" s="1"/>
  <c r="Y20" i="6"/>
  <c r="R44" i="6"/>
  <c r="R45" i="6"/>
  <c r="R16" i="6"/>
  <c r="R15" i="6"/>
  <c r="W42" i="6"/>
  <c r="W56" i="6"/>
  <c r="Z56" i="6" s="1"/>
  <c r="W7" i="6"/>
  <c r="Z7" i="6" s="1"/>
  <c r="R7" i="6"/>
  <c r="Y24" i="6"/>
  <c r="R33" i="6"/>
  <c r="Y26" i="6"/>
  <c r="Y14" i="6"/>
  <c r="W43" i="6"/>
  <c r="Z43" i="6" s="1"/>
  <c r="R50" i="6"/>
  <c r="R21" i="6"/>
  <c r="R41" i="6"/>
  <c r="Y23" i="6"/>
  <c r="R13" i="6"/>
  <c r="W52" i="6"/>
  <c r="Z52" i="6" s="1"/>
  <c r="R53" i="6"/>
  <c r="R23" i="6"/>
  <c r="W51" i="6"/>
  <c r="AA51" i="6" s="1"/>
  <c r="Y32" i="6"/>
  <c r="AA32" i="6" s="1"/>
  <c r="Y42" i="6"/>
  <c r="W6" i="6"/>
  <c r="R26" i="6"/>
  <c r="Y55" i="6"/>
  <c r="R18" i="6"/>
  <c r="Y36" i="6"/>
  <c r="R14" i="6"/>
  <c r="R31" i="6"/>
  <c r="R58" i="6"/>
  <c r="Y30" i="6"/>
  <c r="R10" i="6"/>
  <c r="W20" i="6"/>
  <c r="R30" i="6"/>
  <c r="R39" i="6"/>
  <c r="Y35" i="6"/>
  <c r="R49" i="6"/>
  <c r="R32" i="6"/>
  <c r="W12" i="6"/>
  <c r="R38" i="6"/>
  <c r="R55" i="6"/>
  <c r="W27" i="6"/>
  <c r="W47" i="6"/>
  <c r="R47" i="6"/>
  <c r="W22" i="6"/>
  <c r="AA22" i="6" s="1"/>
  <c r="R22" i="6"/>
  <c r="R54" i="6"/>
  <c r="G7" i="6"/>
  <c r="K62" i="9"/>
  <c r="K64" i="9"/>
  <c r="L62" i="9"/>
  <c r="L64" i="9"/>
  <c r="K63" i="9"/>
  <c r="V3" i="9"/>
  <c r="L63" i="9"/>
  <c r="O65" i="9"/>
  <c r="P14" i="9"/>
  <c r="N11" i="10" a="1"/>
  <c r="N11" i="10" s="1"/>
  <c r="M12" i="9" a="1"/>
  <c r="M12" i="9" s="1"/>
  <c r="P12" i="9" s="1"/>
  <c r="M54" i="9" a="1"/>
  <c r="M54" i="9" s="1"/>
  <c r="N7" i="9" a="1"/>
  <c r="N7" i="9" s="1"/>
  <c r="M17" i="9" a="1"/>
  <c r="M17" i="9" s="1"/>
  <c r="N28" i="9" a="1"/>
  <c r="N28" i="9" s="1"/>
  <c r="M29" i="9" a="1"/>
  <c r="M29" i="9" s="1"/>
  <c r="N26" i="10" a="1"/>
  <c r="N26" i="10" s="1"/>
  <c r="M21" i="9" a="1"/>
  <c r="M21" i="9" s="1"/>
  <c r="M10" i="9" a="1"/>
  <c r="M10" i="9" s="1"/>
  <c r="P10" i="9" s="1"/>
  <c r="N22" i="9" a="1"/>
  <c r="N22" i="9" s="1"/>
  <c r="P22" i="9" s="1"/>
  <c r="M23" i="9" a="1"/>
  <c r="M23" i="9" s="1"/>
  <c r="N53" i="9" a="1"/>
  <c r="N53" i="9" s="1"/>
  <c r="M28" i="9" a="1"/>
  <c r="M28" i="9" s="1"/>
  <c r="N56" i="10" a="1"/>
  <c r="N56" i="10" s="1"/>
  <c r="N59" i="10" a="1"/>
  <c r="N59" i="10" s="1"/>
  <c r="N58" i="10" a="1"/>
  <c r="N58" i="10" s="1"/>
  <c r="N57" i="10" a="1"/>
  <c r="N57" i="10" s="1"/>
  <c r="N51" i="10" a="1"/>
  <c r="N51" i="10" s="1"/>
  <c r="N47" i="10" a="1"/>
  <c r="N47" i="10" s="1"/>
  <c r="N43" i="10" a="1"/>
  <c r="N43" i="10" s="1"/>
  <c r="N54" i="10" a="1"/>
  <c r="N54" i="10" s="1"/>
  <c r="N49" i="10" a="1"/>
  <c r="N49" i="10" s="1"/>
  <c r="N22" i="10" a="1"/>
  <c r="N22" i="10" s="1"/>
  <c r="N18" i="10" a="1"/>
  <c r="N18" i="10" s="1"/>
  <c r="N42" i="10" a="1"/>
  <c r="N42" i="10" s="1"/>
  <c r="N41" i="10" a="1"/>
  <c r="N41" i="10" s="1"/>
  <c r="N40" i="10" a="1"/>
  <c r="N40" i="10" s="1"/>
  <c r="N55" i="10" a="1"/>
  <c r="N55" i="10" s="1"/>
  <c r="N45" i="10" a="1"/>
  <c r="N45" i="10" s="1"/>
  <c r="N30" i="10" a="1"/>
  <c r="N30" i="10" s="1"/>
  <c r="N20" i="10" a="1"/>
  <c r="N20" i="10" s="1"/>
  <c r="N10" i="10" a="1"/>
  <c r="N10" i="10" s="1"/>
  <c r="N29" i="10" a="1"/>
  <c r="N29" i="10" s="1"/>
  <c r="N17" i="10" a="1"/>
  <c r="N17" i="10" s="1"/>
  <c r="N46" i="10" a="1"/>
  <c r="N46" i="10" s="1"/>
  <c r="N28" i="10" a="1"/>
  <c r="N28" i="10" s="1"/>
  <c r="N12" i="10" a="1"/>
  <c r="N12" i="10" s="1"/>
  <c r="N36" i="10" a="1"/>
  <c r="N36" i="10" s="1"/>
  <c r="N31" i="10" a="1"/>
  <c r="N31" i="10" s="1"/>
  <c r="N52" i="10" a="1"/>
  <c r="N52" i="10" s="1"/>
  <c r="N50" i="10" a="1"/>
  <c r="N50" i="10" s="1"/>
  <c r="N48" i="10" a="1"/>
  <c r="N48" i="10" s="1"/>
  <c r="N24" i="10" a="1"/>
  <c r="N24" i="10" s="1"/>
  <c r="N19" i="10" a="1"/>
  <c r="N19" i="10" s="1"/>
  <c r="N44" i="10" a="1"/>
  <c r="N44" i="10" s="1"/>
  <c r="N16" i="10" a="1"/>
  <c r="N16" i="10" s="1"/>
  <c r="N38" i="10" a="1"/>
  <c r="N38" i="10" s="1"/>
  <c r="N34" i="10" a="1"/>
  <c r="N34" i="10" s="1"/>
  <c r="N15" i="10" a="1"/>
  <c r="N15" i="10" s="1"/>
  <c r="N14" i="10" a="1"/>
  <c r="N14" i="10" s="1"/>
  <c r="N53" i="10" a="1"/>
  <c r="N53" i="10" s="1"/>
  <c r="N25" i="10" a="1"/>
  <c r="N25" i="10" s="1"/>
  <c r="N21" i="10" a="1"/>
  <c r="N21" i="10" s="1"/>
  <c r="N13" i="10" a="1"/>
  <c r="N13" i="10" s="1"/>
  <c r="N39" i="10" a="1"/>
  <c r="N39" i="10" s="1"/>
  <c r="O62" i="9"/>
  <c r="O64" i="9"/>
  <c r="O63" i="9"/>
  <c r="M15" i="9" a="1"/>
  <c r="M15" i="9" s="1"/>
  <c r="N17" i="9" a="1"/>
  <c r="N17" i="9" s="1"/>
  <c r="N30" i="9" a="1"/>
  <c r="N30" i="9" s="1"/>
  <c r="M31" i="9" a="1"/>
  <c r="M31" i="9" s="1"/>
  <c r="M8" i="9" a="1"/>
  <c r="M8" i="9" s="1"/>
  <c r="M18" i="9" a="1"/>
  <c r="M18" i="9" s="1"/>
  <c r="N23" i="9" a="1"/>
  <c r="N23" i="9" s="1"/>
  <c r="M24" i="9" a="1"/>
  <c r="M24" i="9" s="1"/>
  <c r="M32" i="9" a="1"/>
  <c r="M32" i="9" s="1"/>
  <c r="M36" i="9" a="1"/>
  <c r="M36" i="9" s="1"/>
  <c r="M38" i="9" a="1"/>
  <c r="M38" i="9" s="1"/>
  <c r="M39" i="9" a="1"/>
  <c r="M39" i="9" s="1"/>
  <c r="M41" i="9" a="1"/>
  <c r="M41" i="9" s="1"/>
  <c r="M42" i="9" a="1"/>
  <c r="M42" i="9" s="1"/>
  <c r="M43" i="9" a="1"/>
  <c r="M43" i="9" s="1"/>
  <c r="M44" i="9" a="1"/>
  <c r="M44" i="9" s="1"/>
  <c r="M48" i="9" a="1"/>
  <c r="M48" i="9" s="1"/>
  <c r="M50" i="9" a="1"/>
  <c r="M50" i="9" s="1"/>
  <c r="M51" i="9" a="1"/>
  <c r="M51" i="9" s="1"/>
  <c r="N33" i="10" a="1"/>
  <c r="N33" i="10" s="1"/>
  <c r="M13" i="9" a="1"/>
  <c r="M13" i="9" s="1"/>
  <c r="P13" i="9" s="1"/>
  <c r="N15" i="9" a="1"/>
  <c r="N15" i="9" s="1"/>
  <c r="N31" i="9" a="1"/>
  <c r="N31" i="9" s="1"/>
  <c r="M33" i="9" a="1"/>
  <c r="M33" i="9" s="1"/>
  <c r="M34" i="9" a="1"/>
  <c r="M34" i="9" s="1"/>
  <c r="N35" i="9" a="1"/>
  <c r="N35" i="9" s="1"/>
  <c r="M37" i="9" a="1"/>
  <c r="M37" i="9" s="1"/>
  <c r="M40" i="9" a="1"/>
  <c r="M40" i="9" s="1"/>
  <c r="N41" i="9" a="1"/>
  <c r="N41" i="9" s="1"/>
  <c r="M45" i="9" a="1"/>
  <c r="M45" i="9" s="1"/>
  <c r="M46" i="9" a="1"/>
  <c r="M46" i="9" s="1"/>
  <c r="N47" i="9" a="1"/>
  <c r="N47" i="9" s="1"/>
  <c r="M49" i="9" a="1"/>
  <c r="M49" i="9" s="1"/>
  <c r="N57" i="9" a="1"/>
  <c r="N57" i="9" s="1"/>
  <c r="N35" i="10" a="1"/>
  <c r="N35" i="10" s="1"/>
  <c r="N8" i="9" a="1"/>
  <c r="N8" i="9" s="1"/>
  <c r="N18" i="9" a="1"/>
  <c r="N18" i="9" s="1"/>
  <c r="N24" i="9" a="1"/>
  <c r="N24" i="9" s="1"/>
  <c r="M25" i="9" a="1"/>
  <c r="M25" i="9" s="1"/>
  <c r="N32" i="9" a="1"/>
  <c r="N32" i="9" s="1"/>
  <c r="N33" i="9" a="1"/>
  <c r="N33" i="9" s="1"/>
  <c r="N36" i="9" a="1"/>
  <c r="N36" i="9" s="1"/>
  <c r="N37" i="9" a="1"/>
  <c r="N37" i="9" s="1"/>
  <c r="N38" i="9" a="1"/>
  <c r="N38" i="9" s="1"/>
  <c r="N39" i="9" a="1"/>
  <c r="N39" i="9" s="1"/>
  <c r="N42" i="9" a="1"/>
  <c r="N42" i="9" s="1"/>
  <c r="N43" i="9" a="1"/>
  <c r="N43" i="9" s="1"/>
  <c r="N44" i="9" a="1"/>
  <c r="N44" i="9" s="1"/>
  <c r="N45" i="9" a="1"/>
  <c r="N45" i="9" s="1"/>
  <c r="N48" i="9" a="1"/>
  <c r="N48" i="9" s="1"/>
  <c r="N49" i="9" a="1"/>
  <c r="N49" i="9" s="1"/>
  <c r="N50" i="9" a="1"/>
  <c r="N50" i="9" s="1"/>
  <c r="N27" i="10" a="1"/>
  <c r="N27" i="10" s="1"/>
  <c r="M11" i="9" a="1"/>
  <c r="M11" i="9" s="1"/>
  <c r="P11" i="9" s="1"/>
  <c r="M19" i="9" a="1"/>
  <c r="M19" i="9" s="1"/>
  <c r="M57" i="9" a="1"/>
  <c r="M57" i="9" s="1"/>
  <c r="M53" i="9" a="1"/>
  <c r="M53" i="9" s="1"/>
  <c r="M58" i="9" a="1"/>
  <c r="M58" i="9" s="1"/>
  <c r="M56" i="9" a="1"/>
  <c r="M56" i="9" s="1"/>
  <c r="P56" i="9" s="1"/>
  <c r="M55" i="9" a="1"/>
  <c r="M55" i="9" s="1"/>
  <c r="P55" i="9" s="1"/>
  <c r="M47" i="9" a="1"/>
  <c r="M47" i="9" s="1"/>
  <c r="M35" i="9" a="1"/>
  <c r="M35" i="9" s="1"/>
  <c r="M30" i="9" a="1"/>
  <c r="M30" i="9" s="1"/>
  <c r="M59" i="9" a="1"/>
  <c r="M59" i="9" s="1"/>
  <c r="M52" i="9" a="1"/>
  <c r="M52" i="9" s="1"/>
  <c r="M16" i="9" a="1"/>
  <c r="M16" i="9" s="1"/>
  <c r="P16" i="9" s="1"/>
  <c r="N9" i="10" a="1"/>
  <c r="N9" i="10" s="1"/>
  <c r="N23" i="10" a="1"/>
  <c r="N23" i="10" s="1"/>
  <c r="M9" i="9" a="1"/>
  <c r="M9" i="9" s="1"/>
  <c r="P9" i="9" s="1"/>
  <c r="N58" i="9" a="1"/>
  <c r="N58" i="9" s="1"/>
  <c r="N54" i="9" a="1"/>
  <c r="N54" i="9" s="1"/>
  <c r="N59" i="9" a="1"/>
  <c r="N59" i="9" s="1"/>
  <c r="N52" i="9" a="1"/>
  <c r="N52" i="9" s="1"/>
  <c r="N46" i="9" a="1"/>
  <c r="N46" i="9" s="1"/>
  <c r="N40" i="9" a="1"/>
  <c r="N40" i="9" s="1"/>
  <c r="N34" i="9" a="1"/>
  <c r="N34" i="9" s="1"/>
  <c r="N29" i="9" a="1"/>
  <c r="N29" i="9" s="1"/>
  <c r="N25" i="9" a="1"/>
  <c r="N25" i="9" s="1"/>
  <c r="N21" i="9" a="1"/>
  <c r="N21" i="9" s="1"/>
  <c r="N51" i="9" a="1"/>
  <c r="N51" i="9" s="1"/>
  <c r="N19" i="9" a="1"/>
  <c r="N19" i="9" s="1"/>
  <c r="M20" i="9" a="1"/>
  <c r="M20" i="9" s="1"/>
  <c r="P20" i="9" s="1"/>
  <c r="N26" i="9" a="1"/>
  <c r="N26" i="9" s="1"/>
  <c r="P26" i="9" s="1"/>
  <c r="M27" i="9" a="1"/>
  <c r="M27" i="9" s="1"/>
  <c r="P27" i="9" s="1"/>
  <c r="N8" i="10" a="1"/>
  <c r="N8" i="10" s="1"/>
  <c r="N32" i="10" a="1"/>
  <c r="N32" i="10" s="1"/>
  <c r="M42" i="10" a="1"/>
  <c r="M42" i="10" s="1"/>
  <c r="M49" i="10" a="1"/>
  <c r="M49" i="10" s="1"/>
  <c r="M8" i="10" a="1"/>
  <c r="M8" i="10" s="1"/>
  <c r="M15" i="10" a="1"/>
  <c r="M15" i="10" s="1"/>
  <c r="M20" i="10" a="1"/>
  <c r="M20" i="10" s="1"/>
  <c r="M10" i="10" a="1"/>
  <c r="M10" i="10" s="1"/>
  <c r="M47" i="10" a="1"/>
  <c r="M47" i="10" s="1"/>
  <c r="M34" i="10" a="1"/>
  <c r="M34" i="10" s="1"/>
  <c r="M38" i="10" a="1"/>
  <c r="M38" i="10" s="1"/>
  <c r="M18" i="10" a="1"/>
  <c r="M18" i="10" s="1"/>
  <c r="M19" i="10" a="1"/>
  <c r="M19" i="10" s="1"/>
  <c r="M41" i="10" a="1"/>
  <c r="M41" i="10" s="1"/>
  <c r="M17" i="10" a="1"/>
  <c r="M17" i="10" s="1"/>
  <c r="M24" i="10" a="1"/>
  <c r="M24" i="10" s="1"/>
  <c r="M29" i="10" a="1"/>
  <c r="M29" i="10" s="1"/>
  <c r="M33" i="10" a="1"/>
  <c r="M33" i="10" s="1"/>
  <c r="M37" i="10" a="1"/>
  <c r="M37" i="10" s="1"/>
  <c r="M56" i="10" a="1"/>
  <c r="M56" i="10" s="1"/>
  <c r="M45" i="10" a="1"/>
  <c r="M45" i="10" s="1"/>
  <c r="O65" i="10"/>
  <c r="O64" i="10"/>
  <c r="O62" i="10"/>
  <c r="O63" i="10"/>
  <c r="M30" i="10" a="1"/>
  <c r="M30" i="10" s="1"/>
  <c r="M31" i="10" a="1"/>
  <c r="M31" i="10" s="1"/>
  <c r="M51" i="10" a="1"/>
  <c r="M51" i="10" s="1"/>
  <c r="M59" i="10" a="1"/>
  <c r="M59" i="10" s="1"/>
  <c r="M58" i="10" a="1"/>
  <c r="M58" i="10" s="1"/>
  <c r="M57" i="10" a="1"/>
  <c r="M57" i="10" s="1"/>
  <c r="M55" i="10" a="1"/>
  <c r="M55" i="10" s="1"/>
  <c r="M54" i="10" a="1"/>
  <c r="M54" i="10" s="1"/>
  <c r="M50" i="10" a="1"/>
  <c r="M50" i="10" s="1"/>
  <c r="M46" i="10" a="1"/>
  <c r="M46" i="10" s="1"/>
  <c r="M16" i="10" a="1"/>
  <c r="M16" i="10" s="1"/>
  <c r="V54" i="6" l="1"/>
  <c r="U26" i="6"/>
  <c r="U10" i="6"/>
  <c r="R13" i="9"/>
  <c r="S13" i="9" s="1"/>
  <c r="Q13" i="9"/>
  <c r="N12" i="6"/>
  <c r="T12" i="6" s="1"/>
  <c r="R14" i="9"/>
  <c r="S14" i="9" s="1"/>
  <c r="Q14" i="9"/>
  <c r="N13" i="6"/>
  <c r="T13" i="6" s="1"/>
  <c r="U13" i="6" s="1"/>
  <c r="Q27" i="9"/>
  <c r="N26" i="6"/>
  <c r="T26" i="6" s="1"/>
  <c r="R27" i="9"/>
  <c r="S27" i="9" s="1"/>
  <c r="Q9" i="9"/>
  <c r="N8" i="6"/>
  <c r="T8" i="6" s="1"/>
  <c r="U8" i="6" s="1"/>
  <c r="R9" i="9"/>
  <c r="S9" i="9" s="1"/>
  <c r="N21" i="6"/>
  <c r="T21" i="6" s="1"/>
  <c r="U21" i="6" s="1"/>
  <c r="R22" i="9"/>
  <c r="S22" i="9" s="1"/>
  <c r="Q22" i="9"/>
  <c r="N19" i="6"/>
  <c r="T19" i="6" s="1"/>
  <c r="R20" i="9"/>
  <c r="S20" i="9" s="1"/>
  <c r="Q20" i="9"/>
  <c r="P30" i="9"/>
  <c r="Q10" i="9"/>
  <c r="N9" i="6"/>
  <c r="T9" i="6" s="1"/>
  <c r="R10" i="9"/>
  <c r="S10" i="9" s="1"/>
  <c r="P7" i="9"/>
  <c r="Q26" i="9"/>
  <c r="N25" i="6"/>
  <c r="T25" i="6" s="1"/>
  <c r="V25" i="6" s="1"/>
  <c r="R26" i="9"/>
  <c r="S26" i="9" s="1"/>
  <c r="Q56" i="9"/>
  <c r="N55" i="6"/>
  <c r="T55" i="6" s="1"/>
  <c r="U55" i="6" s="1"/>
  <c r="R56" i="9"/>
  <c r="S56" i="9" s="1"/>
  <c r="R16" i="9"/>
  <c r="S16" i="9" s="1"/>
  <c r="Q16" i="9"/>
  <c r="N15" i="6"/>
  <c r="T15" i="6" s="1"/>
  <c r="N54" i="6"/>
  <c r="T54" i="6" s="1"/>
  <c r="R55" i="9"/>
  <c r="S55" i="9" s="1"/>
  <c r="Q55" i="9"/>
  <c r="Q12" i="9"/>
  <c r="N11" i="6"/>
  <c r="T11" i="6" s="1"/>
  <c r="U11" i="6" s="1"/>
  <c r="R12" i="9"/>
  <c r="S12" i="9" s="1"/>
  <c r="P53" i="9"/>
  <c r="Q11" i="9"/>
  <c r="N10" i="6"/>
  <c r="T10" i="6" s="1"/>
  <c r="R11" i="9"/>
  <c r="S11" i="9" s="1"/>
  <c r="Z54" i="6"/>
  <c r="Z39" i="6"/>
  <c r="Z16" i="6"/>
  <c r="Z40" i="6"/>
  <c r="Z8" i="6"/>
  <c r="Z61" i="6" s="1"/>
  <c r="AA37" i="6"/>
  <c r="AA29" i="6"/>
  <c r="AA31" i="6"/>
  <c r="AA48" i="6"/>
  <c r="AA56" i="6"/>
  <c r="V26" i="6"/>
  <c r="Z50" i="6"/>
  <c r="Z51" i="6"/>
  <c r="AA12" i="6"/>
  <c r="AA24" i="6"/>
  <c r="AA45" i="6"/>
  <c r="Z19" i="6"/>
  <c r="Z32" i="6"/>
  <c r="Z28" i="6"/>
  <c r="Z9" i="6"/>
  <c r="AA27" i="6"/>
  <c r="AA7" i="6"/>
  <c r="Z24" i="6"/>
  <c r="Z36" i="6"/>
  <c r="AA36" i="6"/>
  <c r="Z10" i="6"/>
  <c r="AA10" i="6"/>
  <c r="Z55" i="6"/>
  <c r="AA55" i="6"/>
  <c r="Z14" i="6"/>
  <c r="AA14" i="6"/>
  <c r="AA43" i="6"/>
  <c r="AA26" i="6"/>
  <c r="Z26" i="6"/>
  <c r="AA20" i="6"/>
  <c r="Z20" i="6"/>
  <c r="Y59" i="6"/>
  <c r="V10" i="6"/>
  <c r="V19" i="6"/>
  <c r="AA30" i="6"/>
  <c r="Z30" i="6"/>
  <c r="AA42" i="6"/>
  <c r="Z42" i="6"/>
  <c r="V13" i="6"/>
  <c r="U15" i="6"/>
  <c r="V15" i="6"/>
  <c r="Z22" i="6"/>
  <c r="U54" i="6"/>
  <c r="AA46" i="6"/>
  <c r="Z35" i="6"/>
  <c r="AA35" i="6"/>
  <c r="Z23" i="6"/>
  <c r="AA23" i="6"/>
  <c r="Z12" i="6"/>
  <c r="U19" i="6"/>
  <c r="Z27" i="6"/>
  <c r="Z47" i="6"/>
  <c r="AA47" i="6"/>
  <c r="AA52" i="6"/>
  <c r="W59" i="6"/>
  <c r="M63" i="10"/>
  <c r="P33" i="9"/>
  <c r="P29" i="9"/>
  <c r="P50" i="9"/>
  <c r="P36" i="9"/>
  <c r="P21" i="9"/>
  <c r="P37" i="9"/>
  <c r="P59" i="9"/>
  <c r="P34" i="9"/>
  <c r="P32" i="9"/>
  <c r="P28" i="9"/>
  <c r="P25" i="9"/>
  <c r="P43" i="9"/>
  <c r="P44" i="9"/>
  <c r="P47" i="9"/>
  <c r="P42" i="9"/>
  <c r="P18" i="9"/>
  <c r="P41" i="9"/>
  <c r="P8" i="9"/>
  <c r="P40" i="9"/>
  <c r="P48" i="9"/>
  <c r="P52" i="9"/>
  <c r="M65" i="10"/>
  <c r="P19" i="9"/>
  <c r="N63" i="10"/>
  <c r="N62" i="10"/>
  <c r="N64" i="10"/>
  <c r="N65" i="10"/>
  <c r="P31" i="9"/>
  <c r="M62" i="10"/>
  <c r="P58" i="9"/>
  <c r="P49" i="9"/>
  <c r="P38" i="9"/>
  <c r="P35" i="9"/>
  <c r="P15" i="9"/>
  <c r="P17" i="9"/>
  <c r="P57" i="9"/>
  <c r="P46" i="9"/>
  <c r="N63" i="9"/>
  <c r="N62" i="9"/>
  <c r="N65" i="9"/>
  <c r="N64" i="9"/>
  <c r="M63" i="9"/>
  <c r="M64" i="10"/>
  <c r="P45" i="9"/>
  <c r="P24" i="9"/>
  <c r="P23" i="9"/>
  <c r="M64" i="9"/>
  <c r="M62" i="9"/>
  <c r="P39" i="9"/>
  <c r="P51" i="9"/>
  <c r="P54" i="9"/>
  <c r="M65" i="9"/>
  <c r="V21" i="6" l="1"/>
  <c r="V8" i="6"/>
  <c r="U12" i="6"/>
  <c r="V12" i="6"/>
  <c r="V55" i="6"/>
  <c r="U9" i="6"/>
  <c r="V9" i="6"/>
  <c r="V11" i="6"/>
  <c r="U25" i="6"/>
  <c r="N35" i="6"/>
  <c r="T35" i="6" s="1"/>
  <c r="R36" i="9"/>
  <c r="S36" i="9" s="1"/>
  <c r="Q36" i="9"/>
  <c r="R48" i="9"/>
  <c r="S48" i="9" s="1"/>
  <c r="Q48" i="9"/>
  <c r="N47" i="6"/>
  <c r="T47" i="6" s="1"/>
  <c r="Q40" i="9"/>
  <c r="N39" i="6"/>
  <c r="T39" i="6" s="1"/>
  <c r="R40" i="9"/>
  <c r="S40" i="9" s="1"/>
  <c r="R15" i="9"/>
  <c r="S15" i="9" s="1"/>
  <c r="Q15" i="9"/>
  <c r="N14" i="6"/>
  <c r="T14" i="6" s="1"/>
  <c r="Q41" i="9"/>
  <c r="N40" i="6"/>
  <c r="T40" i="6" s="1"/>
  <c r="R41" i="9"/>
  <c r="S41" i="9" s="1"/>
  <c r="N53" i="6"/>
  <c r="T53" i="6" s="1"/>
  <c r="R54" i="9"/>
  <c r="S54" i="9" s="1"/>
  <c r="Q54" i="9"/>
  <c r="N22" i="6"/>
  <c r="T22" i="6" s="1"/>
  <c r="R23" i="9"/>
  <c r="S23" i="9" s="1"/>
  <c r="Q23" i="9"/>
  <c r="Q44" i="9"/>
  <c r="N43" i="6"/>
  <c r="T43" i="6" s="1"/>
  <c r="R44" i="9"/>
  <c r="S44" i="9" s="1"/>
  <c r="N17" i="6"/>
  <c r="T17" i="6" s="1"/>
  <c r="R18" i="9"/>
  <c r="S18" i="9" s="1"/>
  <c r="Q18" i="9"/>
  <c r="Q58" i="9"/>
  <c r="N57" i="6"/>
  <c r="T57" i="6" s="1"/>
  <c r="R58" i="9"/>
  <c r="S58" i="9" s="1"/>
  <c r="R45" i="9"/>
  <c r="S45" i="9" s="1"/>
  <c r="Q45" i="9"/>
  <c r="N44" i="6"/>
  <c r="T44" i="6" s="1"/>
  <c r="Q25" i="9"/>
  <c r="N24" i="6"/>
  <c r="T24" i="6" s="1"/>
  <c r="R25" i="9"/>
  <c r="S25" i="9" s="1"/>
  <c r="N52" i="6"/>
  <c r="T52" i="6" s="1"/>
  <c r="R53" i="9"/>
  <c r="S53" i="9" s="1"/>
  <c r="Q53" i="9"/>
  <c r="Q7" i="9"/>
  <c r="W7" i="9" s="1"/>
  <c r="N6" i="6"/>
  <c r="R7" i="9"/>
  <c r="S7" i="9" s="1"/>
  <c r="X7" i="9" s="1"/>
  <c r="R49" i="9"/>
  <c r="S49" i="9" s="1"/>
  <c r="Q49" i="9"/>
  <c r="N48" i="6"/>
  <c r="T48" i="6" s="1"/>
  <c r="R31" i="9"/>
  <c r="S31" i="9" s="1"/>
  <c r="Q31" i="9"/>
  <c r="N30" i="6"/>
  <c r="T30" i="6" s="1"/>
  <c r="N38" i="6"/>
  <c r="T38" i="6" s="1"/>
  <c r="R39" i="9"/>
  <c r="S39" i="9" s="1"/>
  <c r="Q39" i="9"/>
  <c r="N37" i="6"/>
  <c r="T37" i="6" s="1"/>
  <c r="R38" i="9"/>
  <c r="S38" i="9" s="1"/>
  <c r="Q38" i="9"/>
  <c r="R47" i="9"/>
  <c r="S47" i="9" s="1"/>
  <c r="Q47" i="9"/>
  <c r="N46" i="6"/>
  <c r="T46" i="6" s="1"/>
  <c r="Q28" i="9"/>
  <c r="N27" i="6"/>
  <c r="T27" i="6" s="1"/>
  <c r="R28" i="9"/>
  <c r="S28" i="9" s="1"/>
  <c r="Q57" i="9"/>
  <c r="N56" i="6"/>
  <c r="T56" i="6" s="1"/>
  <c r="R57" i="9"/>
  <c r="S57" i="9" s="1"/>
  <c r="R17" i="9"/>
  <c r="S17" i="9" s="1"/>
  <c r="Q17" i="9"/>
  <c r="N16" i="6"/>
  <c r="T16" i="6" s="1"/>
  <c r="N50" i="6"/>
  <c r="T50" i="6" s="1"/>
  <c r="R51" i="9"/>
  <c r="S51" i="9" s="1"/>
  <c r="Q51" i="9"/>
  <c r="N34" i="6"/>
  <c r="T34" i="6" s="1"/>
  <c r="R35" i="9"/>
  <c r="S35" i="9" s="1"/>
  <c r="Q35" i="9"/>
  <c r="N33" i="6"/>
  <c r="T33" i="6" s="1"/>
  <c r="R34" i="9"/>
  <c r="S34" i="9" s="1"/>
  <c r="Q34" i="9"/>
  <c r="N18" i="6"/>
  <c r="T18" i="6" s="1"/>
  <c r="R19" i="9"/>
  <c r="S19" i="9" s="1"/>
  <c r="Q19" i="9"/>
  <c r="R30" i="9"/>
  <c r="S30" i="9" s="1"/>
  <c r="Q30" i="9"/>
  <c r="N29" i="6"/>
  <c r="T29" i="6" s="1"/>
  <c r="Q8" i="9"/>
  <c r="N7" i="6"/>
  <c r="T7" i="6" s="1"/>
  <c r="R8" i="9"/>
  <c r="S8" i="9" s="1"/>
  <c r="R33" i="9"/>
  <c r="S33" i="9" s="1"/>
  <c r="Q33" i="9"/>
  <c r="N32" i="6"/>
  <c r="T32" i="6" s="1"/>
  <c r="Q42" i="9"/>
  <c r="N41" i="6"/>
  <c r="T41" i="6" s="1"/>
  <c r="R42" i="9"/>
  <c r="S42" i="9" s="1"/>
  <c r="Q24" i="9"/>
  <c r="N23" i="6"/>
  <c r="T23" i="6" s="1"/>
  <c r="R24" i="9"/>
  <c r="S24" i="9" s="1"/>
  <c r="Q43" i="9"/>
  <c r="N42" i="6"/>
  <c r="T42" i="6" s="1"/>
  <c r="R43" i="9"/>
  <c r="S43" i="9" s="1"/>
  <c r="N36" i="6"/>
  <c r="T36" i="6" s="1"/>
  <c r="R37" i="9"/>
  <c r="S37" i="9" s="1"/>
  <c r="Q37" i="9"/>
  <c r="N49" i="6"/>
  <c r="T49" i="6" s="1"/>
  <c r="R50" i="9"/>
  <c r="S50" i="9" s="1"/>
  <c r="Q50" i="9"/>
  <c r="R29" i="9"/>
  <c r="S29" i="9" s="1"/>
  <c r="Q29" i="9"/>
  <c r="N28" i="6"/>
  <c r="T28" i="6" s="1"/>
  <c r="R32" i="9"/>
  <c r="S32" i="9" s="1"/>
  <c r="Q32" i="9"/>
  <c r="N31" i="6"/>
  <c r="T31" i="6" s="1"/>
  <c r="Q59" i="9"/>
  <c r="N58" i="6"/>
  <c r="T58" i="6" s="1"/>
  <c r="R59" i="9"/>
  <c r="S59" i="9" s="1"/>
  <c r="R46" i="9"/>
  <c r="S46" i="9" s="1"/>
  <c r="Q46" i="9"/>
  <c r="N45" i="6"/>
  <c r="T45" i="6" s="1"/>
  <c r="N51" i="6"/>
  <c r="T51" i="6" s="1"/>
  <c r="R52" i="9"/>
  <c r="S52" i="9" s="1"/>
  <c r="Q52" i="9"/>
  <c r="N20" i="6"/>
  <c r="T20" i="6" s="1"/>
  <c r="R21" i="9"/>
  <c r="S21" i="9" s="1"/>
  <c r="Q21" i="9"/>
  <c r="Z59" i="6"/>
  <c r="Z3" i="6" s="1"/>
  <c r="T7" i="9"/>
  <c r="P62" i="10"/>
  <c r="P65" i="9"/>
  <c r="P64" i="9"/>
  <c r="P65" i="10"/>
  <c r="P63" i="10"/>
  <c r="P62" i="9"/>
  <c r="P63" i="9"/>
  <c r="P64" i="10"/>
  <c r="V34" i="6" l="1"/>
  <c r="U34" i="6"/>
  <c r="V43" i="6"/>
  <c r="U43" i="6"/>
  <c r="V7" i="6"/>
  <c r="U7" i="6"/>
  <c r="U61" i="6" s="1"/>
  <c r="U29" i="6"/>
  <c r="V29" i="6"/>
  <c r="V44" i="6"/>
  <c r="U44" i="6"/>
  <c r="U32" i="6"/>
  <c r="V32" i="6"/>
  <c r="U37" i="6"/>
  <c r="V37" i="6"/>
  <c r="V35" i="6"/>
  <c r="U35" i="6"/>
  <c r="V20" i="6"/>
  <c r="U20" i="6"/>
  <c r="U49" i="6"/>
  <c r="V49" i="6"/>
  <c r="V16" i="6"/>
  <c r="U16" i="6"/>
  <c r="U48" i="6"/>
  <c r="V48" i="6"/>
  <c r="U52" i="6"/>
  <c r="V52" i="6"/>
  <c r="U51" i="6"/>
  <c r="V51" i="6"/>
  <c r="U24" i="6"/>
  <c r="V24" i="6"/>
  <c r="U45" i="6"/>
  <c r="V45" i="6"/>
  <c r="V38" i="6"/>
  <c r="U38" i="6"/>
  <c r="U30" i="6"/>
  <c r="V30" i="6"/>
  <c r="V42" i="6"/>
  <c r="U42" i="6"/>
  <c r="V56" i="6"/>
  <c r="U56" i="6"/>
  <c r="V57" i="6"/>
  <c r="U57" i="6"/>
  <c r="U31" i="6"/>
  <c r="V31" i="6"/>
  <c r="U18" i="6"/>
  <c r="V18" i="6"/>
  <c r="U28" i="6"/>
  <c r="V28" i="6"/>
  <c r="V46" i="6"/>
  <c r="U46" i="6"/>
  <c r="V17" i="6"/>
  <c r="U17" i="6"/>
  <c r="V47" i="6"/>
  <c r="U47" i="6"/>
  <c r="V50" i="6"/>
  <c r="U50" i="6"/>
  <c r="V22" i="6"/>
  <c r="U22" i="6"/>
  <c r="U36" i="6"/>
  <c r="V36" i="6"/>
  <c r="U53" i="6"/>
  <c r="V53" i="6"/>
  <c r="U58" i="6"/>
  <c r="V58" i="6"/>
  <c r="V40" i="6"/>
  <c r="U40" i="6"/>
  <c r="V23" i="6"/>
  <c r="U23" i="6"/>
  <c r="U14" i="6"/>
  <c r="V14" i="6"/>
  <c r="V27" i="6"/>
  <c r="U27" i="6"/>
  <c r="U41" i="6"/>
  <c r="V41" i="6"/>
  <c r="U33" i="6"/>
  <c r="V33" i="6"/>
  <c r="T6" i="6"/>
  <c r="T59" i="6" s="1"/>
  <c r="T3" i="6" s="1"/>
  <c r="S6" i="6"/>
  <c r="U39" i="6"/>
  <c r="V39" i="6"/>
  <c r="R65" i="10"/>
  <c r="R62" i="9"/>
  <c r="R63" i="10"/>
  <c r="R65" i="9"/>
  <c r="R64" i="10"/>
  <c r="R62" i="10"/>
  <c r="R63" i="9"/>
  <c r="R64" i="9"/>
  <c r="K137" i="8" l="1"/>
  <c r="I137" i="8"/>
  <c r="H137" i="8"/>
  <c r="G137" i="8"/>
  <c r="F137" i="8"/>
  <c r="E137" i="8"/>
  <c r="D137" i="8"/>
  <c r="C137" i="8"/>
  <c r="N136" i="8"/>
  <c r="J136" i="8"/>
  <c r="L136" i="8" s="1"/>
  <c r="N135" i="8"/>
  <c r="J135" i="8"/>
  <c r="N134" i="8"/>
  <c r="J134" i="8"/>
  <c r="O134" i="8" s="1"/>
  <c r="O133" i="8"/>
  <c r="N133" i="8"/>
  <c r="J133" i="8"/>
  <c r="L133" i="8" s="1"/>
  <c r="N132" i="8"/>
  <c r="J132" i="8"/>
  <c r="N131" i="8"/>
  <c r="J131" i="8"/>
  <c r="O131" i="8" s="1"/>
  <c r="O130" i="8"/>
  <c r="N130" i="8"/>
  <c r="J130" i="8"/>
  <c r="L130" i="8" s="1"/>
  <c r="Q130" i="8" s="1"/>
  <c r="N129" i="8"/>
  <c r="J129" i="8"/>
  <c r="N128" i="8"/>
  <c r="J128" i="8"/>
  <c r="O128" i="8" s="1"/>
  <c r="O127" i="8"/>
  <c r="N127" i="8"/>
  <c r="J127" i="8"/>
  <c r="L127" i="8" s="1"/>
  <c r="N126" i="8"/>
  <c r="J126" i="8"/>
  <c r="N125" i="8"/>
  <c r="J125" i="8"/>
  <c r="O125" i="8" s="1"/>
  <c r="O124" i="8"/>
  <c r="N124" i="8"/>
  <c r="J124" i="8"/>
  <c r="L124" i="8" s="1"/>
  <c r="N123" i="8"/>
  <c r="J123" i="8"/>
  <c r="N122" i="8"/>
  <c r="J122" i="8"/>
  <c r="O122" i="8" s="1"/>
  <c r="O121" i="8"/>
  <c r="N121" i="8"/>
  <c r="J121" i="8"/>
  <c r="L121" i="8" s="1"/>
  <c r="N120" i="8"/>
  <c r="J120" i="8"/>
  <c r="N119" i="8"/>
  <c r="J119" i="8"/>
  <c r="O119" i="8" s="1"/>
  <c r="O118" i="8"/>
  <c r="N118" i="8"/>
  <c r="J118" i="8"/>
  <c r="L118" i="8" s="1"/>
  <c r="N117" i="8"/>
  <c r="J117" i="8"/>
  <c r="N116" i="8"/>
  <c r="J116" i="8"/>
  <c r="O116" i="8" s="1"/>
  <c r="O115" i="8"/>
  <c r="N115" i="8"/>
  <c r="J115" i="8"/>
  <c r="L115" i="8" s="1"/>
  <c r="Q115" i="8" s="1"/>
  <c r="N114" i="8"/>
  <c r="J114" i="8"/>
  <c r="N113" i="8"/>
  <c r="J113" i="8"/>
  <c r="O113" i="8" s="1"/>
  <c r="O112" i="8"/>
  <c r="N112" i="8"/>
  <c r="J112" i="8"/>
  <c r="L112" i="8" s="1"/>
  <c r="N111" i="8"/>
  <c r="J111" i="8"/>
  <c r="N110" i="8"/>
  <c r="J110" i="8"/>
  <c r="O110" i="8" s="1"/>
  <c r="O109" i="8"/>
  <c r="N109" i="8"/>
  <c r="J109" i="8"/>
  <c r="L109" i="8" s="1"/>
  <c r="Q109" i="8" s="1"/>
  <c r="N108" i="8"/>
  <c r="J108" i="8"/>
  <c r="N107" i="8"/>
  <c r="J107" i="8"/>
  <c r="O107" i="8" s="1"/>
  <c r="O106" i="8"/>
  <c r="N106" i="8"/>
  <c r="J106" i="8"/>
  <c r="L106" i="8" s="1"/>
  <c r="Q106" i="8" s="1"/>
  <c r="N105" i="8"/>
  <c r="J105" i="8"/>
  <c r="N104" i="8"/>
  <c r="J104" i="8"/>
  <c r="O104" i="8" s="1"/>
  <c r="O103" i="8"/>
  <c r="N103" i="8"/>
  <c r="J103" i="8"/>
  <c r="L103" i="8" s="1"/>
  <c r="N102" i="8"/>
  <c r="J102" i="8"/>
  <c r="N101" i="8"/>
  <c r="J101" i="8"/>
  <c r="O101" i="8" s="1"/>
  <c r="O100" i="8"/>
  <c r="N100" i="8"/>
  <c r="J100" i="8"/>
  <c r="L100" i="8" s="1"/>
  <c r="N99" i="8"/>
  <c r="J99" i="8"/>
  <c r="N98" i="8"/>
  <c r="J98" i="8"/>
  <c r="O98" i="8" s="1"/>
  <c r="O97" i="8"/>
  <c r="N97" i="8"/>
  <c r="J97" i="8"/>
  <c r="L97" i="8" s="1"/>
  <c r="N96" i="8"/>
  <c r="J96" i="8"/>
  <c r="O96" i="8" s="1"/>
  <c r="N95" i="8"/>
  <c r="J95" i="8"/>
  <c r="O95" i="8" s="1"/>
  <c r="O94" i="8"/>
  <c r="N94" i="8"/>
  <c r="J94" i="8"/>
  <c r="L94" i="8" s="1"/>
  <c r="N93" i="8"/>
  <c r="J93" i="8"/>
  <c r="O93" i="8" s="1"/>
  <c r="N92" i="8"/>
  <c r="J92" i="8"/>
  <c r="O92" i="8" s="1"/>
  <c r="O91" i="8"/>
  <c r="N91" i="8"/>
  <c r="J91" i="8"/>
  <c r="L91" i="8" s="1"/>
  <c r="N90" i="8"/>
  <c r="J90" i="8"/>
  <c r="N89" i="8"/>
  <c r="J89" i="8"/>
  <c r="O89" i="8" s="1"/>
  <c r="O88" i="8"/>
  <c r="N88" i="8"/>
  <c r="J88" i="8"/>
  <c r="L88" i="8" s="1"/>
  <c r="N87" i="8"/>
  <c r="J87" i="8"/>
  <c r="N86" i="8"/>
  <c r="J86" i="8"/>
  <c r="O86" i="8" s="1"/>
  <c r="O85" i="8"/>
  <c r="N85" i="8"/>
  <c r="J85" i="8"/>
  <c r="L85" i="8" s="1"/>
  <c r="N84" i="8"/>
  <c r="J84" i="8"/>
  <c r="N83" i="8"/>
  <c r="J83" i="8"/>
  <c r="O83" i="8" s="1"/>
  <c r="O82" i="8"/>
  <c r="N82" i="8"/>
  <c r="J82" i="8"/>
  <c r="L82" i="8" s="1"/>
  <c r="N81" i="8"/>
  <c r="J81" i="8"/>
  <c r="N80" i="8"/>
  <c r="J80" i="8"/>
  <c r="O80" i="8" s="1"/>
  <c r="O79" i="8"/>
  <c r="N79" i="8"/>
  <c r="J79" i="8"/>
  <c r="L79" i="8" s="1"/>
  <c r="N78" i="8"/>
  <c r="J78" i="8"/>
  <c r="N77" i="8"/>
  <c r="J77" i="8"/>
  <c r="O77" i="8" s="1"/>
  <c r="O76" i="8"/>
  <c r="N76" i="8"/>
  <c r="J76" i="8"/>
  <c r="L76" i="8" s="1"/>
  <c r="N75" i="8"/>
  <c r="J75" i="8"/>
  <c r="O75" i="8" s="1"/>
  <c r="N74" i="8"/>
  <c r="J74" i="8"/>
  <c r="O74" i="8" s="1"/>
  <c r="O73" i="8"/>
  <c r="N73" i="8"/>
  <c r="J73" i="8"/>
  <c r="L73" i="8" s="1"/>
  <c r="N72" i="8"/>
  <c r="J72" i="8"/>
  <c r="N71" i="8"/>
  <c r="J71" i="8"/>
  <c r="O71" i="8" s="1"/>
  <c r="O70" i="8"/>
  <c r="N70" i="8"/>
  <c r="J70" i="8"/>
  <c r="L70" i="8" s="1"/>
  <c r="Q70" i="8" s="1"/>
  <c r="N69" i="8"/>
  <c r="J69" i="8"/>
  <c r="O69" i="8" s="1"/>
  <c r="N68" i="8"/>
  <c r="J68" i="8"/>
  <c r="O68" i="8" s="1"/>
  <c r="O67" i="8"/>
  <c r="N67" i="8"/>
  <c r="J67" i="8"/>
  <c r="L67" i="8" s="1"/>
  <c r="N66" i="8"/>
  <c r="J66" i="8"/>
  <c r="O66" i="8" s="1"/>
  <c r="N65" i="8"/>
  <c r="L65" i="8"/>
  <c r="J65" i="8"/>
  <c r="O65" i="8" s="1"/>
  <c r="O64" i="8"/>
  <c r="N64" i="8"/>
  <c r="L64" i="8"/>
  <c r="J64" i="8"/>
  <c r="N63" i="8"/>
  <c r="L63" i="8"/>
  <c r="J63" i="8"/>
  <c r="O63" i="8" s="1"/>
  <c r="N62" i="8"/>
  <c r="L62" i="8"/>
  <c r="J62" i="8"/>
  <c r="O62" i="8" s="1"/>
  <c r="O61" i="8"/>
  <c r="N61" i="8"/>
  <c r="L61" i="8"/>
  <c r="J61" i="8"/>
  <c r="N60" i="8"/>
  <c r="L60" i="8"/>
  <c r="J60" i="8"/>
  <c r="O60" i="8" s="1"/>
  <c r="N59" i="8"/>
  <c r="L59" i="8"/>
  <c r="J59" i="8"/>
  <c r="O59" i="8" s="1"/>
  <c r="O58" i="8"/>
  <c r="N58" i="8"/>
  <c r="L58" i="8"/>
  <c r="J58" i="8"/>
  <c r="N57" i="8"/>
  <c r="L57" i="8"/>
  <c r="J57" i="8"/>
  <c r="O57" i="8" s="1"/>
  <c r="N56" i="8"/>
  <c r="L56" i="8"/>
  <c r="J56" i="8"/>
  <c r="O56" i="8" s="1"/>
  <c r="O55" i="8"/>
  <c r="N55" i="8"/>
  <c r="L55" i="8"/>
  <c r="J55" i="8"/>
  <c r="N54" i="8"/>
  <c r="L54" i="8"/>
  <c r="J54" i="8"/>
  <c r="O54" i="8" s="1"/>
  <c r="N53" i="8"/>
  <c r="L53" i="8"/>
  <c r="J53" i="8"/>
  <c r="O53" i="8" s="1"/>
  <c r="O52" i="8"/>
  <c r="N52" i="8"/>
  <c r="L52" i="8"/>
  <c r="J52" i="8"/>
  <c r="N51" i="8"/>
  <c r="L51" i="8"/>
  <c r="J51" i="8"/>
  <c r="O51" i="8" s="1"/>
  <c r="N50" i="8"/>
  <c r="L50" i="8"/>
  <c r="J50" i="8"/>
  <c r="O50" i="8" s="1"/>
  <c r="O49" i="8"/>
  <c r="N49" i="8"/>
  <c r="L49" i="8"/>
  <c r="J49" i="8"/>
  <c r="N48" i="8"/>
  <c r="L48" i="8"/>
  <c r="J48" i="8"/>
  <c r="O48" i="8" s="1"/>
  <c r="N47" i="8"/>
  <c r="L47" i="8"/>
  <c r="J47" i="8"/>
  <c r="O47" i="8" s="1"/>
  <c r="O46" i="8"/>
  <c r="N46" i="8"/>
  <c r="L46" i="8"/>
  <c r="J46" i="8"/>
  <c r="N45" i="8"/>
  <c r="L45" i="8"/>
  <c r="Q45" i="8" s="1"/>
  <c r="R45" i="8" s="1"/>
  <c r="J45" i="8"/>
  <c r="O45" i="8" s="1"/>
  <c r="N44" i="8"/>
  <c r="L44" i="8"/>
  <c r="J44" i="8"/>
  <c r="O44" i="8" s="1"/>
  <c r="O43" i="8"/>
  <c r="N43" i="8"/>
  <c r="L43" i="8"/>
  <c r="J43" i="8"/>
  <c r="N42" i="8"/>
  <c r="L42" i="8"/>
  <c r="J42" i="8"/>
  <c r="O42" i="8" s="1"/>
  <c r="N41" i="8"/>
  <c r="L41" i="8"/>
  <c r="J41" i="8"/>
  <c r="O41" i="8" s="1"/>
  <c r="O40" i="8"/>
  <c r="N40" i="8"/>
  <c r="L40" i="8"/>
  <c r="J40" i="8"/>
  <c r="N39" i="8"/>
  <c r="L39" i="8"/>
  <c r="J39" i="8"/>
  <c r="O39" i="8" s="1"/>
  <c r="N38" i="8"/>
  <c r="L38" i="8"/>
  <c r="J38" i="8"/>
  <c r="O38" i="8" s="1"/>
  <c r="O37" i="8"/>
  <c r="N37" i="8"/>
  <c r="L37" i="8"/>
  <c r="J37" i="8"/>
  <c r="N36" i="8"/>
  <c r="L36" i="8"/>
  <c r="J36" i="8"/>
  <c r="O36" i="8" s="1"/>
  <c r="N35" i="8"/>
  <c r="L35" i="8"/>
  <c r="J35" i="8"/>
  <c r="O35" i="8" s="1"/>
  <c r="O34" i="8"/>
  <c r="N34" i="8"/>
  <c r="L34" i="8"/>
  <c r="J34" i="8"/>
  <c r="N33" i="8"/>
  <c r="L33" i="8"/>
  <c r="J33" i="8"/>
  <c r="O33" i="8" s="1"/>
  <c r="R32" i="8"/>
  <c r="N32" i="8"/>
  <c r="L32" i="8"/>
  <c r="Q32" i="8" s="1"/>
  <c r="J32" i="8"/>
  <c r="O32" i="8" s="1"/>
  <c r="O31" i="8"/>
  <c r="N31" i="8"/>
  <c r="Q31" i="8" s="1"/>
  <c r="R31" i="8" s="1"/>
  <c r="L31" i="8"/>
  <c r="J31" i="8"/>
  <c r="N30" i="8"/>
  <c r="L30" i="8"/>
  <c r="J30" i="8"/>
  <c r="O30" i="8" s="1"/>
  <c r="N29" i="8"/>
  <c r="L29" i="8"/>
  <c r="J29" i="8"/>
  <c r="O29" i="8" s="1"/>
  <c r="O28" i="8"/>
  <c r="N28" i="8"/>
  <c r="Q28" i="8" s="1"/>
  <c r="R28" i="8" s="1"/>
  <c r="L28" i="8"/>
  <c r="J28" i="8"/>
  <c r="N27" i="8"/>
  <c r="L27" i="8"/>
  <c r="J27" i="8"/>
  <c r="O27" i="8" s="1"/>
  <c r="N26" i="8"/>
  <c r="L26" i="8"/>
  <c r="Q26" i="8" s="1"/>
  <c r="R26" i="8" s="1"/>
  <c r="J26" i="8"/>
  <c r="O26" i="8" s="1"/>
  <c r="O25" i="8"/>
  <c r="N25" i="8"/>
  <c r="L25" i="8"/>
  <c r="J25" i="8"/>
  <c r="N24" i="8"/>
  <c r="L24" i="8"/>
  <c r="J24" i="8"/>
  <c r="O24" i="8" s="1"/>
  <c r="O23" i="8"/>
  <c r="N23" i="8"/>
  <c r="L23" i="8"/>
  <c r="Q23" i="8" s="1"/>
  <c r="R23" i="8" s="1"/>
  <c r="J23" i="8"/>
  <c r="O22" i="8"/>
  <c r="N22" i="8"/>
  <c r="Q22" i="8" s="1"/>
  <c r="R22" i="8" s="1"/>
  <c r="L22" i="8"/>
  <c r="J22" i="8"/>
  <c r="N21" i="8"/>
  <c r="L21" i="8"/>
  <c r="J21" i="8"/>
  <c r="O21" i="8" s="1"/>
  <c r="O20" i="8"/>
  <c r="N20" i="8"/>
  <c r="L20" i="8"/>
  <c r="J20" i="8"/>
  <c r="O19" i="8"/>
  <c r="N19" i="8"/>
  <c r="L19" i="8"/>
  <c r="J19" i="8"/>
  <c r="N18" i="8"/>
  <c r="L18" i="8"/>
  <c r="J18" i="8"/>
  <c r="O18" i="8" s="1"/>
  <c r="O17" i="8"/>
  <c r="N17" i="8"/>
  <c r="L17" i="8"/>
  <c r="J17" i="8"/>
  <c r="O16" i="8"/>
  <c r="N16" i="8"/>
  <c r="L16" i="8"/>
  <c r="J16" i="8"/>
  <c r="N15" i="8"/>
  <c r="L15" i="8"/>
  <c r="J15" i="8"/>
  <c r="O15" i="8" s="1"/>
  <c r="O14" i="8"/>
  <c r="N14" i="8"/>
  <c r="L14" i="8"/>
  <c r="Q14" i="8" s="1"/>
  <c r="R14" i="8" s="1"/>
  <c r="J14" i="8"/>
  <c r="O13" i="8"/>
  <c r="N13" i="8"/>
  <c r="Q13" i="8" s="1"/>
  <c r="R13" i="8" s="1"/>
  <c r="L13" i="8"/>
  <c r="J13" i="8"/>
  <c r="N12" i="8"/>
  <c r="L12" i="8"/>
  <c r="J12" i="8"/>
  <c r="O12" i="8" s="1"/>
  <c r="O11" i="8"/>
  <c r="N11" i="8"/>
  <c r="L11" i="8"/>
  <c r="J11" i="8"/>
  <c r="O10" i="8"/>
  <c r="N10" i="8"/>
  <c r="Q10" i="8" s="1"/>
  <c r="R10" i="8" s="1"/>
  <c r="L10" i="8"/>
  <c r="J10" i="8"/>
  <c r="N9" i="8"/>
  <c r="L9" i="8"/>
  <c r="J9" i="8"/>
  <c r="O9" i="8" s="1"/>
  <c r="O8" i="8"/>
  <c r="N8" i="8"/>
  <c r="L8" i="8"/>
  <c r="J8" i="8"/>
  <c r="O7" i="8"/>
  <c r="N7" i="8"/>
  <c r="L7" i="8"/>
  <c r="J7" i="8"/>
  <c r="N6" i="8"/>
  <c r="L6" i="8"/>
  <c r="J6" i="8"/>
  <c r="O6" i="8" s="1"/>
  <c r="O5" i="8"/>
  <c r="N5" i="8"/>
  <c r="L5" i="8"/>
  <c r="J5" i="8"/>
  <c r="O4" i="8"/>
  <c r="N4" i="8"/>
  <c r="L4" i="8"/>
  <c r="J4" i="8"/>
  <c r="J137" i="8" s="1"/>
  <c r="G49" i="6" l="1"/>
  <c r="J49" i="6" s="1"/>
  <c r="Q16" i="8"/>
  <c r="R16" i="8" s="1"/>
  <c r="Q38" i="8"/>
  <c r="R38" i="8" s="1"/>
  <c r="Q8" i="8"/>
  <c r="Q40" i="8"/>
  <c r="Q49" i="8"/>
  <c r="Q58" i="8"/>
  <c r="R58" i="8" s="1"/>
  <c r="Q112" i="8"/>
  <c r="G11" i="6"/>
  <c r="J11" i="6" s="1"/>
  <c r="Q25" i="8"/>
  <c r="R25" i="8" s="1"/>
  <c r="Q82" i="8"/>
  <c r="Q118" i="8"/>
  <c r="G52" i="6" s="1"/>
  <c r="J52" i="6" s="1"/>
  <c r="Q17" i="8"/>
  <c r="R17" i="8" s="1"/>
  <c r="Q34" i="8"/>
  <c r="R34" i="8" s="1"/>
  <c r="Q85" i="8"/>
  <c r="G36" i="6" s="1"/>
  <c r="J36" i="6" s="1"/>
  <c r="Q121" i="8"/>
  <c r="Q19" i="8"/>
  <c r="R19" i="8" s="1"/>
  <c r="Q43" i="8"/>
  <c r="Q52" i="8"/>
  <c r="Q61" i="8"/>
  <c r="R61" i="8" s="1"/>
  <c r="Q88" i="8"/>
  <c r="G38" i="6" s="1"/>
  <c r="J38" i="6" s="1"/>
  <c r="Q124" i="8"/>
  <c r="G53" i="6" s="1"/>
  <c r="J53" i="6" s="1"/>
  <c r="P137" i="8"/>
  <c r="Q11" i="8"/>
  <c r="R11" i="8" s="1"/>
  <c r="Q57" i="8"/>
  <c r="R57" i="8" s="1"/>
  <c r="Q127" i="8"/>
  <c r="Q5" i="8"/>
  <c r="R5" i="8" s="1"/>
  <c r="Q37" i="8"/>
  <c r="R37" i="8" s="1"/>
  <c r="Q133" i="8"/>
  <c r="R133" i="8" s="1"/>
  <c r="Q7" i="8"/>
  <c r="Q20" i="8"/>
  <c r="R20" i="8" s="1"/>
  <c r="Q46" i="8"/>
  <c r="R46" i="8" s="1"/>
  <c r="Q55" i="8"/>
  <c r="R55" i="8" s="1"/>
  <c r="Q62" i="8"/>
  <c r="Q64" i="8"/>
  <c r="R64" i="8" s="1"/>
  <c r="Q100" i="8"/>
  <c r="R100" i="8" s="1"/>
  <c r="Q51" i="8"/>
  <c r="R51" i="8" s="1"/>
  <c r="Q67" i="8"/>
  <c r="Q103" i="8"/>
  <c r="G46" i="6" s="1"/>
  <c r="J46" i="6" s="1"/>
  <c r="G15" i="6"/>
  <c r="J15" i="6" s="1"/>
  <c r="G26" i="6"/>
  <c r="J26" i="6" s="1"/>
  <c r="G56" i="6"/>
  <c r="J56" i="6" s="1"/>
  <c r="Q12" i="8"/>
  <c r="R12" i="8" s="1"/>
  <c r="Q39" i="8"/>
  <c r="R39" i="8" s="1"/>
  <c r="Q65" i="8"/>
  <c r="M137" i="8"/>
  <c r="Q6" i="8"/>
  <c r="Q60" i="8"/>
  <c r="Q50" i="8"/>
  <c r="Q48" i="8"/>
  <c r="R48" i="8" s="1"/>
  <c r="Q27" i="8"/>
  <c r="R27" i="8" s="1"/>
  <c r="Q44" i="8"/>
  <c r="Q63" i="8"/>
  <c r="R63" i="8" s="1"/>
  <c r="Q41" i="8"/>
  <c r="R41" i="8" s="1"/>
  <c r="N137" i="8"/>
  <c r="Q4" i="8"/>
  <c r="Q29" i="8"/>
  <c r="R29" i="8" s="1"/>
  <c r="Q9" i="8"/>
  <c r="R9" i="8" s="1"/>
  <c r="Q15" i="8"/>
  <c r="R15" i="8" s="1"/>
  <c r="Q21" i="8"/>
  <c r="R21" i="8" s="1"/>
  <c r="Q42" i="8"/>
  <c r="R42" i="8" s="1"/>
  <c r="Q59" i="8"/>
  <c r="R59" i="8" s="1"/>
  <c r="Q73" i="8"/>
  <c r="Q91" i="8"/>
  <c r="R132" i="8"/>
  <c r="Q35" i="8"/>
  <c r="R35" i="8" s="1"/>
  <c r="Q36" i="8"/>
  <c r="R36" i="8" s="1"/>
  <c r="Q53" i="8"/>
  <c r="Q76" i="8"/>
  <c r="R76" i="8" s="1"/>
  <c r="Q94" i="8"/>
  <c r="G42" i="6" s="1"/>
  <c r="J42" i="6" s="1"/>
  <c r="Q24" i="8"/>
  <c r="R24" i="8" s="1"/>
  <c r="Q54" i="8"/>
  <c r="R54" i="8" s="1"/>
  <c r="Q33" i="8"/>
  <c r="R33" i="8" s="1"/>
  <c r="Q18" i="8"/>
  <c r="Q56" i="8"/>
  <c r="Q30" i="8"/>
  <c r="R30" i="8" s="1"/>
  <c r="Q47" i="8"/>
  <c r="Q79" i="8"/>
  <c r="G32" i="6" s="1"/>
  <c r="J32" i="6" s="1"/>
  <c r="Q97" i="8"/>
  <c r="R97" i="8" s="1"/>
  <c r="R89" i="8"/>
  <c r="R95" i="8"/>
  <c r="O136" i="8"/>
  <c r="Q136" i="8" s="1"/>
  <c r="R136" i="8" s="1"/>
  <c r="L66" i="8"/>
  <c r="Q66" i="8" s="1"/>
  <c r="R66" i="8" s="1"/>
  <c r="L69" i="8"/>
  <c r="Q69" i="8" s="1"/>
  <c r="R69" i="8" s="1"/>
  <c r="L72" i="8"/>
  <c r="L75" i="8"/>
  <c r="Q75" i="8" s="1"/>
  <c r="R75" i="8" s="1"/>
  <c r="L78" i="8"/>
  <c r="L81" i="8"/>
  <c r="L84" i="8"/>
  <c r="L87" i="8"/>
  <c r="L90" i="8"/>
  <c r="L93" i="8"/>
  <c r="Q93" i="8" s="1"/>
  <c r="L96" i="8"/>
  <c r="Q96" i="8" s="1"/>
  <c r="L99" i="8"/>
  <c r="L102" i="8"/>
  <c r="Q102" i="8" s="1"/>
  <c r="L105" i="8"/>
  <c r="Q105" i="8" s="1"/>
  <c r="L108" i="8"/>
  <c r="L111" i="8"/>
  <c r="L114" i="8"/>
  <c r="L117" i="8"/>
  <c r="Q117" i="8" s="1"/>
  <c r="L120" i="8"/>
  <c r="Q120" i="8" s="1"/>
  <c r="R120" i="8" s="1"/>
  <c r="L123" i="8"/>
  <c r="L126" i="8"/>
  <c r="L129" i="8"/>
  <c r="L132" i="8"/>
  <c r="Q132" i="8" s="1"/>
  <c r="L135" i="8"/>
  <c r="Q135" i="8" s="1"/>
  <c r="R135" i="8" s="1"/>
  <c r="R67" i="8"/>
  <c r="R70" i="8"/>
  <c r="R79" i="8"/>
  <c r="R82" i="8"/>
  <c r="R88" i="8"/>
  <c r="R103" i="8"/>
  <c r="R106" i="8"/>
  <c r="R109" i="8"/>
  <c r="R112" i="8"/>
  <c r="R115" i="8"/>
  <c r="R118" i="8"/>
  <c r="R121" i="8"/>
  <c r="R124" i="8"/>
  <c r="R127" i="8"/>
  <c r="R130" i="8"/>
  <c r="O87" i="8"/>
  <c r="O99" i="8"/>
  <c r="O105" i="8"/>
  <c r="O108" i="8"/>
  <c r="O114" i="8"/>
  <c r="O120" i="8"/>
  <c r="O126" i="8"/>
  <c r="O132" i="8"/>
  <c r="O135" i="8"/>
  <c r="O72" i="8"/>
  <c r="O78" i="8"/>
  <c r="O81" i="8"/>
  <c r="O84" i="8"/>
  <c r="O90" i="8"/>
  <c r="O137" i="8" s="1"/>
  <c r="O102" i="8"/>
  <c r="O111" i="8"/>
  <c r="O117" i="8"/>
  <c r="O123" i="8"/>
  <c r="O129" i="8"/>
  <c r="L68" i="8"/>
  <c r="Q68" i="8" s="1"/>
  <c r="G25" i="6" s="1"/>
  <c r="J25" i="6" s="1"/>
  <c r="L71" i="8"/>
  <c r="Q71" i="8" s="1"/>
  <c r="R71" i="8" s="1"/>
  <c r="L74" i="8"/>
  <c r="Q74" i="8" s="1"/>
  <c r="L77" i="8"/>
  <c r="Q77" i="8" s="1"/>
  <c r="L80" i="8"/>
  <c r="Q80" i="8" s="1"/>
  <c r="L83" i="8"/>
  <c r="Q83" i="8" s="1"/>
  <c r="R83" i="8" s="1"/>
  <c r="L86" i="8"/>
  <c r="Q86" i="8" s="1"/>
  <c r="L89" i="8"/>
  <c r="Q89" i="8" s="1"/>
  <c r="G39" i="6" s="1"/>
  <c r="J39" i="6" s="1"/>
  <c r="L92" i="8"/>
  <c r="Q92" i="8" s="1"/>
  <c r="L95" i="8"/>
  <c r="Q95" i="8" s="1"/>
  <c r="G43" i="6" s="1"/>
  <c r="J43" i="6" s="1"/>
  <c r="L98" i="8"/>
  <c r="Q98" i="8" s="1"/>
  <c r="R98" i="8" s="1"/>
  <c r="L101" i="8"/>
  <c r="Q101" i="8" s="1"/>
  <c r="L104" i="8"/>
  <c r="Q104" i="8" s="1"/>
  <c r="R104" i="8" s="1"/>
  <c r="L107" i="8"/>
  <c r="Q107" i="8" s="1"/>
  <c r="G48" i="6" s="1"/>
  <c r="J48" i="6" s="1"/>
  <c r="L110" i="8"/>
  <c r="Q110" i="8" s="1"/>
  <c r="R110" i="8" s="1"/>
  <c r="L113" i="8"/>
  <c r="Q113" i="8" s="1"/>
  <c r="R113" i="8" s="1"/>
  <c r="L116" i="8"/>
  <c r="Q116" i="8" s="1"/>
  <c r="R116" i="8" s="1"/>
  <c r="L119" i="8"/>
  <c r="Q119" i="8" s="1"/>
  <c r="R119" i="8" s="1"/>
  <c r="L122" i="8"/>
  <c r="Q122" i="8" s="1"/>
  <c r="R122" i="8" s="1"/>
  <c r="L125" i="8"/>
  <c r="Q125" i="8" s="1"/>
  <c r="L128" i="8"/>
  <c r="Q128" i="8" s="1"/>
  <c r="L131" i="8"/>
  <c r="Q131" i="8" s="1"/>
  <c r="G58" i="6" s="1"/>
  <c r="J58" i="6" s="1"/>
  <c r="L134" i="8"/>
  <c r="Q134" i="8" s="1"/>
  <c r="R134" i="8" s="1"/>
  <c r="R93" i="8"/>
  <c r="R96" i="8"/>
  <c r="X46" i="6" l="1"/>
  <c r="S46" i="6"/>
  <c r="S36" i="6"/>
  <c r="X36" i="6"/>
  <c r="S43" i="6"/>
  <c r="X43" i="6"/>
  <c r="X32" i="6"/>
  <c r="S32" i="6"/>
  <c r="S42" i="6"/>
  <c r="X42" i="6"/>
  <c r="S53" i="6"/>
  <c r="X53" i="6"/>
  <c r="S25" i="6"/>
  <c r="X25" i="6"/>
  <c r="X52" i="6"/>
  <c r="S52" i="6"/>
  <c r="X38" i="6"/>
  <c r="S38" i="6"/>
  <c r="X39" i="6"/>
  <c r="S39" i="6"/>
  <c r="X58" i="6"/>
  <c r="S58" i="6"/>
  <c r="S48" i="6"/>
  <c r="X48" i="6"/>
  <c r="S56" i="6"/>
  <c r="X56" i="6"/>
  <c r="X15" i="6"/>
  <c r="S15" i="6"/>
  <c r="X26" i="6"/>
  <c r="S26" i="6"/>
  <c r="S11" i="6"/>
  <c r="X11" i="6"/>
  <c r="S49" i="6"/>
  <c r="X49" i="6"/>
  <c r="R74" i="8"/>
  <c r="G29" i="6"/>
  <c r="J29" i="6" s="1"/>
  <c r="R117" i="8"/>
  <c r="G51" i="6"/>
  <c r="J51" i="6" s="1"/>
  <c r="R40" i="8"/>
  <c r="G12" i="6"/>
  <c r="J12" i="6" s="1"/>
  <c r="R85" i="8"/>
  <c r="R65" i="8"/>
  <c r="G24" i="6"/>
  <c r="J24" i="6" s="1"/>
  <c r="R7" i="8"/>
  <c r="G8" i="6"/>
  <c r="J8" i="6" s="1"/>
  <c r="R8" i="8"/>
  <c r="G9" i="6"/>
  <c r="J9" i="6" s="1"/>
  <c r="R53" i="8"/>
  <c r="G20" i="6"/>
  <c r="J20" i="6" s="1"/>
  <c r="R49" i="8"/>
  <c r="G17" i="6"/>
  <c r="J17" i="6" s="1"/>
  <c r="R68" i="8"/>
  <c r="R128" i="8"/>
  <c r="G57" i="6"/>
  <c r="J57" i="6" s="1"/>
  <c r="R92" i="8"/>
  <c r="G41" i="6"/>
  <c r="J41" i="6" s="1"/>
  <c r="R47" i="8"/>
  <c r="G16" i="6"/>
  <c r="J16" i="6" s="1"/>
  <c r="R52" i="8"/>
  <c r="G19" i="6"/>
  <c r="J19" i="6" s="1"/>
  <c r="R125" i="8"/>
  <c r="G54" i="6"/>
  <c r="J54" i="6" s="1"/>
  <c r="R91" i="8"/>
  <c r="G40" i="6"/>
  <c r="J40" i="6" s="1"/>
  <c r="R44" i="8"/>
  <c r="G14" i="6"/>
  <c r="J14" i="6" s="1"/>
  <c r="R43" i="8"/>
  <c r="G13" i="6"/>
  <c r="J13" i="6" s="1"/>
  <c r="R6" i="8"/>
  <c r="J7" i="6"/>
  <c r="X7" i="6" s="1"/>
  <c r="R107" i="8"/>
  <c r="R18" i="8"/>
  <c r="G10" i="6"/>
  <c r="J10" i="6" s="1"/>
  <c r="R105" i="8"/>
  <c r="G47" i="6"/>
  <c r="J47" i="6" s="1"/>
  <c r="R131" i="8"/>
  <c r="R73" i="8"/>
  <c r="G28" i="6"/>
  <c r="J28" i="6" s="1"/>
  <c r="R62" i="8"/>
  <c r="G23" i="6"/>
  <c r="J23" i="6" s="1"/>
  <c r="R101" i="8"/>
  <c r="G44" i="6"/>
  <c r="J44" i="6" s="1"/>
  <c r="R102" i="8"/>
  <c r="G45" i="6"/>
  <c r="J45" i="6" s="1"/>
  <c r="R86" i="8"/>
  <c r="G37" i="6"/>
  <c r="J37" i="6" s="1"/>
  <c r="R56" i="8"/>
  <c r="G21" i="6"/>
  <c r="J21" i="6" s="1"/>
  <c r="R80" i="8"/>
  <c r="G33" i="6"/>
  <c r="J33" i="6" s="1"/>
  <c r="R50" i="8"/>
  <c r="G18" i="6"/>
  <c r="J18" i="6" s="1"/>
  <c r="R77" i="8"/>
  <c r="G30" i="6"/>
  <c r="J30" i="6" s="1"/>
  <c r="R94" i="8"/>
  <c r="R60" i="8"/>
  <c r="G22" i="6"/>
  <c r="J22" i="6" s="1"/>
  <c r="R4" i="8"/>
  <c r="Q99" i="8"/>
  <c r="R99" i="8" s="1"/>
  <c r="Q129" i="8"/>
  <c r="R129" i="8" s="1"/>
  <c r="Q126" i="8"/>
  <c r="Q90" i="8"/>
  <c r="R90" i="8" s="1"/>
  <c r="L137" i="8"/>
  <c r="Q123" i="8"/>
  <c r="R123" i="8" s="1"/>
  <c r="Q87" i="8"/>
  <c r="R87" i="8" s="1"/>
  <c r="Q114" i="8"/>
  <c r="R114" i="8" s="1"/>
  <c r="Q78" i="8"/>
  <c r="Q81" i="8"/>
  <c r="Q111" i="8"/>
  <c r="Q84" i="8"/>
  <c r="Q108" i="8"/>
  <c r="R108" i="8" s="1"/>
  <c r="Q72" i="8"/>
  <c r="S20" i="6" l="1"/>
  <c r="X20" i="6"/>
  <c r="S40" i="6"/>
  <c r="X40" i="6"/>
  <c r="X9" i="6"/>
  <c r="S9" i="6"/>
  <c r="S30" i="6"/>
  <c r="X30" i="6"/>
  <c r="S37" i="6"/>
  <c r="X37" i="6"/>
  <c r="S28" i="6"/>
  <c r="X28" i="6"/>
  <c r="S7" i="6"/>
  <c r="X54" i="6"/>
  <c r="S54" i="6"/>
  <c r="S57" i="6"/>
  <c r="X57" i="6"/>
  <c r="X51" i="6"/>
  <c r="S51" i="6"/>
  <c r="X22" i="6"/>
  <c r="S22" i="6"/>
  <c r="X23" i="6"/>
  <c r="S23" i="6"/>
  <c r="S12" i="6"/>
  <c r="X12" i="6"/>
  <c r="X18" i="6"/>
  <c r="S18" i="6"/>
  <c r="X13" i="6"/>
  <c r="S13" i="6"/>
  <c r="X29" i="6"/>
  <c r="S29" i="6"/>
  <c r="S47" i="6"/>
  <c r="X47" i="6"/>
  <c r="X17" i="6"/>
  <c r="S17" i="6"/>
  <c r="X24" i="6"/>
  <c r="S24" i="6"/>
  <c r="X10" i="6"/>
  <c r="S10" i="6"/>
  <c r="X21" i="6"/>
  <c r="S21" i="6"/>
  <c r="S41" i="6"/>
  <c r="X41" i="6"/>
  <c r="X8" i="6"/>
  <c r="S8" i="6"/>
  <c r="S45" i="6"/>
  <c r="X45" i="6"/>
  <c r="X19" i="6"/>
  <c r="S19" i="6"/>
  <c r="S33" i="6"/>
  <c r="X33" i="6"/>
  <c r="X44" i="6"/>
  <c r="S44" i="6"/>
  <c r="S14" i="6"/>
  <c r="X14" i="6"/>
  <c r="X16" i="6"/>
  <c r="S16" i="6"/>
  <c r="R111" i="8"/>
  <c r="G50" i="6"/>
  <c r="J50" i="6" s="1"/>
  <c r="R81" i="8"/>
  <c r="G34" i="6"/>
  <c r="J34" i="6" s="1"/>
  <c r="R78" i="8"/>
  <c r="G31" i="6"/>
  <c r="J31" i="6" s="1"/>
  <c r="R84" i="8"/>
  <c r="G35" i="6"/>
  <c r="J35" i="6" s="1"/>
  <c r="R72" i="8"/>
  <c r="G27" i="6"/>
  <c r="J27" i="6" s="1"/>
  <c r="R126" i="8"/>
  <c r="G55" i="6"/>
  <c r="J55" i="6" s="1"/>
  <c r="R140" i="8"/>
  <c r="R139" i="8"/>
  <c r="R137" i="8"/>
  <c r="Q137" i="8"/>
  <c r="S31" i="6" l="1"/>
  <c r="X31" i="6"/>
  <c r="S55" i="6"/>
  <c r="X55" i="6"/>
  <c r="X34" i="6"/>
  <c r="S34" i="6"/>
  <c r="S27" i="6"/>
  <c r="X27" i="6"/>
  <c r="S35" i="6"/>
  <c r="X35" i="6"/>
  <c r="S50" i="6"/>
  <c r="X50" i="6"/>
  <c r="X59" i="6" l="1"/>
  <c r="X3" i="6" s="1"/>
  <c r="R138" i="7"/>
  <c r="J7" i="4" l="1"/>
  <c r="J8" i="4"/>
  <c r="J9" i="4"/>
  <c r="J10" i="4"/>
  <c r="J11" i="4"/>
  <c r="J12" i="4"/>
  <c r="J13" i="4"/>
  <c r="J14" i="4"/>
  <c r="J15" i="4"/>
  <c r="J16" i="4"/>
  <c r="J17" i="4"/>
  <c r="J18" i="4"/>
  <c r="J19" i="4"/>
  <c r="J20" i="4"/>
  <c r="J21" i="4"/>
  <c r="J6" i="4"/>
  <c r="P9" i="1" s="1"/>
  <c r="I7" i="4"/>
  <c r="K7" i="4" s="1"/>
  <c r="P11" i="1" s="1"/>
  <c r="I8" i="4"/>
  <c r="K8" i="4" s="1"/>
  <c r="P13" i="1" s="1"/>
  <c r="I9" i="4"/>
  <c r="K9" i="4" s="1"/>
  <c r="P17" i="1" s="1"/>
  <c r="I10" i="4"/>
  <c r="K10" i="4" s="1"/>
  <c r="P18" i="1" s="1"/>
  <c r="I11" i="4"/>
  <c r="K11" i="4" s="1"/>
  <c r="P19" i="1" s="1"/>
  <c r="I12" i="4"/>
  <c r="K12" i="4" s="1"/>
  <c r="P22" i="1" s="1"/>
  <c r="I13" i="4"/>
  <c r="K13" i="4" s="1"/>
  <c r="I14" i="4"/>
  <c r="K14" i="4" s="1"/>
  <c r="P30" i="1" s="1"/>
  <c r="I15" i="4"/>
  <c r="K15" i="4" s="1"/>
  <c r="P32" i="1" s="1"/>
  <c r="I16" i="4"/>
  <c r="K16" i="4" s="1"/>
  <c r="P39" i="1" s="1"/>
  <c r="I17" i="4"/>
  <c r="K17" i="4" s="1"/>
  <c r="P41" i="1" s="1"/>
  <c r="I18" i="4"/>
  <c r="I19" i="4"/>
  <c r="K19" i="4" s="1"/>
  <c r="P44" i="1" s="1"/>
  <c r="I20" i="4"/>
  <c r="K20" i="4" s="1"/>
  <c r="P45" i="1" s="1"/>
  <c r="I21" i="4"/>
  <c r="K21" i="4" s="1"/>
  <c r="P57" i="1" s="1"/>
  <c r="H22" i="4"/>
  <c r="H7" i="4"/>
  <c r="H8" i="4"/>
  <c r="H9" i="4"/>
  <c r="H10" i="4"/>
  <c r="H11" i="4"/>
  <c r="H12" i="4"/>
  <c r="H13" i="4"/>
  <c r="H14" i="4"/>
  <c r="H15" i="4"/>
  <c r="H16" i="4"/>
  <c r="H17" i="4"/>
  <c r="H18" i="4"/>
  <c r="H19" i="4"/>
  <c r="H20" i="4"/>
  <c r="H21" i="4"/>
  <c r="H6" i="4"/>
  <c r="K18" i="4" l="1"/>
  <c r="P42" i="1" s="1"/>
  <c r="K22" i="4"/>
  <c r="Q14" i="1"/>
  <c r="Q13" i="1"/>
  <c r="Q6" i="1"/>
  <c r="Q11" i="1"/>
  <c r="Q30" i="1"/>
  <c r="Q53" i="1"/>
  <c r="Q29" i="1"/>
  <c r="Q36" i="1"/>
  <c r="Q20" i="1"/>
  <c r="Q51" i="1"/>
  <c r="Q35" i="1"/>
  <c r="Q27" i="1"/>
  <c r="Q19" i="1"/>
  <c r="Q58" i="1"/>
  <c r="Q50" i="1"/>
  <c r="Q42" i="1"/>
  <c r="Q34" i="1"/>
  <c r="Q26" i="1"/>
  <c r="Q18" i="1"/>
  <c r="Q10" i="1"/>
  <c r="Q46" i="1"/>
  <c r="Q38" i="1"/>
  <c r="Q44" i="1"/>
  <c r="Q49" i="1"/>
  <c r="Q9" i="1"/>
  <c r="Q54" i="1"/>
  <c r="Q22" i="1"/>
  <c r="Q37" i="1"/>
  <c r="Q52" i="1"/>
  <c r="Q12" i="1"/>
  <c r="Q57" i="1"/>
  <c r="Q41" i="1"/>
  <c r="Q33" i="1"/>
  <c r="Q25" i="1"/>
  <c r="Q17" i="1"/>
  <c r="Q56" i="1"/>
  <c r="Q48" i="1"/>
  <c r="Q40" i="1"/>
  <c r="Q32" i="1"/>
  <c r="Q24" i="1"/>
  <c r="Q16" i="1"/>
  <c r="Q8" i="1"/>
  <c r="Q45" i="1"/>
  <c r="Q21" i="1"/>
  <c r="Q28" i="1"/>
  <c r="Q43" i="1"/>
  <c r="Q55" i="1"/>
  <c r="Q47" i="1"/>
  <c r="Q39" i="1"/>
  <c r="Q31" i="1"/>
  <c r="Q23" i="1"/>
  <c r="Q15" i="1"/>
  <c r="Q7" i="1"/>
  <c r="S15" i="10"/>
  <c r="X15" i="10" s="1"/>
  <c r="X14" i="9"/>
  <c r="S13" i="1"/>
  <c r="S21" i="10"/>
  <c r="X21" i="10" s="1"/>
  <c r="X52" i="9"/>
  <c r="S34" i="1"/>
  <c r="S31" i="10"/>
  <c r="X31" i="10" s="1"/>
  <c r="X27" i="9" l="1"/>
  <c r="U6" i="1"/>
  <c r="S6" i="1"/>
  <c r="W26" i="10"/>
  <c r="S51" i="1"/>
  <c r="S58" i="1"/>
  <c r="X39" i="9"/>
  <c r="S39" i="10"/>
  <c r="X39" i="10" s="1"/>
  <c r="W27" i="9"/>
  <c r="S14" i="10"/>
  <c r="X14" i="10" s="1"/>
  <c r="S25" i="1"/>
  <c r="S26" i="1"/>
  <c r="S19" i="1"/>
  <c r="W14" i="10"/>
  <c r="S53" i="1"/>
  <c r="X21" i="9"/>
  <c r="T14" i="9"/>
  <c r="X54" i="9"/>
  <c r="W10" i="10"/>
  <c r="X26" i="9"/>
  <c r="S48" i="1"/>
  <c r="W55" i="9"/>
  <c r="S9" i="1"/>
  <c r="S42" i="1"/>
  <c r="S26" i="10"/>
  <c r="X26" i="10" s="1"/>
  <c r="S37" i="10"/>
  <c r="X37" i="10" s="1"/>
  <c r="W32" i="9"/>
  <c r="S31" i="1"/>
  <c r="X9" i="9"/>
  <c r="W9" i="9"/>
  <c r="S34" i="10"/>
  <c r="X34" i="10" s="1"/>
  <c r="S16" i="1"/>
  <c r="S49" i="10"/>
  <c r="X49" i="10" s="1"/>
  <c r="W10" i="9"/>
  <c r="S20" i="10"/>
  <c r="X20" i="10" s="1"/>
  <c r="W49" i="9"/>
  <c r="S30" i="1"/>
  <c r="X17" i="9"/>
  <c r="X31" i="9"/>
  <c r="W20" i="10"/>
  <c r="W31" i="9"/>
  <c r="W35" i="9"/>
  <c r="S20" i="1"/>
  <c r="X15" i="9"/>
  <c r="S10" i="10"/>
  <c r="X10" i="10" s="1"/>
  <c r="X35" i="9"/>
  <c r="W20" i="9"/>
  <c r="S35" i="10"/>
  <c r="X35" i="10" s="1"/>
  <c r="W15" i="10"/>
  <c r="X41" i="9"/>
  <c r="S16" i="10"/>
  <c r="X16" i="10" s="1"/>
  <c r="S12" i="1"/>
  <c r="S32" i="10"/>
  <c r="X32" i="10" s="1"/>
  <c r="S43" i="1"/>
  <c r="W32" i="10"/>
  <c r="W9" i="10"/>
  <c r="S41" i="10"/>
  <c r="X41" i="10" s="1"/>
  <c r="S44" i="10"/>
  <c r="X44" i="10" s="1"/>
  <c r="X8" i="9"/>
  <c r="W8" i="10"/>
  <c r="X44" i="9"/>
  <c r="W8" i="9"/>
  <c r="S39" i="1"/>
  <c r="W17" i="9"/>
  <c r="S33" i="1"/>
  <c r="W44" i="10"/>
  <c r="S40" i="10"/>
  <c r="X40" i="10" s="1"/>
  <c r="S8" i="10"/>
  <c r="X8" i="10" s="1"/>
  <c r="X40" i="9"/>
  <c r="S8" i="1"/>
  <c r="S24" i="1"/>
  <c r="W41" i="10"/>
  <c r="W26" i="9"/>
  <c r="W44" i="9"/>
  <c r="T52" i="9"/>
  <c r="W39" i="10"/>
  <c r="W25" i="10"/>
  <c r="W28" i="10"/>
  <c r="W16" i="9"/>
  <c r="S40" i="1"/>
  <c r="W41" i="9"/>
  <c r="S27" i="10"/>
  <c r="X27" i="10" s="1"/>
  <c r="S59" i="10"/>
  <c r="X59" i="10" s="1"/>
  <c r="X13" i="9"/>
  <c r="S54" i="1"/>
  <c r="W54" i="9"/>
  <c r="X32" i="9"/>
  <c r="S9" i="10"/>
  <c r="X9" i="10" s="1"/>
  <c r="S11" i="1"/>
  <c r="X59" i="9"/>
  <c r="S52" i="10"/>
  <c r="X52" i="10" s="1"/>
  <c r="W13" i="9"/>
  <c r="S38" i="1"/>
  <c r="S54" i="10"/>
  <c r="X54" i="10" s="1"/>
  <c r="X25" i="9"/>
  <c r="S42" i="10"/>
  <c r="X42" i="10" s="1"/>
  <c r="W43" i="10"/>
  <c r="W16" i="10"/>
  <c r="W57" i="10"/>
  <c r="W12" i="9"/>
  <c r="X48" i="9"/>
  <c r="S50" i="10"/>
  <c r="X50" i="10" s="1"/>
  <c r="W48" i="9"/>
  <c r="W53" i="10"/>
  <c r="W56" i="10"/>
  <c r="S33" i="10"/>
  <c r="X33" i="10" s="1"/>
  <c r="S13" i="10"/>
  <c r="X13" i="10" s="1"/>
  <c r="W13" i="10"/>
  <c r="X55" i="9"/>
  <c r="X51" i="9"/>
  <c r="W33" i="10"/>
  <c r="S35" i="1"/>
  <c r="W36" i="9"/>
  <c r="S17" i="1"/>
  <c r="X23" i="9"/>
  <c r="W36" i="10"/>
  <c r="X56" i="9"/>
  <c r="S55" i="10"/>
  <c r="X55" i="10" s="1"/>
  <c r="W22" i="10"/>
  <c r="S7" i="1"/>
  <c r="W40" i="10"/>
  <c r="W23" i="10"/>
  <c r="X36" i="9"/>
  <c r="W55" i="10"/>
  <c r="W19" i="9"/>
  <c r="S29" i="1"/>
  <c r="S19" i="10"/>
  <c r="X19" i="10" s="1"/>
  <c r="W45" i="10"/>
  <c r="S45" i="1"/>
  <c r="W46" i="10"/>
  <c r="X24" i="9"/>
  <c r="W56" i="9"/>
  <c r="S32" i="1"/>
  <c r="S51" i="10"/>
  <c r="X51" i="10" s="1"/>
  <c r="S24" i="10"/>
  <c r="X24" i="10" s="1"/>
  <c r="W23" i="9"/>
  <c r="W58" i="9"/>
  <c r="S36" i="10"/>
  <c r="X36" i="10" s="1"/>
  <c r="W51" i="9"/>
  <c r="X29" i="9"/>
  <c r="W45" i="9"/>
  <c r="S30" i="10"/>
  <c r="X30" i="10" s="1"/>
  <c r="X46" i="9"/>
  <c r="W24" i="10"/>
  <c r="S55" i="1"/>
  <c r="S18" i="1"/>
  <c r="W19" i="10"/>
  <c r="S44" i="1"/>
  <c r="W30" i="10"/>
  <c r="S18" i="10"/>
  <c r="X18" i="10" s="1"/>
  <c r="S22" i="1"/>
  <c r="X33" i="9"/>
  <c r="S57" i="1"/>
  <c r="X18" i="9"/>
  <c r="X19" i="9"/>
  <c r="X45" i="9"/>
  <c r="W24" i="9"/>
  <c r="S56" i="10"/>
  <c r="X56" i="10" s="1"/>
  <c r="X58" i="9"/>
  <c r="W51" i="10"/>
  <c r="X30" i="9"/>
  <c r="S46" i="10"/>
  <c r="X46" i="10" s="1"/>
  <c r="S23" i="1"/>
  <c r="S23" i="10"/>
  <c r="X23" i="10" s="1"/>
  <c r="W33" i="9"/>
  <c r="S58" i="10"/>
  <c r="X58" i="10" s="1"/>
  <c r="W18" i="10"/>
  <c r="S50" i="1"/>
  <c r="S45" i="10"/>
  <c r="X45" i="10" s="1"/>
  <c r="W46" i="9"/>
  <c r="S25" i="10"/>
  <c r="X25" i="10" s="1"/>
  <c r="S27" i="1"/>
  <c r="W28" i="9"/>
  <c r="X11" i="9"/>
  <c r="W35" i="10"/>
  <c r="X20" i="9"/>
  <c r="S52" i="1"/>
  <c r="S38" i="10"/>
  <c r="X38" i="10" s="1"/>
  <c r="W47" i="10"/>
  <c r="S15" i="1"/>
  <c r="S17" i="10"/>
  <c r="X17" i="10" s="1"/>
  <c r="W57" i="9"/>
  <c r="X34" i="9"/>
  <c r="S28" i="10"/>
  <c r="X28" i="10" s="1"/>
  <c r="X10" i="9"/>
  <c r="S12" i="10"/>
  <c r="X12" i="10" s="1"/>
  <c r="S11" i="10"/>
  <c r="X11" i="10" s="1"/>
  <c r="W21" i="10"/>
  <c r="S29" i="10"/>
  <c r="X29" i="10" s="1"/>
  <c r="S53" i="10"/>
  <c r="X53" i="10" s="1"/>
  <c r="S21" i="1"/>
  <c r="S48" i="10"/>
  <c r="X48" i="10" s="1"/>
  <c r="W50" i="10"/>
  <c r="X42" i="9"/>
  <c r="S43" i="10"/>
  <c r="X43" i="10" s="1"/>
  <c r="W29" i="10"/>
  <c r="X37" i="9"/>
  <c r="X22" i="9"/>
  <c r="S37" i="1"/>
  <c r="W38" i="10"/>
  <c r="X47" i="9"/>
  <c r="X16" i="9"/>
  <c r="W48" i="10"/>
  <c r="X49" i="9"/>
  <c r="S56" i="1"/>
  <c r="W34" i="10"/>
  <c r="X50" i="9"/>
  <c r="W42" i="9"/>
  <c r="W21" i="9"/>
  <c r="W29" i="9"/>
  <c r="X53" i="9"/>
  <c r="S14" i="1"/>
  <c r="S22" i="10"/>
  <c r="X22" i="10" s="1"/>
  <c r="X38" i="9"/>
  <c r="W47" i="9"/>
  <c r="W25" i="9"/>
  <c r="X57" i="9"/>
  <c r="X28" i="9"/>
  <c r="W42" i="10"/>
  <c r="X12" i="9"/>
  <c r="S10" i="1"/>
  <c r="X43" i="9"/>
  <c r="S28" i="1"/>
  <c r="W37" i="10"/>
  <c r="S46" i="1"/>
  <c r="S47" i="1"/>
  <c r="S57" i="10"/>
  <c r="X57" i="10" s="1"/>
  <c r="S49" i="1"/>
  <c r="W50" i="9"/>
  <c r="S41" i="1"/>
  <c r="W12" i="10"/>
  <c r="S36" i="1"/>
  <c r="W53" i="9"/>
  <c r="S47" i="10"/>
  <c r="X47" i="10" s="1"/>
  <c r="W22" i="9"/>
  <c r="W31" i="10"/>
  <c r="T31" i="10"/>
  <c r="T59" i="10"/>
  <c r="W59" i="10"/>
  <c r="W15" i="9"/>
  <c r="W17" i="10"/>
  <c r="W34" i="9"/>
  <c r="W30" i="9"/>
  <c r="T27" i="9"/>
  <c r="W59" i="9"/>
  <c r="T59" i="9"/>
  <c r="W54" i="10"/>
  <c r="T39" i="10"/>
  <c r="W27" i="10"/>
  <c r="W52" i="10"/>
  <c r="T7" i="1"/>
  <c r="T8" i="1"/>
  <c r="T23" i="1"/>
  <c r="T24" i="1"/>
  <c r="T28" i="1"/>
  <c r="T30" i="1"/>
  <c r="T39" i="1"/>
  <c r="T40" i="1"/>
  <c r="T55" i="1"/>
  <c r="T56" i="1"/>
  <c r="T11" i="10" l="1"/>
  <c r="T39" i="9"/>
  <c r="W14" i="9"/>
  <c r="T13" i="9"/>
  <c r="T20" i="10"/>
  <c r="T14" i="10"/>
  <c r="T35" i="9"/>
  <c r="T31" i="9"/>
  <c r="T40" i="9"/>
  <c r="T49" i="10"/>
  <c r="T19" i="10"/>
  <c r="T54" i="10"/>
  <c r="W40" i="9"/>
  <c r="T15" i="9"/>
  <c r="T15" i="10"/>
  <c r="W49" i="10"/>
  <c r="T44" i="10"/>
  <c r="T26" i="9"/>
  <c r="T32" i="10"/>
  <c r="T41" i="10"/>
  <c r="T44" i="9"/>
  <c r="T10" i="10"/>
  <c r="T26" i="10"/>
  <c r="T17" i="9"/>
  <c r="T27" i="10"/>
  <c r="T40" i="10"/>
  <c r="T9" i="9"/>
  <c r="T32" i="9"/>
  <c r="T41" i="9"/>
  <c r="T8" i="9"/>
  <c r="T52" i="10"/>
  <c r="T55" i="9"/>
  <c r="T9" i="10"/>
  <c r="T8" i="10"/>
  <c r="W39" i="9"/>
  <c r="T48" i="9"/>
  <c r="T37" i="10"/>
  <c r="T16" i="10"/>
  <c r="W52" i="9"/>
  <c r="T49" i="9"/>
  <c r="T10" i="9"/>
  <c r="T54" i="9"/>
  <c r="T12" i="9"/>
  <c r="T38" i="9"/>
  <c r="T18" i="9"/>
  <c r="T53" i="9"/>
  <c r="T20" i="9"/>
  <c r="T34" i="10"/>
  <c r="T13" i="10"/>
  <c r="T46" i="10"/>
  <c r="T58" i="10"/>
  <c r="T25" i="9"/>
  <c r="W38" i="9"/>
  <c r="T57" i="9"/>
  <c r="T47" i="9"/>
  <c r="T21" i="10"/>
  <c r="T57" i="10"/>
  <c r="W58" i="10"/>
  <c r="T55" i="10"/>
  <c r="T45" i="10"/>
  <c r="W11" i="10"/>
  <c r="T36" i="9"/>
  <c r="W18" i="9"/>
  <c r="T34" i="9"/>
  <c r="T56" i="9"/>
  <c r="T43" i="9"/>
  <c r="T23" i="9"/>
  <c r="S65" i="9"/>
  <c r="T50" i="10"/>
  <c r="T56" i="10"/>
  <c r="T30" i="9"/>
  <c r="T23" i="10"/>
  <c r="T42" i="10"/>
  <c r="T33" i="9"/>
  <c r="T45" i="9"/>
  <c r="T33" i="10"/>
  <c r="T17" i="10"/>
  <c r="T53" i="10"/>
  <c r="T16" i="9"/>
  <c r="T18" i="10"/>
  <c r="T43" i="10"/>
  <c r="W43" i="9"/>
  <c r="T47" i="10"/>
  <c r="T42" i="9"/>
  <c r="T50" i="9"/>
  <c r="T35" i="10"/>
  <c r="T28" i="9"/>
  <c r="T22" i="10"/>
  <c r="Q64" i="9"/>
  <c r="T46" i="9"/>
  <c r="S5" i="10"/>
  <c r="T25" i="10"/>
  <c r="T19" i="9"/>
  <c r="S63" i="10"/>
  <c r="T51" i="10"/>
  <c r="T37" i="9"/>
  <c r="Q63" i="10"/>
  <c r="T28" i="10"/>
  <c r="T36" i="10"/>
  <c r="T29" i="10"/>
  <c r="Q65" i="10"/>
  <c r="S65" i="10"/>
  <c r="T51" i="9"/>
  <c r="T11" i="9"/>
  <c r="Q65" i="9"/>
  <c r="T30" i="10"/>
  <c r="T24" i="10"/>
  <c r="S62" i="10"/>
  <c r="W11" i="9"/>
  <c r="Q62" i="10"/>
  <c r="Q63" i="9"/>
  <c r="W37" i="9"/>
  <c r="T12" i="10"/>
  <c r="T38" i="10"/>
  <c r="T22" i="9"/>
  <c r="T7" i="10"/>
  <c r="T24" i="9"/>
  <c r="T58" i="9"/>
  <c r="T21" i="9"/>
  <c r="T48" i="10"/>
  <c r="S63" i="9"/>
  <c r="Q5" i="10"/>
  <c r="Q5" i="9"/>
  <c r="Q64" i="10"/>
  <c r="S62" i="9"/>
  <c r="Q62" i="9"/>
  <c r="S64" i="10"/>
  <c r="T29" i="9"/>
  <c r="S64" i="9"/>
  <c r="S5" i="9"/>
  <c r="N24" i="1"/>
  <c r="X65" i="10"/>
  <c r="X64" i="10"/>
  <c r="X63" i="10"/>
  <c r="X62" i="10"/>
  <c r="Z7" i="10"/>
  <c r="X65" i="9"/>
  <c r="X64" i="9"/>
  <c r="X62" i="9"/>
  <c r="X63" i="9"/>
  <c r="N55" i="1"/>
  <c r="N42" i="1"/>
  <c r="T42" i="1"/>
  <c r="N10" i="1"/>
  <c r="T10" i="1"/>
  <c r="N57" i="1"/>
  <c r="T57" i="1"/>
  <c r="N49" i="1"/>
  <c r="T49" i="1"/>
  <c r="N41" i="1"/>
  <c r="T41" i="1"/>
  <c r="N33" i="1"/>
  <c r="T33" i="1"/>
  <c r="N25" i="1"/>
  <c r="T25" i="1"/>
  <c r="N17" i="1"/>
  <c r="T17" i="1"/>
  <c r="N9" i="1"/>
  <c r="T9" i="1"/>
  <c r="N23" i="1"/>
  <c r="N48" i="1"/>
  <c r="T48" i="1"/>
  <c r="N32" i="1"/>
  <c r="T32" i="1"/>
  <c r="N16" i="1"/>
  <c r="T16" i="1"/>
  <c r="N8" i="1"/>
  <c r="N47" i="1"/>
  <c r="T47" i="1"/>
  <c r="N31" i="1"/>
  <c r="T31" i="1"/>
  <c r="N15" i="1"/>
  <c r="T15" i="1"/>
  <c r="N7" i="1"/>
  <c r="N54" i="1"/>
  <c r="T54" i="1"/>
  <c r="N46" i="1"/>
  <c r="T46" i="1"/>
  <c r="N38" i="1"/>
  <c r="T38" i="1"/>
  <c r="N30" i="1"/>
  <c r="N22" i="1"/>
  <c r="T22" i="1"/>
  <c r="N14" i="1"/>
  <c r="T14" i="1"/>
  <c r="N56" i="1"/>
  <c r="N58" i="1"/>
  <c r="T58" i="1"/>
  <c r="N34" i="1"/>
  <c r="T34" i="1"/>
  <c r="N18" i="1"/>
  <c r="T18" i="1"/>
  <c r="N53" i="1"/>
  <c r="T53" i="1"/>
  <c r="N45" i="1"/>
  <c r="T45" i="1"/>
  <c r="N21" i="1"/>
  <c r="T21" i="1"/>
  <c r="N52" i="1"/>
  <c r="T52" i="1"/>
  <c r="N44" i="1"/>
  <c r="T44" i="1"/>
  <c r="N36" i="1"/>
  <c r="T36" i="1"/>
  <c r="N28" i="1"/>
  <c r="N20" i="1"/>
  <c r="T20" i="1"/>
  <c r="N12" i="1"/>
  <c r="T12" i="1"/>
  <c r="N40" i="1"/>
  <c r="N50" i="1"/>
  <c r="T50" i="1"/>
  <c r="N26" i="1"/>
  <c r="T26" i="1"/>
  <c r="N37" i="1"/>
  <c r="T37" i="1"/>
  <c r="N29" i="1"/>
  <c r="T29" i="1"/>
  <c r="N13" i="1"/>
  <c r="T13" i="1"/>
  <c r="T6" i="1"/>
  <c r="N51" i="1"/>
  <c r="T51" i="1"/>
  <c r="N43" i="1"/>
  <c r="T43" i="1"/>
  <c r="N35" i="1"/>
  <c r="T35" i="1"/>
  <c r="N27" i="1"/>
  <c r="T27" i="1"/>
  <c r="N19" i="1"/>
  <c r="T19" i="1"/>
  <c r="N11" i="1"/>
  <c r="T11" i="1"/>
  <c r="N39" i="1"/>
  <c r="T62" i="10" l="1"/>
  <c r="W65" i="10"/>
  <c r="W62" i="9"/>
  <c r="W65" i="9"/>
  <c r="W64" i="9"/>
  <c r="W63" i="9"/>
  <c r="T62" i="9"/>
  <c r="Z25" i="10"/>
  <c r="AB25" i="9"/>
  <c r="W62" i="10"/>
  <c r="W63" i="10"/>
  <c r="T63" i="10"/>
  <c r="W64" i="10"/>
  <c r="T65" i="10"/>
  <c r="T64" i="10"/>
  <c r="U24" i="1"/>
  <c r="T63" i="9"/>
  <c r="T64" i="9"/>
  <c r="R59" i="6"/>
  <c r="R3" i="6" s="1"/>
  <c r="T65" i="9"/>
  <c r="S59" i="6"/>
  <c r="S3" i="6" s="1"/>
  <c r="Z34" i="10"/>
  <c r="Z13" i="10"/>
  <c r="Z20" i="10"/>
  <c r="Z21" i="10"/>
  <c r="Z23" i="10"/>
  <c r="Z8" i="10"/>
  <c r="Z10" i="10"/>
  <c r="Z42" i="10"/>
  <c r="Z43" i="10"/>
  <c r="AA25" i="10"/>
  <c r="AB25" i="10"/>
  <c r="AA7" i="10"/>
  <c r="AB7" i="10"/>
  <c r="Z24" i="10"/>
  <c r="Z28" i="10"/>
  <c r="Z27" i="10"/>
  <c r="Z29" i="10"/>
  <c r="Z22" i="10"/>
  <c r="Z35" i="10"/>
  <c r="Z31" i="10"/>
  <c r="Z17" i="10"/>
  <c r="AA25" i="9"/>
  <c r="Z38" i="10"/>
  <c r="Z16" i="10"/>
  <c r="Z50" i="10"/>
  <c r="Z15" i="10"/>
  <c r="Z48" i="10"/>
  <c r="Z11" i="10"/>
  <c r="Z53" i="10"/>
  <c r="Z9" i="10"/>
  <c r="Z18" i="10"/>
  <c r="Z40" i="10"/>
  <c r="Z36" i="10"/>
  <c r="Z14" i="10"/>
  <c r="Z51" i="10"/>
  <c r="Z37" i="10"/>
  <c r="Z46" i="10"/>
  <c r="Z59" i="10"/>
  <c r="Z39" i="10"/>
  <c r="Z33" i="10"/>
  <c r="Z19" i="10"/>
  <c r="Z57" i="10"/>
  <c r="AA7" i="9"/>
  <c r="AB7" i="9"/>
  <c r="Z52" i="10"/>
  <c r="Z55" i="10"/>
  <c r="Z56" i="10"/>
  <c r="Z41" i="10"/>
  <c r="Z32" i="10"/>
  <c r="U31" i="1"/>
  <c r="Z26" i="10"/>
  <c r="Z58" i="10"/>
  <c r="Z12" i="10"/>
  <c r="Z44" i="10"/>
  <c r="Z30" i="10"/>
  <c r="U29" i="1"/>
  <c r="Z45" i="10"/>
  <c r="Z54" i="10"/>
  <c r="Z47" i="10"/>
  <c r="Z49" i="10"/>
  <c r="U48" i="1"/>
  <c r="U36" i="1"/>
  <c r="U46" i="1"/>
  <c r="U40" i="1"/>
  <c r="U58" i="1"/>
  <c r="U23" i="1"/>
  <c r="U49" i="1"/>
  <c r="U33" i="1"/>
  <c r="U7" i="1"/>
  <c r="U41" i="1"/>
  <c r="U15" i="1"/>
  <c r="U52" i="1"/>
  <c r="U11" i="1"/>
  <c r="U56" i="1"/>
  <c r="U54" i="1"/>
  <c r="U21" i="1"/>
  <c r="U9" i="1"/>
  <c r="U57" i="1"/>
  <c r="U42" i="1"/>
  <c r="U26" i="1"/>
  <c r="U44" i="1"/>
  <c r="U50" i="1"/>
  <c r="U14" i="1"/>
  <c r="U47" i="1"/>
  <c r="U20" i="1"/>
  <c r="U17" i="1"/>
  <c r="U32" i="1"/>
  <c r="U34" i="1"/>
  <c r="U51" i="1"/>
  <c r="U12" i="1"/>
  <c r="U45" i="1"/>
  <c r="U22" i="1"/>
  <c r="U8" i="1"/>
  <c r="U18" i="1"/>
  <c r="U43" i="1"/>
  <c r="U39" i="1"/>
  <c r="U19" i="1"/>
  <c r="U28" i="1"/>
  <c r="U25" i="1"/>
  <c r="U10" i="1"/>
  <c r="U55" i="1"/>
  <c r="U38" i="1"/>
  <c r="U13" i="1"/>
  <c r="U27" i="1"/>
  <c r="U53" i="1"/>
  <c r="U35" i="1"/>
  <c r="U37" i="1"/>
  <c r="U30" i="1"/>
  <c r="U16" i="1"/>
  <c r="T4" i="1"/>
  <c r="Y3" i="6" l="1"/>
  <c r="W3" i="6"/>
  <c r="U59" i="6"/>
  <c r="U3" i="6" s="1"/>
  <c r="Z63" i="9"/>
  <c r="AA49" i="10"/>
  <c r="AB49" i="10"/>
  <c r="AA54" i="9"/>
  <c r="AB54" i="9"/>
  <c r="AA30" i="9"/>
  <c r="AB30" i="9"/>
  <c r="AA58" i="9"/>
  <c r="AB58" i="9"/>
  <c r="AA52" i="9"/>
  <c r="AB52" i="9"/>
  <c r="AA9" i="9"/>
  <c r="AB9" i="9"/>
  <c r="AA47" i="10"/>
  <c r="AB47" i="10"/>
  <c r="AA26" i="9"/>
  <c r="AB26" i="9"/>
  <c r="Z62" i="9"/>
  <c r="AA44" i="9"/>
  <c r="AB44" i="9"/>
  <c r="AA37" i="10"/>
  <c r="AB37" i="10"/>
  <c r="AA30" i="10"/>
  <c r="AB30" i="10"/>
  <c r="AA12" i="10"/>
  <c r="AB12" i="10"/>
  <c r="AA52" i="10"/>
  <c r="AB52" i="10"/>
  <c r="AA33" i="10"/>
  <c r="AB33" i="10"/>
  <c r="AA37" i="9"/>
  <c r="AB37" i="9"/>
  <c r="AA40" i="10"/>
  <c r="AB40" i="10"/>
  <c r="AA9" i="10"/>
  <c r="AB9" i="10"/>
  <c r="AA11" i="9"/>
  <c r="AB11" i="9"/>
  <c r="AA15" i="10"/>
  <c r="AB15" i="10"/>
  <c r="AA16" i="10"/>
  <c r="AB16" i="10"/>
  <c r="AA17" i="10"/>
  <c r="AB17" i="10"/>
  <c r="AA29" i="9"/>
  <c r="AB29" i="9"/>
  <c r="AA28" i="9"/>
  <c r="AB28" i="9"/>
  <c r="AA24" i="9"/>
  <c r="AB24" i="9"/>
  <c r="Z63" i="10"/>
  <c r="AA23" i="10"/>
  <c r="AB23" i="10"/>
  <c r="AA20" i="10"/>
  <c r="AB20" i="10"/>
  <c r="AA56" i="10"/>
  <c r="AB56" i="10"/>
  <c r="AA17" i="9"/>
  <c r="AB17" i="9"/>
  <c r="AA49" i="9"/>
  <c r="AB49" i="9"/>
  <c r="AA12" i="9"/>
  <c r="AB12" i="9"/>
  <c r="AA26" i="10"/>
  <c r="AB26" i="10"/>
  <c r="AA19" i="10"/>
  <c r="AB19" i="10"/>
  <c r="AA18" i="10"/>
  <c r="AB18" i="10"/>
  <c r="AA27" i="10"/>
  <c r="AB27" i="10"/>
  <c r="AA24" i="10"/>
  <c r="AB24" i="10"/>
  <c r="AA8" i="9"/>
  <c r="AB8" i="9"/>
  <c r="AA47" i="9"/>
  <c r="AB47" i="9"/>
  <c r="AA45" i="10"/>
  <c r="AB45" i="10"/>
  <c r="AA55" i="9"/>
  <c r="AB55" i="9"/>
  <c r="AA51" i="9"/>
  <c r="AB51" i="9"/>
  <c r="AA36" i="10"/>
  <c r="AB36" i="10"/>
  <c r="AA50" i="10"/>
  <c r="AB50" i="10"/>
  <c r="Z62" i="10"/>
  <c r="AA42" i="10"/>
  <c r="AB42" i="10"/>
  <c r="AA21" i="10"/>
  <c r="AB21" i="10"/>
  <c r="U4" i="1"/>
  <c r="AA32" i="10"/>
  <c r="AB32" i="10"/>
  <c r="AA33" i="9"/>
  <c r="AB33" i="9"/>
  <c r="Z64" i="10"/>
  <c r="Z64" i="9"/>
  <c r="AA10" i="9"/>
  <c r="AB10" i="9"/>
  <c r="AA39" i="9"/>
  <c r="AB39" i="9"/>
  <c r="AA46" i="10"/>
  <c r="AB46" i="10"/>
  <c r="AA51" i="10"/>
  <c r="AB51" i="10"/>
  <c r="AA53" i="10"/>
  <c r="AB53" i="10"/>
  <c r="AA48" i="9"/>
  <c r="AB48" i="9"/>
  <c r="AA38" i="10"/>
  <c r="AB38" i="10"/>
  <c r="AA31" i="9"/>
  <c r="AB31" i="9"/>
  <c r="AA22" i="10"/>
  <c r="AB22" i="10"/>
  <c r="Z65" i="10"/>
  <c r="AA20" i="9"/>
  <c r="AB20" i="9"/>
  <c r="AA44" i="10"/>
  <c r="AB44" i="10"/>
  <c r="AA19" i="9"/>
  <c r="AB19" i="9"/>
  <c r="AA39" i="10"/>
  <c r="AB39" i="10"/>
  <c r="AA46" i="9"/>
  <c r="AB46" i="9"/>
  <c r="AA36" i="9"/>
  <c r="AB36" i="9"/>
  <c r="AA53" i="9"/>
  <c r="AB53" i="9"/>
  <c r="AA48" i="10"/>
  <c r="AB48" i="10"/>
  <c r="AA38" i="9"/>
  <c r="AB38" i="9"/>
  <c r="AA31" i="10"/>
  <c r="AB31" i="10"/>
  <c r="AA22" i="9"/>
  <c r="AB22" i="9"/>
  <c r="AA27" i="9"/>
  <c r="AB27" i="9"/>
  <c r="AA8" i="10"/>
  <c r="AB8" i="10"/>
  <c r="AA21" i="9"/>
  <c r="AB21" i="9"/>
  <c r="AA45" i="9"/>
  <c r="AB45" i="9"/>
  <c r="AA41" i="10"/>
  <c r="AB41" i="10"/>
  <c r="AA18" i="9"/>
  <c r="AB18" i="9"/>
  <c r="AA50" i="9"/>
  <c r="AB50" i="9"/>
  <c r="AA42" i="9"/>
  <c r="AB42" i="9"/>
  <c r="AA13" i="10"/>
  <c r="AB13" i="10"/>
  <c r="AA34" i="10"/>
  <c r="AB34" i="10"/>
  <c r="AA55" i="10"/>
  <c r="AB55" i="10"/>
  <c r="AA57" i="10"/>
  <c r="AB57" i="10"/>
  <c r="AA59" i="10"/>
  <c r="AB59" i="10"/>
  <c r="AA14" i="10"/>
  <c r="AB14" i="10"/>
  <c r="AA40" i="9"/>
  <c r="AB40" i="9"/>
  <c r="AA11" i="10"/>
  <c r="AB11" i="10"/>
  <c r="AA15" i="9"/>
  <c r="AB15" i="9"/>
  <c r="AA16" i="9"/>
  <c r="AB16" i="9"/>
  <c r="AA35" i="10"/>
  <c r="AB35" i="10"/>
  <c r="AA43" i="10"/>
  <c r="AB43" i="10"/>
  <c r="AA23" i="9"/>
  <c r="AB23" i="9"/>
  <c r="AA13" i="9"/>
  <c r="AB13" i="9"/>
  <c r="AA41" i="9"/>
  <c r="AB41" i="9"/>
  <c r="AA54" i="10"/>
  <c r="AB54" i="10"/>
  <c r="AA58" i="10"/>
  <c r="AB58" i="10"/>
  <c r="AA32" i="9"/>
  <c r="AB32" i="9"/>
  <c r="AA56" i="9"/>
  <c r="AB56" i="9"/>
  <c r="Z65" i="9"/>
  <c r="AA57" i="9"/>
  <c r="AB57" i="9"/>
  <c r="AA59" i="9"/>
  <c r="AB59" i="9"/>
  <c r="AB14" i="9"/>
  <c r="AA14" i="9"/>
  <c r="AA35" i="9"/>
  <c r="AB35" i="9"/>
  <c r="AA29" i="10"/>
  <c r="AB29" i="10"/>
  <c r="AA28" i="10"/>
  <c r="AB28" i="10"/>
  <c r="AA43" i="9"/>
  <c r="AB43" i="9"/>
  <c r="AA10" i="10"/>
  <c r="AB10" i="10"/>
  <c r="AA34" i="9"/>
  <c r="AB34" i="9"/>
  <c r="AA62" i="10" l="1"/>
  <c r="AA63" i="9"/>
  <c r="AA64" i="10"/>
  <c r="AA62" i="9"/>
  <c r="AB65" i="9"/>
  <c r="AB64" i="9"/>
  <c r="AB62" i="10"/>
  <c r="AB62" i="9"/>
  <c r="AA65" i="9"/>
  <c r="AA63" i="10"/>
  <c r="AA64" i="9"/>
  <c r="AB63" i="9"/>
  <c r="AB64" i="10"/>
  <c r="AB63" i="10"/>
  <c r="AA65" i="10"/>
  <c r="AB65" i="1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tc={35DA9A3B-7FB7-49D3-AE59-05B6552079A3}</author>
  </authors>
  <commentList>
    <comment ref="F9" authorId="0" shapeId="0" xr:uid="{35DA9A3B-7FB7-49D3-AE59-05B6552079A3}">
      <text>
        <t>[Threaded comment]
Your version of Excel allows you to read this threaded comment; however, any edits to it will get removed if the file is opened in a newer version of Excel. Learn more: https://go.microsoft.com/fwlink/?linkid=870924
Comment:
    Final Policy POC CHWM for Blachly-Lane is incorrectly 4 aMW, pasted the value from the draft policy calculations that were based on forecasts</t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<sst xmlns="http://schemas.openxmlformats.org/spreadsheetml/2006/main" count="1272" uniqueCount="366">
  <si>
    <t>Alder Mutual Light</t>
  </si>
  <si>
    <t>Benton Rural Elect. Assoc.</t>
  </si>
  <si>
    <t>Big Bend Electric Coop.</t>
  </si>
  <si>
    <t>Blachly-Lane Electric</t>
  </si>
  <si>
    <t>City of Cascade Locks</t>
  </si>
  <si>
    <t>Central Electric</t>
  </si>
  <si>
    <t>Clallam County PUD</t>
  </si>
  <si>
    <t>Clearwater Power</t>
  </si>
  <si>
    <t>Columbia Basin Coop.</t>
  </si>
  <si>
    <t>Columbia Power Coop.</t>
  </si>
  <si>
    <t>Columbia REA</t>
  </si>
  <si>
    <t>Consumers Power</t>
  </si>
  <si>
    <t>Coos-Curry Electric</t>
  </si>
  <si>
    <t>Douglas Electric Coop.</t>
  </si>
  <si>
    <t>East End Mutual Elect.</t>
  </si>
  <si>
    <t>Emerald PUD</t>
  </si>
  <si>
    <t>Fall River Electric Coop.</t>
  </si>
  <si>
    <t>Ferry County PUD</t>
  </si>
  <si>
    <t>Glacier Electric Coop.</t>
  </si>
  <si>
    <t>Harney Electric Coop.</t>
  </si>
  <si>
    <t>Idaho County L&amp;P Coop.</t>
  </si>
  <si>
    <t>Inland Power &amp; Light</t>
  </si>
  <si>
    <t>Kittitas County PUD</t>
  </si>
  <si>
    <t>Klickitat</t>
  </si>
  <si>
    <t>Lane Electric Coop</t>
  </si>
  <si>
    <t>Lewis County PUD</t>
  </si>
  <si>
    <t>Lincoln Electric</t>
  </si>
  <si>
    <t>Lost River Electric</t>
  </si>
  <si>
    <t>Lower Valley Energy</t>
  </si>
  <si>
    <t>Midstate Electric Coop.</t>
  </si>
  <si>
    <t>Mission Valley Power</t>
  </si>
  <si>
    <t>Missoula Electric Coop.</t>
  </si>
  <si>
    <t>Nespelem Valley Electric</t>
  </si>
  <si>
    <t>Northern Lights</t>
  </si>
  <si>
    <t>Ohop Mutual Light</t>
  </si>
  <si>
    <t>Okanogan County</t>
  </si>
  <si>
    <t>Orcas Power &amp; Light</t>
  </si>
  <si>
    <t>Oregon Trail Electric Coop.</t>
  </si>
  <si>
    <t>Raft River Electric</t>
  </si>
  <si>
    <t>Ravalli Electric Coop.</t>
  </si>
  <si>
    <t>Riverside Electric Co.</t>
  </si>
  <si>
    <t>Salmon River Electric</t>
  </si>
  <si>
    <t>Skamania County PUD</t>
  </si>
  <si>
    <t>South Side Electric</t>
  </si>
  <si>
    <t>Surprise Valley Electric</t>
  </si>
  <si>
    <t>Umatilla Electric</t>
  </si>
  <si>
    <t>United</t>
  </si>
  <si>
    <t>Vigilante Electric Coop.</t>
  </si>
  <si>
    <t>Wahkiakum County PUD</t>
  </si>
  <si>
    <t>Wasco Electric Coop.</t>
  </si>
  <si>
    <t>Wells Rural Electric Co.</t>
  </si>
  <si>
    <t>West Oregon Electric</t>
  </si>
  <si>
    <t>Yakama Power</t>
  </si>
  <si>
    <t xml:space="preserve"> Killowatthour/ Investment Ratio</t>
  </si>
  <si>
    <t>Consumers/ Mile of Line Ratio</t>
  </si>
  <si>
    <t>K/I Ratio Percentage Discount based on Table B in GRSPII.B.3</t>
  </si>
  <si>
    <t>C/M Ratio Percentage Discount based on Table B in GRSPII.B.3</t>
  </si>
  <si>
    <t>Preliminary Eligible LDD Percentage (Sum of K/I and C/M Percentage) (Before Phase-In Adjustment)</t>
  </si>
  <si>
    <t>Adjustment for Very Low Densities (0.5% if C/M Ratio &lt; or = 3 and K/I Ratio &lt; or = 26)</t>
  </si>
  <si>
    <t>BESID</t>
  </si>
  <si>
    <t>Preference Customer Name</t>
  </si>
  <si>
    <t>Eligible Low Density Discount for FY2024</t>
  </si>
  <si>
    <t>(Excluding Phase-In Adjustment Procedure)</t>
  </si>
  <si>
    <t>Marginal Cost of load growth on LDD:</t>
  </si>
  <si>
    <t>LDD Cost</t>
  </si>
  <si>
    <t>LDD Cost (with only eligible loads)</t>
  </si>
  <si>
    <t>FY2024</t>
  </si>
  <si>
    <t>FY2023</t>
  </si>
  <si>
    <t>FY2022</t>
  </si>
  <si>
    <t>FY2021</t>
  </si>
  <si>
    <t>FY2020</t>
  </si>
  <si>
    <t>FY2019</t>
  </si>
  <si>
    <t>FY2018</t>
  </si>
  <si>
    <t>FY2017</t>
  </si>
  <si>
    <t>FY2016</t>
  </si>
  <si>
    <t>Applicable LDD 2024</t>
  </si>
  <si>
    <t>Eligible LDD w/o phase-in 2024</t>
  </si>
  <si>
    <t>PNGC</t>
  </si>
  <si>
    <t>AccountName</t>
  </si>
  <si>
    <t>Blachly Lane Elec Coop</t>
  </si>
  <si>
    <t>Central Electric Coop</t>
  </si>
  <si>
    <t>Coos Curry Elec Coop</t>
  </si>
  <si>
    <t>Douglas Electric Cooperative</t>
  </si>
  <si>
    <t>Fall River Elec Coop</t>
  </si>
  <si>
    <t>Flathead Elec Coop</t>
  </si>
  <si>
    <t>Lane County Elec Coop</t>
  </si>
  <si>
    <t>Lincoln Elec Coop (MT)</t>
  </si>
  <si>
    <t>Okanogan County Elec Coop</t>
  </si>
  <si>
    <t>Orcas P &amp; L</t>
  </si>
  <si>
    <t>Raft River Elec Coop</t>
  </si>
  <si>
    <t>Ravalli County Elec Coop</t>
  </si>
  <si>
    <t>West Oregon Elec Coop</t>
  </si>
  <si>
    <t>PNGC Aggregate</t>
  </si>
  <si>
    <t>TOCA 2024</t>
  </si>
  <si>
    <t xml:space="preserve">Load Shaping </t>
  </si>
  <si>
    <t>Demand</t>
  </si>
  <si>
    <t>PNGC Share</t>
  </si>
  <si>
    <t>LS + Demand</t>
  </si>
  <si>
    <t>STATUS QUO Applicable LDD $</t>
  </si>
  <si>
    <t xml:space="preserve">STATUS QUO Eligible LDD $ </t>
  </si>
  <si>
    <t>FY 2024 Tier 1 Load MWh</t>
  </si>
  <si>
    <t>$</t>
  </si>
  <si>
    <t>cap:</t>
  </si>
  <si>
    <t>Tier 1 Effective Rate</t>
  </si>
  <si>
    <t>Table 3: RHWM Process Outputs for FY 2026-2028 Rate Period - Above RHWM Load Service</t>
  </si>
  <si>
    <t>TOC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</si>
  <si>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</si>
  <si>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</si>
  <si>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</si>
  <si>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</si>
  <si>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</si>
  <si>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</si>
  <si>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</si>
  <si>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</si>
  <si>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</si>
  <si>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</si>
  <si>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</si>
  <si>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</si>
  <si>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</si>
  <si>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é</t>
  </si>
  <si>
    <t>Preference Customer</t>
  </si>
  <si>
    <t>NOTJOE</t>
  </si>
  <si>
    <t>JOE</t>
  </si>
  <si>
    <t>TRL - NLSL - Existing Resource 2026</t>
  </si>
  <si>
    <t>TRL - NLSL - Existing Resource 2027</t>
  </si>
  <si>
    <t>TRL - NLSL - Existing Resource 2028</t>
  </si>
  <si>
    <t>RHWM 2026</t>
  </si>
  <si>
    <t>Above RHWM 2026</t>
  </si>
  <si>
    <t>Above RHWM 2027</t>
  </si>
  <si>
    <t>Above RHWM 2028</t>
  </si>
  <si>
    <t>Above RHWM Load Served at the LS rate 2026</t>
  </si>
  <si>
    <t>Above RHWM Load Served at the LS rate 2027</t>
  </si>
  <si>
    <t>Above RHWM Load Served at the LS rate 2028</t>
  </si>
  <si>
    <t>Remaining Above RHWM 2026</t>
  </si>
  <si>
    <t>Remaining Above RHWM 2027</t>
  </si>
  <si>
    <t>Remaining Above RHWM 2028</t>
  </si>
  <si>
    <t>Asotin County PUD #1</t>
  </si>
  <si>
    <t>Benton County PUD #1</t>
  </si>
  <si>
    <t>Benton REA</t>
  </si>
  <si>
    <t>Big Bend Elec Coop</t>
  </si>
  <si>
    <t>Canby, City of</t>
  </si>
  <si>
    <t>Central Lincoln PUD</t>
  </si>
  <si>
    <t>Albion, City of</t>
  </si>
  <si>
    <t>Ashland, City of</t>
  </si>
  <si>
    <t>Bandon, City of</t>
  </si>
  <si>
    <t>Blaine, City of</t>
  </si>
  <si>
    <t>Bonners Ferry, City of</t>
  </si>
  <si>
    <t>Burley, City of</t>
  </si>
  <si>
    <t>Cascade Locks, City of</t>
  </si>
  <si>
    <t>Centralia, City of</t>
  </si>
  <si>
    <t>Cheney, City of</t>
  </si>
  <si>
    <t>Chewelah, City of</t>
  </si>
  <si>
    <t>Declo, City of</t>
  </si>
  <si>
    <t>Drain, City of</t>
  </si>
  <si>
    <t>Ellensburg, City of</t>
  </si>
  <si>
    <t>Forest Grove, City of</t>
  </si>
  <si>
    <t>Heyburn, City of</t>
  </si>
  <si>
    <t>McCleary, City of</t>
  </si>
  <si>
    <t>McMinnville, City of</t>
  </si>
  <si>
    <t>Milton, Town of</t>
  </si>
  <si>
    <t>Milton-Freewater, City of</t>
  </si>
  <si>
    <t>Minidoka, City of</t>
  </si>
  <si>
    <t>Monmouth, City of</t>
  </si>
  <si>
    <t>Plummer, City of</t>
  </si>
  <si>
    <t>Port Angeles, City of</t>
  </si>
  <si>
    <t>Richland, City of</t>
  </si>
  <si>
    <t>Rupert, City of</t>
  </si>
  <si>
    <t>Soda Springs, City of</t>
  </si>
  <si>
    <t>Sumas, Town of</t>
  </si>
  <si>
    <t>Troy, City of</t>
  </si>
  <si>
    <t>Clallam County PUD #1</t>
  </si>
  <si>
    <t>Clark County PUD #1</t>
  </si>
  <si>
    <t>Clatskanie PUD</t>
  </si>
  <si>
    <t>Columbia Basin Elec Coop</t>
  </si>
  <si>
    <t>Columbia Power Coop</t>
  </si>
  <si>
    <t>Columbia River PUD</t>
  </si>
  <si>
    <t>Consolidated Irrigation District #19</t>
  </si>
  <si>
    <t>Cowlitz County PUD #1</t>
  </si>
  <si>
    <t>East End Mutual Electric</t>
  </si>
  <si>
    <t>Eatonville, City of</t>
  </si>
  <si>
    <t>Elmhurst Mutual P &amp; L</t>
  </si>
  <si>
    <t>Energy Northwest</t>
  </si>
  <si>
    <t>Eugene Water &amp; Electric Board</t>
  </si>
  <si>
    <t>U.S. Airforce Base, Fairchild</t>
  </si>
  <si>
    <t>Farmers Elec Coop</t>
  </si>
  <si>
    <t>Ferry County PUD #1</t>
  </si>
  <si>
    <t>Franklin County PUD #1</t>
  </si>
  <si>
    <t>Glacier Elec  Coop</t>
  </si>
  <si>
    <t>Grant County PUD #2</t>
  </si>
  <si>
    <t>Grays Harbor PUD #1</t>
  </si>
  <si>
    <t>Harney Elec Coop</t>
  </si>
  <si>
    <t>Hood River Elec Coop</t>
  </si>
  <si>
    <t>Idaho County L &amp; P</t>
  </si>
  <si>
    <t>Idaho Falls Power</t>
  </si>
  <si>
    <t>Inland P &amp; L</t>
  </si>
  <si>
    <t>Kittitas County PUD #1</t>
  </si>
  <si>
    <t>Klickitat County PUD #1</t>
  </si>
  <si>
    <t>Kootenai Electric Coop</t>
  </si>
  <si>
    <t>Lakeview L &amp; P (WA)</t>
  </si>
  <si>
    <t>Lewis County PUD #1</t>
  </si>
  <si>
    <t>Lost River Elec Coop</t>
  </si>
  <si>
    <t>Mason County PUD #1</t>
  </si>
  <si>
    <t>Mason County PUD #3</t>
  </si>
  <si>
    <t>Midstate Elec Coop</t>
  </si>
  <si>
    <t>Mission Valley</t>
  </si>
  <si>
    <t>Missoula Elec Coop</t>
  </si>
  <si>
    <t>Modern Elec Coop</t>
  </si>
  <si>
    <t>Nespelem Valley Elec Coop</t>
  </si>
  <si>
    <t>Northern Wasco County PUD</t>
  </si>
  <si>
    <t>Ohop Mutual Light Company</t>
  </si>
  <si>
    <t>Okanogan County PUD #1</t>
  </si>
  <si>
    <t>Oregon Trail Coop</t>
  </si>
  <si>
    <t>Pacific County PUD #2</t>
  </si>
  <si>
    <t>Parkland L &amp; W</t>
  </si>
  <si>
    <t>Pend Oreille County PUD  #1</t>
  </si>
  <si>
    <t>Peninsula Light Company</t>
  </si>
  <si>
    <t>U.S. Naval Base,  Bremerton</t>
  </si>
  <si>
    <t>Riverside Elec Coop</t>
  </si>
  <si>
    <t>Salem Elec Coop</t>
  </si>
  <si>
    <t>Salmon River Elec Coop</t>
  </si>
  <si>
    <t>Seattle City Light</t>
  </si>
  <si>
    <t>Skamania County PUD #1</t>
  </si>
  <si>
    <t>Snohomish County PUD #1</t>
  </si>
  <si>
    <t>Southside Elec Lines</t>
  </si>
  <si>
    <t>Springfield Utility Board</t>
  </si>
  <si>
    <t>Surprise Valley Elec Coop</t>
  </si>
  <si>
    <t>Tacoma Public Utilities</t>
  </si>
  <si>
    <t>Tanner Elec Coop</t>
  </si>
  <si>
    <t>Tillamook PUD #1</t>
  </si>
  <si>
    <t>Coulee Dam, City of</t>
  </si>
  <si>
    <t>Steilacoom, Town of</t>
  </si>
  <si>
    <t>Umatilla Elec Coop</t>
  </si>
  <si>
    <t>United Electric Coop</t>
  </si>
  <si>
    <t>U.S. DOE Albany Research Center</t>
  </si>
  <si>
    <t>U.S. Naval Station, Everett (Jim Creek)</t>
  </si>
  <si>
    <t>U.S. Naval Submarine Base, Bangor</t>
  </si>
  <si>
    <t>U.S. DOE Richland Operations Office</t>
  </si>
  <si>
    <t>Vera Irrigation District</t>
  </si>
  <si>
    <t>Vigilante Elec Coop</t>
  </si>
  <si>
    <t>Wahkiakum County PUD #1</t>
  </si>
  <si>
    <t>Wasco Elec Coop</t>
  </si>
  <si>
    <t>Wells Rural Elec Coop</t>
  </si>
  <si>
    <t>Whatcom County PUD #1</t>
  </si>
  <si>
    <t>Umpqua Indian Utility Cooperative</t>
  </si>
  <si>
    <t>Kalispel Tribe Utility</t>
  </si>
  <si>
    <t>Hermiston, City of</t>
  </si>
  <si>
    <t>Port of Seattle - SETAC In'tl. Airport</t>
  </si>
  <si>
    <t>Weiser, City of</t>
  </si>
  <si>
    <t>Jefferson County PUD #1</t>
  </si>
  <si>
    <t/>
  </si>
  <si>
    <t>PF-Eligible Load in FY 2023 Calculation</t>
  </si>
  <si>
    <t>CHWM Calculation</t>
  </si>
  <si>
    <t>Note: All data is in aMW</t>
  </si>
  <si>
    <t>Total Retail Load</t>
  </si>
  <si>
    <t>Economic Adjustment</t>
  </si>
  <si>
    <t>New Large Single Load</t>
  </si>
  <si>
    <t>Non-Federal Resource</t>
  </si>
  <si>
    <t>PF-Eligible Load in Index Year</t>
  </si>
  <si>
    <t>Base Allowance
(2024 RHWM)</t>
  </si>
  <si>
    <t>Headroom Adjustment
 (100%)</t>
  </si>
  <si>
    <t>Conservation Adjustment
 (50%)</t>
  </si>
  <si>
    <t>New Specified Resource Adjustment
(50%)</t>
  </si>
  <si>
    <t>Load Growth Adjustment
(25%)</t>
  </si>
  <si>
    <t>Proportional Share Adjustment
(Up to 7,250 aMW)</t>
  </si>
  <si>
    <t>Provider of Choice CHWM</t>
  </si>
  <si>
    <t>Provider of Choice Above-CHWM load in the index year</t>
  </si>
  <si>
    <t>BES</t>
  </si>
  <si>
    <t>Customer</t>
  </si>
  <si>
    <t xml:space="preserve">Existing </t>
  </si>
  <si>
    <t>Other (SNEERS, CORs, Green Exception)</t>
  </si>
  <si>
    <t>New Specified</t>
  </si>
  <si>
    <t>Removal</t>
  </si>
  <si>
    <t>Customer Aggregate</t>
  </si>
  <si>
    <t>Headroom</t>
  </si>
  <si>
    <t>Above-CHWM</t>
  </si>
  <si>
    <t>Delta (%)</t>
  </si>
  <si>
    <t>APPLICABLE LDD COMPARISON (Current Application)</t>
  </si>
  <si>
    <t>Protential LDD Table (GRSP Table B)</t>
  </si>
  <si>
    <t>Killowatthour/ Investment Ratio</t>
  </si>
  <si>
    <t>K/I %</t>
  </si>
  <si>
    <t>C/M %</t>
  </si>
  <si>
    <t>Very Low Density Adjustment</t>
  </si>
  <si>
    <r>
      <t xml:space="preserve">Eligible LDD </t>
    </r>
    <r>
      <rPr>
        <b/>
        <sz val="11"/>
        <color theme="1"/>
        <rFont val="Aptos Narrow"/>
        <family val="2"/>
        <scheme val="minor"/>
      </rPr>
      <t>Before Cap</t>
    </r>
  </si>
  <si>
    <t xml:space="preserve">$ </t>
  </si>
  <si>
    <r>
      <t xml:space="preserve">Eligible LDD with </t>
    </r>
    <r>
      <rPr>
        <b/>
        <sz val="11"/>
        <color theme="1"/>
        <rFont val="Aptos Narrow"/>
        <family val="2"/>
        <scheme val="minor"/>
      </rPr>
      <t>After Cap</t>
    </r>
  </si>
  <si>
    <r>
      <rPr>
        <sz val="11"/>
        <color theme="1"/>
        <rFont val="Aptos Narrow"/>
        <family val="2"/>
      </rPr>
      <t>Δ</t>
    </r>
    <r>
      <rPr>
        <sz val="11"/>
        <color theme="1"/>
        <rFont val="Aptos Narrow"/>
        <family val="2"/>
        <scheme val="minor"/>
      </rPr>
      <t xml:space="preserve"> Uncapped and Capped</t>
    </r>
  </si>
  <si>
    <t>STATUS 
QUO Applicable LDD $</t>
  </si>
  <si>
    <r>
      <rPr>
        <b/>
        <sz val="11"/>
        <color theme="1"/>
        <rFont val="Aptos Narrow"/>
        <family val="2"/>
        <scheme val="minor"/>
      </rPr>
      <t>Before Cap</t>
    </r>
    <r>
      <rPr>
        <sz val="11"/>
        <color theme="1"/>
        <rFont val="Aptos Narrow"/>
        <family val="2"/>
        <scheme val="minor"/>
      </rPr>
      <t xml:space="preserve">
to Status
Quo</t>
    </r>
  </si>
  <si>
    <r>
      <rPr>
        <b/>
        <sz val="11"/>
        <color theme="1"/>
        <rFont val="Aptos Narrow"/>
        <family val="2"/>
        <scheme val="minor"/>
      </rPr>
      <t>After 
Cap</t>
    </r>
    <r>
      <rPr>
        <sz val="11"/>
        <color theme="1"/>
        <rFont val="Aptos Narrow"/>
        <family val="2"/>
        <scheme val="minor"/>
      </rPr>
      <t xml:space="preserve"> 
to Status Quo</t>
    </r>
  </si>
  <si>
    <t>STATUS QUO
Applicable LDD %</t>
  </si>
  <si>
    <r>
      <rPr>
        <b/>
        <sz val="11"/>
        <color theme="1"/>
        <rFont val="Aptos Narrow"/>
        <family val="2"/>
        <scheme val="minor"/>
      </rPr>
      <t>Before Cap</t>
    </r>
    <r>
      <rPr>
        <sz val="11"/>
        <color theme="1"/>
        <rFont val="Aptos Narrow"/>
        <family val="2"/>
        <scheme val="minor"/>
      </rPr>
      <t xml:space="preserve">
Percentage
Difference</t>
    </r>
  </si>
  <si>
    <r>
      <rPr>
        <b/>
        <sz val="11"/>
        <color theme="1"/>
        <rFont val="Aptos Narrow"/>
        <family val="2"/>
        <scheme val="minor"/>
      </rPr>
      <t>After Cap</t>
    </r>
    <r>
      <rPr>
        <sz val="11"/>
        <color theme="1"/>
        <rFont val="Aptos Narrow"/>
        <family val="2"/>
        <scheme val="minor"/>
      </rPr>
      <t xml:space="preserve"> Percentage Difference</t>
    </r>
  </si>
  <si>
    <t>Percentage
 Discount</t>
  </si>
  <si>
    <t>K/I
Min</t>
  </si>
  <si>
    <t>K/I
Max</t>
  </si>
  <si>
    <t>C/M
Min</t>
  </si>
  <si>
    <t>C/M
Max</t>
  </si>
  <si>
    <t>Potential Methodology</t>
  </si>
  <si>
    <t>K/I Methodology</t>
  </si>
  <si>
    <t>LINEAR</t>
  </si>
  <si>
    <t>f(x) = -6x+36</t>
  </si>
  <si>
    <t>C/M Methodology</t>
  </si>
  <si>
    <t>f(x) = -2x+12</t>
  </si>
  <si>
    <t>where x = percentage discount</t>
  </si>
  <si>
    <t>SUMMARY
STATISTICS</t>
  </si>
  <si>
    <t>Average</t>
  </si>
  <si>
    <t>Median</t>
  </si>
  <si>
    <t>P10</t>
  </si>
  <si>
    <t>P90</t>
  </si>
  <si>
    <t>LOGARITHMIC</t>
  </si>
  <si>
    <t>PNGC in BP24</t>
  </si>
  <si>
    <t>LDD adjTRL/RHWM 2024 TRMbd</t>
  </si>
  <si>
    <t>FY 2024 Load Shaping and Demand for PNGC members (pro-rata using TOCAs)</t>
  </si>
  <si>
    <t xml:space="preserve">FY 2024 Composite and Non-Slice Charges +
Load Shaping, LSTU, Demand from non-PNGC </t>
  </si>
  <si>
    <t>Charges</t>
  </si>
  <si>
    <t>Current</t>
  </si>
  <si>
    <t>Composite</t>
  </si>
  <si>
    <t>NonSlice</t>
  </si>
  <si>
    <t>Load Shaping</t>
  </si>
  <si>
    <t>LSTU</t>
  </si>
  <si>
    <t>Surcharges</t>
  </si>
  <si>
    <t>LDD</t>
  </si>
  <si>
    <t>IRD</t>
  </si>
  <si>
    <t>Total</t>
  </si>
  <si>
    <t>Tier 1 Energy</t>
  </si>
  <si>
    <t>Effective Rate</t>
  </si>
  <si>
    <t>Percent Change</t>
  </si>
  <si>
    <t>Rank</t>
  </si>
  <si>
    <t>Alder Mutual</t>
  </si>
  <si>
    <t>Non-Slice Rate w/o LDD</t>
  </si>
  <si>
    <t>Non-Slice Revenue w/Total Load</t>
  </si>
  <si>
    <t>BP-24 charges for Slice Customers at Non-Slice Rates</t>
  </si>
  <si>
    <t>Total Tier 1 Load, includes Slice</t>
  </si>
  <si>
    <t>Total w/o LDD + IRD</t>
  </si>
  <si>
    <t>Slice/Block in BP24</t>
  </si>
  <si>
    <t>Non-Slice Revenue, does not include LDD and IRD</t>
  </si>
  <si>
    <t>BP-24 Charges</t>
  </si>
  <si>
    <t>FY 2024 Tier 1 Non-Slice Charges not including IRD and LDD</t>
  </si>
  <si>
    <t>Tier 1 Load</t>
  </si>
  <si>
    <t>Tier 1 Energy MWh</t>
  </si>
  <si>
    <t>$ Discount</t>
  </si>
  <si>
    <r>
      <t xml:space="preserve">Eligible LDD </t>
    </r>
    <r>
      <rPr>
        <b/>
        <sz val="11"/>
        <color theme="1"/>
        <rFont val="Aptos Narrow"/>
        <family val="2"/>
        <scheme val="minor"/>
      </rPr>
      <t>After Cap</t>
    </r>
  </si>
  <si>
    <t>Scenario Summary</t>
  </si>
  <si>
    <t>Tier 1 Load 2024 MWh</t>
  </si>
  <si>
    <t>TRL - NLSL - Existing Resource 2028 aMW</t>
  </si>
  <si>
    <t>Forecasted PoC CHWM aMW</t>
  </si>
  <si>
    <t>Forecasted Tier 1 Load 2029 MWh</t>
  </si>
  <si>
    <t>BP24 Tier 1 Effective Rate</t>
  </si>
  <si>
    <t>Status Quo Applicable LDD 2024</t>
  </si>
  <si>
    <t>Alternative 1 Eligible LDD 2029</t>
  </si>
  <si>
    <t>Alternative 2 Eligible LDD 2029</t>
  </si>
  <si>
    <t>Input Alt 1 cap below, if no cap type 0</t>
  </si>
  <si>
    <t>Input Alt 2 cap below, if no cap type 0</t>
  </si>
  <si>
    <t>2029 Tier 1 Load LDD</t>
  </si>
  <si>
    <t>2024 LDD
 Status Quo</t>
  </si>
  <si>
    <t>Forecast 2024 Tier 1 Costs 
(2024 Effective Rate * Forecast 2024 Tier 1 Loads)</t>
  </si>
  <si>
    <t>Forecast 2029 Tier 1 Costs 
(2024 Effective Rate * Forecast 2029 Tier 1 Loads)</t>
  </si>
  <si>
    <t>Forecast POC CHWM Costs 
(2024 Effective Rate * POC CHWMs)</t>
  </si>
  <si>
    <t>POC CHWM Load LDD</t>
  </si>
  <si>
    <t>Delta POC CHWM and Status Quo ($)</t>
  </si>
  <si>
    <t>Alternative 2 - Logarithmic</t>
  </si>
  <si>
    <t>Alternative 1 - Linear</t>
  </si>
  <si>
    <t>BP24 Tier 1 Revenue Requirement with Surplus Slice (000s)</t>
  </si>
  <si>
    <t>2% of Rev Req</t>
  </si>
  <si>
    <t>sum if negative</t>
  </si>
  <si>
    <t>BP-24 LDD Table (GRSP Table 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</si>
</sst>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6" formatCode="&quot;$&quot;#,##0_);[Red]\(&quot;$&quot;#,##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00"/>
    <numFmt numFmtId="165" formatCode="0.0%"/>
    <numFmt numFmtId="166" formatCode="_(&quot;$&quot;* #,##0_);_(&quot;$&quot;* \(#,##0\);_(&quot;$&quot;* &quot;-&quot;??_);_(@_)"/>
    <numFmt numFmtId="167" formatCode="_(* #,##0.000000_);_(* \(#,##0.000000\);_(* &quot;-&quot;????_);_(@_)"/>
    <numFmt numFmtId="168" formatCode="_(* #,##0.000_);_(* \(#,##0.000\);_(* &quot;-&quot;????_);_(@_)"/>
    <numFmt numFmtId="169" formatCode="_(* #,##0.000_);_(* \(#,##0.000\);_(* &quot;-&quot;??_);_(@_)"/>
    <numFmt numFmtId="170" formatCode="_(* #,##0.000_);_(* \(#,##0.000\);_(* &quot;-&quot;???_);_(@_)"/>
    <numFmt numFmtId="171" formatCode="_(* #,##0_);_(* \(#,##0\);_(* &quot;-&quot;??_);_(@_)"/>
    <numFmt numFmtId="172" formatCode="_([$$-409]* #,##0_);_([$$-409]* \(#,##0\);_([$$-409]* &quot;-&quot;??_);_(@_)"/>
    <numFmt numFmtId="173" formatCode="&quot;$&quot;#,##0"/>
    <numFmt numFmtId="174" formatCode="_(&quot;$&quot;* #,##0_);_(&quot;$&quot;* \(#,##0\);_(&quot;$&quot;* &quot;-&quot;???_);_(@_)"/>
    <numFmt numFmtId="175" formatCode="0.000%"/>
    <numFmt numFmtId="176" formatCode="0.0"/>
  </numFmts>
  <fonts count="36" x14ac:knownFonts="1">
    <font>
      <sz val="11"/>
      <color theme="1"/>
      <name val="Aptos Narrow"/>
      <family val="2"/>
      <scheme val="minor"/>
    </font>
    <font>
      <b/>
      <sz val="20"/>
      <name val="Calibri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b/>
      <sz val="10"/>
      <color theme="1"/>
      <name val="Calibri"/>
      <family val="2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name val="Arial"/>
    </font>
    <font>
      <b/>
      <sz val="12"/>
      <color indexed="48"/>
      <name val="Arial"/>
      <family val="2"/>
    </font>
    <font>
      <sz val="8"/>
      <name val="Calibri"/>
      <family val="2"/>
    </font>
    <font>
      <sz val="10"/>
      <name val="Calibri"/>
      <family val="2"/>
    </font>
    <font>
      <u/>
      <sz val="10"/>
      <color indexed="12"/>
      <name val="Arial"/>
      <family val="2"/>
    </font>
    <font>
      <b/>
      <u/>
      <sz val="8"/>
      <color indexed="12"/>
      <name val="Times"/>
      <family val="1"/>
    </font>
    <font>
      <b/>
      <sz val="10"/>
      <name val="Times"/>
      <family val="1"/>
    </font>
    <font>
      <u val="singleAccounting"/>
      <sz val="10"/>
      <name val="Calibri"/>
      <family val="2"/>
    </font>
    <font>
      <b/>
      <u/>
      <sz val="10"/>
      <color indexed="12"/>
      <name val="Wingdings"/>
      <charset val="2"/>
    </font>
    <font>
      <b/>
      <sz val="9"/>
      <name val="Calibri"/>
      <family val="2"/>
    </font>
    <font>
      <sz val="10"/>
      <name val="Arial"/>
      <family val="2"/>
    </font>
    <font>
      <sz val="10"/>
      <name val="Times New Roman"/>
      <family val="1"/>
    </font>
    <font>
      <b/>
      <sz val="11"/>
      <name val="Arial"/>
      <family val="2"/>
    </font>
    <font>
      <b/>
      <i/>
      <sz val="11"/>
      <color rgb="FF003C71"/>
      <name val="Arial"/>
      <family val="2"/>
    </font>
    <font>
      <b/>
      <sz val="11"/>
      <color theme="0"/>
      <name val="Arial"/>
      <family val="2"/>
    </font>
    <font>
      <b/>
      <sz val="11"/>
      <color theme="1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b/>
      <u/>
      <sz val="11"/>
      <color theme="1"/>
      <name val="Aptos Narrow"/>
      <family val="2"/>
      <scheme val="minor"/>
    </font>
    <font>
      <sz val="11"/>
      <color theme="1"/>
      <name val="Aptos Narrow"/>
      <family val="2"/>
    </font>
    <font>
      <i/>
      <sz val="11"/>
      <color theme="1"/>
      <name val="Aptos Narrow"/>
      <family val="2"/>
      <scheme val="minor"/>
    </font>
    <font>
      <sz val="11"/>
      <color theme="0" tint="-0.34998626667073579"/>
      <name val="Aptos Narrow"/>
      <family val="2"/>
      <scheme val="minor"/>
    </font>
    <font>
      <b/>
      <sz val="10"/>
      <name val="Calibri"/>
      <family val="2"/>
    </font>
    <font>
      <b/>
      <sz val="8"/>
      <name val="Calibri"/>
      <family val="2"/>
    </font>
    <font>
      <b/>
      <sz val="11"/>
      <color theme="0" tint="-0.34998626667073579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8"/>
      <name val="Aptos Narrow"/>
      <family val="2"/>
      <scheme val="minor"/>
    </font>
  </fonts>
  <fills count="22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003C71"/>
        <bgColor indexed="64"/>
      </patternFill>
    </fill>
    <fill>
      <patternFill patternType="solid">
        <fgColor rgb="FF6BA4B8"/>
        <bgColor indexed="64"/>
      </patternFill>
    </fill>
    <fill>
      <patternFill patternType="solid">
        <fgColor rgb="FF9BCFFF"/>
        <bgColor indexed="64"/>
      </patternFill>
    </fill>
    <fill>
      <patternFill patternType="solid">
        <fgColor rgb="FFA7C9D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49998474074526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47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9">
    <xf numFmtId="0" fontId="0" fillId="0" borderId="0"/>
    <xf numFmtId="44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43" fontId="19" fillId="0" borderId="0" applyFont="0" applyFill="0" applyBorder="0" applyAlignment="0" applyProtection="0"/>
    <xf numFmtId="0" fontId="19" fillId="0" borderId="0"/>
    <xf numFmtId="0" fontId="34" fillId="0" borderId="0" applyNumberFormat="0" applyFill="0" applyBorder="0" applyAlignment="0" applyProtection="0"/>
  </cellStyleXfs>
  <cellXfs count="283">
    <xf numFmtId="0" fontId="0" fillId="0" borderId="0" xfId="0"/>
    <xf numFmtId="0" fontId="1" fillId="0" borderId="0" xfId="0" applyFont="1" applyProtection="1">
      <protection locked="0"/>
    </xf>
    <xf numFmtId="2" fontId="0" fillId="0" borderId="0" xfId="0" applyNumberFormat="1"/>
    <xf numFmtId="10" fontId="0" fillId="0" borderId="0" xfId="0" applyNumberFormat="1"/>
    <xf numFmtId="6" fontId="2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right" vertical="center" wrapText="1"/>
    </xf>
    <xf numFmtId="6" fontId="4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right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right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wrapText="1" shrinkToFit="1"/>
    </xf>
    <xf numFmtId="164" fontId="0" fillId="0" borderId="0" xfId="0" applyNumberFormat="1"/>
    <xf numFmtId="165" fontId="0" fillId="0" borderId="0" xfId="0" applyNumberFormat="1"/>
    <xf numFmtId="44" fontId="0" fillId="0" borderId="0" xfId="1" applyFont="1"/>
    <xf numFmtId="6" fontId="0" fillId="0" borderId="0" xfId="1" applyNumberFormat="1" applyFont="1"/>
    <xf numFmtId="6" fontId="0" fillId="0" borderId="0" xfId="0" applyNumberFormat="1"/>
    <xf numFmtId="1" fontId="0" fillId="0" borderId="0" xfId="0" applyNumberFormat="1"/>
    <xf numFmtId="166" fontId="0" fillId="0" borderId="0" xfId="1" applyNumberFormat="1" applyFont="1"/>
    <xf numFmtId="166" fontId="0" fillId="0" borderId="0" xfId="0" applyNumberFormat="1"/>
    <xf numFmtId="6" fontId="8" fillId="0" borderId="0" xfId="0" applyNumberFormat="1" applyFont="1"/>
    <xf numFmtId="38" fontId="0" fillId="0" borderId="0" xfId="0" applyNumberFormat="1"/>
    <xf numFmtId="0" fontId="9" fillId="4" borderId="0" xfId="4" applyFill="1"/>
    <xf numFmtId="0" fontId="10" fillId="4" borderId="0" xfId="4" applyFont="1" applyFill="1"/>
    <xf numFmtId="167" fontId="11" fillId="4" borderId="0" xfId="4" applyNumberFormat="1" applyFont="1" applyFill="1"/>
    <xf numFmtId="167" fontId="12" fillId="4" borderId="0" xfId="4" applyNumberFormat="1" applyFont="1" applyFill="1"/>
    <xf numFmtId="164" fontId="12" fillId="4" borderId="0" xfId="4" applyNumberFormat="1" applyFont="1" applyFill="1"/>
    <xf numFmtId="168" fontId="12" fillId="4" borderId="0" xfId="4" applyNumberFormat="1" applyFont="1" applyFill="1"/>
    <xf numFmtId="0" fontId="14" fillId="4" borderId="0" xfId="5" applyFont="1" applyFill="1" applyAlignment="1" applyProtection="1"/>
    <xf numFmtId="0" fontId="15" fillId="4" borderId="0" xfId="4" applyFont="1" applyFill="1"/>
    <xf numFmtId="164" fontId="16" fillId="4" borderId="0" xfId="4" applyNumberFormat="1" applyFont="1" applyFill="1" applyAlignment="1">
      <alignment horizontal="center"/>
    </xf>
    <xf numFmtId="167" fontId="16" fillId="4" borderId="0" xfId="4" applyNumberFormat="1" applyFont="1" applyFill="1" applyAlignment="1">
      <alignment horizontal="center"/>
    </xf>
    <xf numFmtId="0" fontId="17" fillId="4" borderId="0" xfId="5" applyFont="1" applyFill="1" applyBorder="1" applyAlignment="1" applyProtection="1"/>
    <xf numFmtId="164" fontId="18" fillId="4" borderId="5" xfId="4" applyNumberFormat="1" applyFont="1" applyFill="1" applyBorder="1" applyAlignment="1">
      <alignment horizontal="center" wrapText="1"/>
    </xf>
    <xf numFmtId="0" fontId="18" fillId="4" borderId="5" xfId="4" applyFont="1" applyFill="1" applyBorder="1" applyAlignment="1">
      <alignment horizontal="center"/>
    </xf>
    <xf numFmtId="168" fontId="18" fillId="4" borderId="5" xfId="4" applyNumberFormat="1" applyFont="1" applyFill="1" applyBorder="1" applyAlignment="1">
      <alignment horizontal="center" wrapText="1"/>
    </xf>
    <xf numFmtId="0" fontId="18" fillId="4" borderId="5" xfId="4" applyFont="1" applyFill="1" applyBorder="1" applyAlignment="1">
      <alignment horizontal="center" wrapText="1"/>
    </xf>
    <xf numFmtId="0" fontId="9" fillId="0" borderId="0" xfId="4"/>
    <xf numFmtId="1" fontId="11" fillId="0" borderId="0" xfId="4" applyNumberFormat="1" applyFont="1" applyAlignment="1">
      <alignment horizontal="center"/>
    </xf>
    <xf numFmtId="1" fontId="11" fillId="0" borderId="0" xfId="4" applyNumberFormat="1" applyFont="1" applyAlignment="1">
      <alignment horizontal="left"/>
    </xf>
    <xf numFmtId="1" fontId="12" fillId="0" borderId="0" xfId="4" applyNumberFormat="1" applyFont="1" applyAlignment="1">
      <alignment horizontal="center"/>
    </xf>
    <xf numFmtId="169" fontId="12" fillId="0" borderId="0" xfId="6" applyNumberFormat="1" applyFont="1" applyFill="1"/>
    <xf numFmtId="170" fontId="9" fillId="0" borderId="0" xfId="4" applyNumberFormat="1"/>
    <xf numFmtId="168" fontId="12" fillId="0" borderId="0" xfId="4" applyNumberFormat="1" applyFont="1"/>
    <xf numFmtId="167" fontId="12" fillId="0" borderId="0" xfId="4" applyNumberFormat="1" applyFont="1"/>
    <xf numFmtId="167" fontId="9" fillId="0" borderId="0" xfId="4" applyNumberFormat="1"/>
    <xf numFmtId="0" fontId="20" fillId="0" borderId="0" xfId="4" applyFont="1"/>
    <xf numFmtId="168" fontId="9" fillId="0" borderId="0" xfId="4" applyNumberFormat="1"/>
    <xf numFmtId="0" fontId="19" fillId="0" borderId="0" xfId="4" applyFont="1"/>
    <xf numFmtId="0" fontId="21" fillId="0" borderId="0" xfId="0" applyFont="1" applyAlignment="1">
      <alignment vertical="center"/>
    </xf>
    <xf numFmtId="0" fontId="22" fillId="0" borderId="0" xfId="0" applyFont="1" applyAlignment="1">
      <alignment horizontal="right"/>
    </xf>
    <xf numFmtId="0" fontId="24" fillId="0" borderId="0" xfId="0" applyFont="1"/>
    <xf numFmtId="0" fontId="24" fillId="0" borderId="4" xfId="0" applyFont="1" applyBorder="1" applyAlignment="1">
      <alignment horizontal="left" wrapText="1"/>
    </xf>
    <xf numFmtId="0" fontId="24" fillId="0" borderId="8" xfId="0" applyFont="1" applyBorder="1" applyAlignment="1">
      <alignment horizontal="left" wrapText="1"/>
    </xf>
    <xf numFmtId="0" fontId="24" fillId="0" borderId="18" xfId="0" applyFont="1" applyBorder="1" applyAlignment="1">
      <alignment horizontal="center" vertical="center" wrapText="1"/>
    </xf>
    <xf numFmtId="0" fontId="24" fillId="0" borderId="19" xfId="0" applyFont="1" applyBorder="1" applyAlignment="1">
      <alignment horizontal="center" vertical="center" wrapText="1"/>
    </xf>
    <xf numFmtId="0" fontId="24" fillId="0" borderId="20" xfId="0" applyFont="1" applyBorder="1" applyAlignment="1">
      <alignment horizontal="center" vertical="center" wrapText="1"/>
    </xf>
    <xf numFmtId="1" fontId="25" fillId="0" borderId="22" xfId="7" applyNumberFormat="1" applyFont="1" applyBorder="1" applyAlignment="1">
      <alignment horizontal="center"/>
    </xf>
    <xf numFmtId="1" fontId="25" fillId="0" borderId="23" xfId="7" applyNumberFormat="1" applyFont="1" applyBorder="1" applyAlignment="1">
      <alignment horizontal="left"/>
    </xf>
    <xf numFmtId="43" fontId="26" fillId="0" borderId="23" xfId="0" applyNumberFormat="1" applyFont="1" applyBorder="1"/>
    <xf numFmtId="43" fontId="26" fillId="0" borderId="24" xfId="0" applyNumberFormat="1" applyFont="1" applyBorder="1"/>
    <xf numFmtId="43" fontId="26" fillId="0" borderId="25" xfId="0" applyNumberFormat="1" applyFont="1" applyBorder="1"/>
    <xf numFmtId="43" fontId="26" fillId="0" borderId="0" xfId="0" applyNumberFormat="1" applyFont="1"/>
    <xf numFmtId="43" fontId="26" fillId="0" borderId="26" xfId="0" applyNumberFormat="1" applyFont="1" applyBorder="1"/>
    <xf numFmtId="43" fontId="26" fillId="0" borderId="22" xfId="0" applyNumberFormat="1" applyFont="1" applyBorder="1"/>
    <xf numFmtId="43" fontId="26" fillId="0" borderId="27" xfId="0" applyNumberFormat="1" applyFont="1" applyBorder="1"/>
    <xf numFmtId="43" fontId="26" fillId="0" borderId="28" xfId="0" applyNumberFormat="1" applyFont="1" applyBorder="1"/>
    <xf numFmtId="0" fontId="26" fillId="0" borderId="0" xfId="0" applyFont="1"/>
    <xf numFmtId="168" fontId="12" fillId="0" borderId="0" xfId="0" applyNumberFormat="1" applyFont="1"/>
    <xf numFmtId="170" fontId="26" fillId="0" borderId="0" xfId="0" applyNumberFormat="1" applyFont="1"/>
    <xf numFmtId="1" fontId="25" fillId="0" borderId="2" xfId="7" applyNumberFormat="1" applyFont="1" applyBorder="1" applyAlignment="1">
      <alignment horizontal="center"/>
    </xf>
    <xf numFmtId="43" fontId="26" fillId="0" borderId="29" xfId="0" applyNumberFormat="1" applyFont="1" applyBorder="1"/>
    <xf numFmtId="43" fontId="26" fillId="0" borderId="30" xfId="0" applyNumberFormat="1" applyFont="1" applyBorder="1"/>
    <xf numFmtId="43" fontId="26" fillId="0" borderId="17" xfId="0" applyNumberFormat="1" applyFont="1" applyBorder="1"/>
    <xf numFmtId="43" fontId="26" fillId="0" borderId="31" xfId="0" applyNumberFormat="1" applyFont="1" applyBorder="1"/>
    <xf numFmtId="43" fontId="26" fillId="0" borderId="21" xfId="0" applyNumberFormat="1" applyFont="1" applyBorder="1"/>
    <xf numFmtId="43" fontId="26" fillId="0" borderId="16" xfId="0" applyNumberFormat="1" applyFont="1" applyBorder="1"/>
    <xf numFmtId="43" fontId="26" fillId="0" borderId="1" xfId="0" applyNumberFormat="1" applyFont="1" applyBorder="1"/>
    <xf numFmtId="1" fontId="25" fillId="0" borderId="8" xfId="7" applyNumberFormat="1" applyFont="1" applyBorder="1" applyAlignment="1">
      <alignment horizontal="left"/>
    </xf>
    <xf numFmtId="43" fontId="26" fillId="0" borderId="8" xfId="0" applyNumberFormat="1" applyFont="1" applyBorder="1"/>
    <xf numFmtId="43" fontId="26" fillId="0" borderId="32" xfId="0" applyNumberFormat="1" applyFont="1" applyBorder="1"/>
    <xf numFmtId="43" fontId="26" fillId="0" borderId="9" xfId="0" applyNumberFormat="1" applyFont="1" applyBorder="1"/>
    <xf numFmtId="43" fontId="26" fillId="0" borderId="33" xfId="0" applyNumberFormat="1" applyFont="1" applyBorder="1"/>
    <xf numFmtId="43" fontId="26" fillId="0" borderId="4" xfId="0" applyNumberFormat="1" applyFont="1" applyBorder="1"/>
    <xf numFmtId="43" fontId="26" fillId="0" borderId="3" xfId="0" applyNumberFormat="1" applyFont="1" applyBorder="1"/>
    <xf numFmtId="43" fontId="26" fillId="0" borderId="34" xfId="0" applyNumberFormat="1" applyFont="1" applyBorder="1"/>
    <xf numFmtId="0" fontId="24" fillId="0" borderId="35" xfId="0" applyFont="1" applyBorder="1"/>
    <xf numFmtId="2" fontId="26" fillId="0" borderId="36" xfId="0" applyNumberFormat="1" applyFont="1" applyBorder="1"/>
    <xf numFmtId="0" fontId="24" fillId="0" borderId="37" xfId="0" applyFont="1" applyBorder="1"/>
    <xf numFmtId="2" fontId="26" fillId="0" borderId="20" xfId="0" applyNumberFormat="1" applyFont="1" applyBorder="1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171" fontId="0" fillId="0" borderId="0" xfId="3" applyNumberFormat="1" applyFont="1"/>
    <xf numFmtId="171" fontId="0" fillId="0" borderId="0" xfId="3" applyNumberFormat="1" applyFont="1" applyAlignment="1">
      <alignment horizontal="center"/>
    </xf>
    <xf numFmtId="0" fontId="0" fillId="0" borderId="38" xfId="0" applyBorder="1"/>
    <xf numFmtId="6" fontId="0" fillId="0" borderId="38" xfId="1" applyNumberFormat="1" applyFont="1" applyBorder="1"/>
    <xf numFmtId="166" fontId="0" fillId="0" borderId="38" xfId="1" applyNumberFormat="1" applyFont="1" applyBorder="1"/>
    <xf numFmtId="166" fontId="0" fillId="0" borderId="38" xfId="0" applyNumberFormat="1" applyBorder="1"/>
    <xf numFmtId="9" fontId="0" fillId="0" borderId="38" xfId="2" applyFont="1" applyBorder="1"/>
    <xf numFmtId="0" fontId="8" fillId="3" borderId="6" xfId="0" applyFont="1" applyFill="1" applyBorder="1"/>
    <xf numFmtId="0" fontId="8" fillId="3" borderId="39" xfId="0" applyFont="1" applyFill="1" applyBorder="1"/>
    <xf numFmtId="0" fontId="0" fillId="3" borderId="23" xfId="0" applyFill="1" applyBorder="1"/>
    <xf numFmtId="0" fontId="0" fillId="3" borderId="28" xfId="0" applyFill="1" applyBorder="1"/>
    <xf numFmtId="6" fontId="8" fillId="9" borderId="6" xfId="0" applyNumberFormat="1" applyFont="1" applyFill="1" applyBorder="1"/>
    <xf numFmtId="0" fontId="0" fillId="9" borderId="7" xfId="0" applyFill="1" applyBorder="1"/>
    <xf numFmtId="0" fontId="0" fillId="9" borderId="39" xfId="0" applyFill="1" applyBorder="1"/>
    <xf numFmtId="0" fontId="0" fillId="9" borderId="23" xfId="0" applyFill="1" applyBorder="1" applyAlignment="1">
      <alignment wrapText="1"/>
    </xf>
    <xf numFmtId="0" fontId="0" fillId="9" borderId="0" xfId="0" applyFill="1"/>
    <xf numFmtId="0" fontId="0" fillId="9" borderId="28" xfId="0" applyFill="1" applyBorder="1"/>
    <xf numFmtId="0" fontId="0" fillId="2" borderId="6" xfId="0" applyFill="1" applyBorder="1"/>
    <xf numFmtId="166" fontId="8" fillId="2" borderId="39" xfId="1" applyNumberFormat="1" applyFont="1" applyFill="1" applyBorder="1"/>
    <xf numFmtId="6" fontId="8" fillId="3" borderId="28" xfId="0" applyNumberFormat="1" applyFont="1" applyFill="1" applyBorder="1"/>
    <xf numFmtId="0" fontId="8" fillId="9" borderId="23" xfId="0" applyFont="1" applyFill="1" applyBorder="1" applyAlignment="1">
      <alignment vertical="center"/>
    </xf>
    <xf numFmtId="0" fontId="27" fillId="0" borderId="0" xfId="0" applyFont="1" applyAlignment="1">
      <alignment vertical="center"/>
    </xf>
    <xf numFmtId="0" fontId="0" fillId="2" borderId="23" xfId="0" applyFill="1" applyBorder="1" applyAlignment="1">
      <alignment wrapText="1"/>
    </xf>
    <xf numFmtId="0" fontId="0" fillId="2" borderId="28" xfId="0" applyFill="1" applyBorder="1"/>
    <xf numFmtId="0" fontId="0" fillId="3" borderId="23" xfId="0" applyFill="1" applyBorder="1" applyAlignment="1">
      <alignment wrapText="1"/>
    </xf>
    <xf numFmtId="0" fontId="0" fillId="0" borderId="23" xfId="0" applyBorder="1" applyAlignment="1">
      <alignment wrapText="1"/>
    </xf>
    <xf numFmtId="0" fontId="0" fillId="10" borderId="0" xfId="0" applyFill="1"/>
    <xf numFmtId="0" fontId="0" fillId="0" borderId="28" xfId="0" applyBorder="1" applyAlignment="1">
      <alignment wrapText="1"/>
    </xf>
    <xf numFmtId="0" fontId="0" fillId="11" borderId="38" xfId="0" applyFill="1" applyBorder="1" applyAlignment="1">
      <alignment horizontal="center" wrapText="1"/>
    </xf>
    <xf numFmtId="0" fontId="0" fillId="12" borderId="38" xfId="0" applyFill="1" applyBorder="1" applyAlignment="1">
      <alignment horizontal="center" wrapText="1"/>
    </xf>
    <xf numFmtId="0" fontId="0" fillId="13" borderId="38" xfId="0" applyFill="1" applyBorder="1" applyAlignment="1">
      <alignment horizontal="center" wrapText="1"/>
    </xf>
    <xf numFmtId="10" fontId="0" fillId="0" borderId="0" xfId="2" applyNumberFormat="1" applyFont="1"/>
    <xf numFmtId="10" fontId="0" fillId="0" borderId="23" xfId="0" applyNumberFormat="1" applyBorder="1"/>
    <xf numFmtId="6" fontId="0" fillId="0" borderId="28" xfId="0" applyNumberFormat="1" applyBorder="1"/>
    <xf numFmtId="172" fontId="0" fillId="0" borderId="0" xfId="1" applyNumberFormat="1" applyFont="1"/>
    <xf numFmtId="173" fontId="0" fillId="0" borderId="23" xfId="1" applyNumberFormat="1" applyFont="1" applyBorder="1" applyAlignment="1">
      <alignment wrapText="1"/>
    </xf>
    <xf numFmtId="10" fontId="0" fillId="0" borderId="28" xfId="0" applyNumberFormat="1" applyBorder="1" applyAlignment="1">
      <alignment wrapText="1"/>
    </xf>
    <xf numFmtId="9" fontId="0" fillId="14" borderId="38" xfId="2" applyFont="1" applyFill="1" applyBorder="1" applyAlignment="1">
      <alignment horizontal="center" vertical="center"/>
    </xf>
    <xf numFmtId="0" fontId="0" fillId="15" borderId="38" xfId="0" applyFill="1" applyBorder="1" applyAlignment="1">
      <alignment horizontal="center" vertical="center"/>
    </xf>
    <xf numFmtId="0" fontId="0" fillId="16" borderId="38" xfId="0" applyFill="1" applyBorder="1" applyAlignment="1">
      <alignment horizontal="center" vertical="center"/>
    </xf>
    <xf numFmtId="165" fontId="0" fillId="14" borderId="38" xfId="2" applyNumberFormat="1" applyFont="1" applyFill="1" applyBorder="1" applyAlignment="1">
      <alignment horizontal="center" vertical="center"/>
    </xf>
    <xf numFmtId="165" fontId="0" fillId="14" borderId="40" xfId="2" applyNumberFormat="1" applyFont="1" applyFill="1" applyBorder="1" applyAlignment="1">
      <alignment horizontal="center" vertical="center"/>
    </xf>
    <xf numFmtId="0" fontId="0" fillId="15" borderId="40" xfId="0" applyFill="1" applyBorder="1" applyAlignment="1">
      <alignment horizontal="center" vertical="center"/>
    </xf>
    <xf numFmtId="0" fontId="0" fillId="16" borderId="40" xfId="0" applyFill="1" applyBorder="1" applyAlignment="1">
      <alignment horizontal="center" vertical="center"/>
    </xf>
    <xf numFmtId="165" fontId="0" fillId="14" borderId="38" xfId="0" applyNumberFormat="1" applyFill="1" applyBorder="1" applyAlignment="1">
      <alignment horizontal="center"/>
    </xf>
    <xf numFmtId="0" fontId="0" fillId="15" borderId="38" xfId="0" applyFill="1" applyBorder="1" applyAlignment="1">
      <alignment horizontal="center"/>
    </xf>
    <xf numFmtId="0" fontId="0" fillId="16" borderId="38" xfId="0" applyFill="1" applyBorder="1" applyAlignment="1">
      <alignment horizontal="center"/>
    </xf>
    <xf numFmtId="0" fontId="27" fillId="0" borderId="0" xfId="0" applyFont="1"/>
    <xf numFmtId="0" fontId="0" fillId="15" borderId="6" xfId="0" applyFill="1" applyBorder="1"/>
    <xf numFmtId="0" fontId="0" fillId="15" borderId="7" xfId="0" applyFill="1" applyBorder="1"/>
    <xf numFmtId="0" fontId="0" fillId="0" borderId="39" xfId="0" applyBorder="1"/>
    <xf numFmtId="0" fontId="0" fillId="0" borderId="23" xfId="0" applyBorder="1"/>
    <xf numFmtId="0" fontId="0" fillId="0" borderId="28" xfId="0" applyBorder="1"/>
    <xf numFmtId="0" fontId="29" fillId="16" borderId="23" xfId="0" applyFont="1" applyFill="1" applyBorder="1"/>
    <xf numFmtId="0" fontId="0" fillId="16" borderId="0" xfId="0" applyFill="1"/>
    <xf numFmtId="0" fontId="0" fillId="14" borderId="29" xfId="0" applyFill="1" applyBorder="1"/>
    <xf numFmtId="0" fontId="0" fillId="14" borderId="31" xfId="0" applyFill="1" applyBorder="1"/>
    <xf numFmtId="0" fontId="0" fillId="14" borderId="1" xfId="0" applyFill="1" applyBorder="1"/>
    <xf numFmtId="10" fontId="0" fillId="0" borderId="29" xfId="0" applyNumberFormat="1" applyBorder="1"/>
    <xf numFmtId="6" fontId="0" fillId="0" borderId="1" xfId="0" applyNumberFormat="1" applyBorder="1"/>
    <xf numFmtId="173" fontId="0" fillId="0" borderId="29" xfId="1" applyNumberFormat="1" applyFont="1" applyBorder="1" applyAlignment="1">
      <alignment wrapText="1"/>
    </xf>
    <xf numFmtId="6" fontId="0" fillId="0" borderId="31" xfId="0" applyNumberFormat="1" applyBorder="1"/>
    <xf numFmtId="0" fontId="0" fillId="10" borderId="31" xfId="0" applyFill="1" applyBorder="1"/>
    <xf numFmtId="10" fontId="0" fillId="0" borderId="31" xfId="0" applyNumberFormat="1" applyBorder="1"/>
    <xf numFmtId="10" fontId="0" fillId="0" borderId="1" xfId="0" applyNumberFormat="1" applyBorder="1" applyAlignment="1">
      <alignment wrapText="1"/>
    </xf>
    <xf numFmtId="0" fontId="8" fillId="0" borderId="6" xfId="0" applyFont="1" applyBorder="1" applyAlignment="1">
      <alignment wrapText="1"/>
    </xf>
    <xf numFmtId="0" fontId="0" fillId="0" borderId="7" xfId="0" applyBorder="1"/>
    <xf numFmtId="0" fontId="0" fillId="0" borderId="7" xfId="0" applyBorder="1" applyAlignment="1">
      <alignment wrapText="1"/>
    </xf>
    <xf numFmtId="0" fontId="0" fillId="2" borderId="7" xfId="0" applyFill="1" applyBorder="1" applyAlignment="1">
      <alignment wrapText="1"/>
    </xf>
    <xf numFmtId="0" fontId="0" fillId="2" borderId="7" xfId="0" applyFill="1" applyBorder="1"/>
    <xf numFmtId="0" fontId="0" fillId="3" borderId="7" xfId="0" applyFill="1" applyBorder="1" applyAlignment="1">
      <alignment wrapText="1"/>
    </xf>
    <xf numFmtId="0" fontId="0" fillId="3" borderId="7" xfId="0" applyFill="1" applyBorder="1"/>
    <xf numFmtId="0" fontId="0" fillId="10" borderId="7" xfId="0" applyFill="1" applyBorder="1"/>
    <xf numFmtId="0" fontId="0" fillId="0" borderId="39" xfId="0" applyBorder="1" applyAlignment="1">
      <alignment wrapText="1"/>
    </xf>
    <xf numFmtId="0" fontId="29" fillId="0" borderId="0" xfId="0" applyFont="1"/>
    <xf numFmtId="0" fontId="0" fillId="0" borderId="0" xfId="2" applyNumberFormat="1" applyFont="1" applyBorder="1" applyAlignment="1">
      <alignment horizontal="right"/>
    </xf>
    <xf numFmtId="10" fontId="0" fillId="0" borderId="0" xfId="2" applyNumberFormat="1" applyFont="1" applyBorder="1" applyAlignment="1">
      <alignment horizontal="right"/>
    </xf>
    <xf numFmtId="173" fontId="0" fillId="0" borderId="0" xfId="2" applyNumberFormat="1" applyFont="1" applyBorder="1" applyAlignment="1">
      <alignment horizontal="right"/>
    </xf>
    <xf numFmtId="10" fontId="0" fillId="0" borderId="28" xfId="2" applyNumberFormat="1" applyFont="1" applyBorder="1" applyAlignment="1">
      <alignment horizontal="right"/>
    </xf>
    <xf numFmtId="10" fontId="0" fillId="0" borderId="0" xfId="2" applyNumberFormat="1" applyFont="1" applyBorder="1"/>
    <xf numFmtId="173" fontId="0" fillId="0" borderId="0" xfId="2" applyNumberFormat="1" applyFont="1" applyBorder="1"/>
    <xf numFmtId="10" fontId="0" fillId="0" borderId="28" xfId="2" applyNumberFormat="1" applyFont="1" applyBorder="1"/>
    <xf numFmtId="0" fontId="0" fillId="0" borderId="29" xfId="0" applyBorder="1"/>
    <xf numFmtId="0" fontId="0" fillId="0" borderId="31" xfId="0" applyBorder="1"/>
    <xf numFmtId="10" fontId="0" fillId="0" borderId="31" xfId="2" applyNumberFormat="1" applyFont="1" applyBorder="1"/>
    <xf numFmtId="173" fontId="0" fillId="0" borderId="31" xfId="2" applyNumberFormat="1" applyFont="1" applyBorder="1"/>
    <xf numFmtId="10" fontId="0" fillId="0" borderId="1" xfId="2" applyNumberFormat="1" applyFont="1" applyBorder="1"/>
    <xf numFmtId="166" fontId="0" fillId="0" borderId="42" xfId="1" applyNumberFormat="1" applyFont="1" applyBorder="1"/>
    <xf numFmtId="0" fontId="8" fillId="9" borderId="6" xfId="0" applyFont="1" applyFill="1" applyBorder="1" applyAlignment="1">
      <alignment vertical="center"/>
    </xf>
    <xf numFmtId="0" fontId="0" fillId="3" borderId="6" xfId="0" applyFill="1" applyBorder="1"/>
    <xf numFmtId="6" fontId="8" fillId="3" borderId="39" xfId="0" applyNumberFormat="1" applyFont="1" applyFill="1" applyBorder="1"/>
    <xf numFmtId="0" fontId="10" fillId="0" borderId="0" xfId="0" applyFont="1"/>
    <xf numFmtId="167" fontId="11" fillId="0" borderId="0" xfId="0" applyNumberFormat="1" applyFont="1"/>
    <xf numFmtId="0" fontId="30" fillId="0" borderId="0" xfId="0" applyFont="1"/>
    <xf numFmtId="0" fontId="14" fillId="0" borderId="0" xfId="5" applyFont="1" applyFill="1" applyAlignment="1" applyProtection="1"/>
    <xf numFmtId="0" fontId="15" fillId="0" borderId="0" xfId="0" applyFont="1"/>
    <xf numFmtId="0" fontId="8" fillId="0" borderId="0" xfId="0" applyFont="1"/>
    <xf numFmtId="0" fontId="17" fillId="0" borderId="0" xfId="5" applyFont="1" applyFill="1" applyBorder="1" applyAlignment="1" applyProtection="1">
      <alignment horizontal="center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8" fillId="17" borderId="0" xfId="0" applyFont="1" applyFill="1" applyAlignment="1">
      <alignment horizontal="center"/>
    </xf>
    <xf numFmtId="0" fontId="8" fillId="0" borderId="0" xfId="0" applyFont="1" applyAlignment="1">
      <alignment horizontal="center"/>
    </xf>
    <xf numFmtId="0" fontId="33" fillId="0" borderId="5" xfId="0" applyFont="1" applyBorder="1" applyAlignment="1">
      <alignment horizontal="center"/>
    </xf>
    <xf numFmtId="1" fontId="11" fillId="0" borderId="0" xfId="0" applyNumberFormat="1" applyFont="1" applyAlignment="1">
      <alignment horizontal="center"/>
    </xf>
    <xf numFmtId="1" fontId="11" fillId="0" borderId="0" xfId="0" applyNumberFormat="1" applyFont="1" applyAlignment="1">
      <alignment horizontal="left"/>
    </xf>
    <xf numFmtId="37" fontId="0" fillId="0" borderId="0" xfId="3" applyNumberFormat="1" applyFont="1" applyFill="1" applyBorder="1"/>
    <xf numFmtId="37" fontId="0" fillId="0" borderId="0" xfId="1" applyNumberFormat="1" applyFont="1" applyFill="1" applyBorder="1"/>
    <xf numFmtId="37" fontId="0" fillId="0" borderId="0" xfId="3" quotePrefix="1" applyNumberFormat="1" applyFont="1" applyFill="1" applyBorder="1"/>
    <xf numFmtId="43" fontId="0" fillId="0" borderId="43" xfId="0" applyNumberFormat="1" applyBorder="1"/>
    <xf numFmtId="165" fontId="0" fillId="0" borderId="43" xfId="2" applyNumberFormat="1" applyFont="1" applyBorder="1"/>
    <xf numFmtId="37" fontId="0" fillId="0" borderId="0" xfId="0" applyNumberFormat="1"/>
    <xf numFmtId="49" fontId="12" fillId="0" borderId="0" xfId="0" applyNumberFormat="1" applyFont="1" applyAlignment="1">
      <alignment horizontal="center" vertical="center"/>
    </xf>
    <xf numFmtId="171" fontId="0" fillId="0" borderId="0" xfId="0" applyNumberFormat="1"/>
    <xf numFmtId="0" fontId="20" fillId="0" borderId="0" xfId="0" applyFont="1"/>
    <xf numFmtId="0" fontId="0" fillId="18" borderId="0" xfId="0" applyFill="1"/>
    <xf numFmtId="0" fontId="8" fillId="18" borderId="0" xfId="0" applyFont="1" applyFill="1" applyAlignment="1">
      <alignment horizontal="left"/>
    </xf>
    <xf numFmtId="0" fontId="8" fillId="18" borderId="0" xfId="0" applyFont="1" applyFill="1"/>
    <xf numFmtId="0" fontId="33" fillId="0" borderId="0" xfId="0" applyFont="1" applyAlignment="1">
      <alignment horizontal="center"/>
    </xf>
    <xf numFmtId="37" fontId="30" fillId="0" borderId="0" xfId="0" applyNumberFormat="1" applyFont="1"/>
    <xf numFmtId="0" fontId="0" fillId="19" borderId="0" xfId="0" applyFill="1"/>
    <xf numFmtId="2" fontId="0" fillId="0" borderId="0" xfId="2" applyNumberFormat="1" applyFont="1" applyBorder="1" applyAlignment="1">
      <alignment horizontal="right"/>
    </xf>
    <xf numFmtId="2" fontId="0" fillId="0" borderId="31" xfId="0" applyNumberFormat="1" applyBorder="1"/>
    <xf numFmtId="174" fontId="0" fillId="0" borderId="0" xfId="0" applyNumberFormat="1"/>
    <xf numFmtId="175" fontId="0" fillId="0" borderId="0" xfId="2" applyNumberFormat="1" applyFont="1"/>
    <xf numFmtId="0" fontId="0" fillId="0" borderId="0" xfId="0" applyAlignment="1">
      <alignment horizontal="center" vertical="center" wrapText="1"/>
    </xf>
    <xf numFmtId="9" fontId="8" fillId="0" borderId="0" xfId="2" applyFont="1" applyFill="1"/>
    <xf numFmtId="175" fontId="0" fillId="0" borderId="0" xfId="2" applyNumberFormat="1" applyFont="1" applyFill="1"/>
    <xf numFmtId="0" fontId="0" fillId="20" borderId="0" xfId="0" applyFill="1" applyAlignment="1">
      <alignment horizontal="center" vertical="center" wrapText="1"/>
    </xf>
    <xf numFmtId="9" fontId="8" fillId="20" borderId="0" xfId="2" applyFont="1" applyFill="1"/>
    <xf numFmtId="0" fontId="0" fillId="20" borderId="0" xfId="0" applyFill="1"/>
    <xf numFmtId="0" fontId="0" fillId="20" borderId="0" xfId="0" applyFill="1" applyAlignment="1">
      <alignment horizontal="center" wrapText="1"/>
    </xf>
    <xf numFmtId="0" fontId="0" fillId="21" borderId="0" xfId="0" applyFill="1" applyAlignment="1">
      <alignment horizontal="center" vertical="center" wrapText="1"/>
    </xf>
    <xf numFmtId="9" fontId="8" fillId="21" borderId="0" xfId="2" applyFont="1" applyFill="1"/>
    <xf numFmtId="0" fontId="0" fillId="21" borderId="0" xfId="0" applyFill="1"/>
    <xf numFmtId="0" fontId="0" fillId="21" borderId="0" xfId="0" applyFill="1" applyAlignment="1">
      <alignment horizontal="center" wrapText="1"/>
    </xf>
    <xf numFmtId="0" fontId="8" fillId="20" borderId="0" xfId="0" applyFont="1" applyFill="1" applyAlignment="1">
      <alignment horizontal="centerContinuous" vertical="center"/>
    </xf>
    <xf numFmtId="0" fontId="0" fillId="20" borderId="0" xfId="0" applyFill="1" applyAlignment="1">
      <alignment horizontal="centerContinuous"/>
    </xf>
    <xf numFmtId="6" fontId="0" fillId="20" borderId="0" xfId="1" applyNumberFormat="1" applyFont="1" applyFill="1" applyAlignment="1">
      <alignment horizontal="centerContinuous"/>
    </xf>
    <xf numFmtId="0" fontId="0" fillId="20" borderId="0" xfId="0" applyFill="1" applyAlignment="1">
      <alignment horizontal="center"/>
    </xf>
    <xf numFmtId="0" fontId="8" fillId="20" borderId="35" xfId="0" applyFont="1" applyFill="1" applyBorder="1" applyAlignment="1">
      <alignment horizontal="center" wrapText="1"/>
    </xf>
    <xf numFmtId="0" fontId="8" fillId="20" borderId="41" xfId="0" applyFont="1" applyFill="1" applyBorder="1" applyAlignment="1">
      <alignment horizontal="center" wrapText="1"/>
    </xf>
    <xf numFmtId="6" fontId="8" fillId="20" borderId="41" xfId="1" applyNumberFormat="1" applyFont="1" applyFill="1" applyBorder="1" applyAlignment="1">
      <alignment horizontal="center" wrapText="1"/>
    </xf>
    <xf numFmtId="166" fontId="0" fillId="20" borderId="0" xfId="0" applyNumberFormat="1" applyFill="1" applyAlignment="1">
      <alignment horizontal="center"/>
    </xf>
    <xf numFmtId="166" fontId="0" fillId="0" borderId="46" xfId="1" applyNumberFormat="1" applyFont="1" applyBorder="1"/>
    <xf numFmtId="166" fontId="0" fillId="0" borderId="40" xfId="0" applyNumberFormat="1" applyBorder="1"/>
    <xf numFmtId="166" fontId="0" fillId="0" borderId="40" xfId="1" applyNumberFormat="1" applyFont="1" applyBorder="1"/>
    <xf numFmtId="9" fontId="0" fillId="0" borderId="40" xfId="2" applyFont="1" applyBorder="1"/>
    <xf numFmtId="166" fontId="8" fillId="0" borderId="44" xfId="0" applyNumberFormat="1" applyFont="1" applyBorder="1"/>
    <xf numFmtId="166" fontId="8" fillId="0" borderId="32" xfId="0" applyNumberFormat="1" applyFont="1" applyBorder="1"/>
    <xf numFmtId="6" fontId="8" fillId="0" borderId="32" xfId="1" applyNumberFormat="1" applyFont="1" applyBorder="1"/>
    <xf numFmtId="9" fontId="0" fillId="0" borderId="45" xfId="2" applyFont="1" applyBorder="1"/>
    <xf numFmtId="166" fontId="8" fillId="0" borderId="4" xfId="0" applyNumberFormat="1" applyFont="1" applyBorder="1"/>
    <xf numFmtId="9" fontId="0" fillId="0" borderId="4" xfId="2" applyFont="1" applyBorder="1"/>
    <xf numFmtId="0" fontId="8" fillId="21" borderId="0" xfId="0" applyFont="1" applyFill="1" applyAlignment="1">
      <alignment horizontal="centerContinuous" vertical="center"/>
    </xf>
    <xf numFmtId="0" fontId="0" fillId="21" borderId="0" xfId="0" applyFill="1" applyAlignment="1">
      <alignment horizontal="centerContinuous"/>
    </xf>
    <xf numFmtId="6" fontId="0" fillId="21" borderId="0" xfId="1" applyNumberFormat="1" applyFont="1" applyFill="1" applyAlignment="1">
      <alignment horizontal="centerContinuous"/>
    </xf>
    <xf numFmtId="166" fontId="0" fillId="21" borderId="0" xfId="0" applyNumberFormat="1" applyFill="1" applyAlignment="1">
      <alignment horizontal="center"/>
    </xf>
    <xf numFmtId="0" fontId="0" fillId="21" borderId="0" xfId="0" applyFill="1" applyAlignment="1">
      <alignment horizontal="center"/>
    </xf>
    <xf numFmtId="0" fontId="8" fillId="21" borderId="35" xfId="0" applyFont="1" applyFill="1" applyBorder="1" applyAlignment="1">
      <alignment horizontal="center" wrapText="1"/>
    </xf>
    <xf numFmtId="0" fontId="8" fillId="21" borderId="41" xfId="0" applyFont="1" applyFill="1" applyBorder="1" applyAlignment="1">
      <alignment horizontal="center" wrapText="1"/>
    </xf>
    <xf numFmtId="6" fontId="8" fillId="21" borderId="41" xfId="1" applyNumberFormat="1" applyFont="1" applyFill="1" applyBorder="1" applyAlignment="1">
      <alignment horizontal="center" wrapText="1"/>
    </xf>
    <xf numFmtId="0" fontId="0" fillId="0" borderId="14" xfId="0" applyBorder="1" applyAlignment="1">
      <alignment horizontal="center" vertical="center" wrapText="1"/>
    </xf>
    <xf numFmtId="166" fontId="0" fillId="0" borderId="22" xfId="1" applyNumberFormat="1" applyFont="1" applyBorder="1"/>
    <xf numFmtId="0" fontId="0" fillId="0" borderId="22" xfId="0" applyBorder="1"/>
    <xf numFmtId="0" fontId="0" fillId="0" borderId="22" xfId="0" applyBorder="1" applyAlignment="1">
      <alignment horizontal="center"/>
    </xf>
    <xf numFmtId="166" fontId="0" fillId="0" borderId="2" xfId="0" applyNumberFormat="1" applyBorder="1"/>
    <xf numFmtId="9" fontId="0" fillId="0" borderId="0" xfId="2" applyFont="1"/>
    <xf numFmtId="165" fontId="0" fillId="0" borderId="0" xfId="2" applyNumberFormat="1" applyFont="1"/>
    <xf numFmtId="0" fontId="23" fillId="5" borderId="6" xfId="0" applyFont="1" applyFill="1" applyBorder="1" applyAlignment="1">
      <alignment horizontal="center" vertical="center"/>
    </xf>
    <xf numFmtId="0" fontId="23" fillId="5" borderId="7" xfId="0" applyFont="1" applyFill="1" applyBorder="1" applyAlignment="1">
      <alignment horizontal="center" vertical="center"/>
    </xf>
    <xf numFmtId="0" fontId="23" fillId="6" borderId="8" xfId="0" applyFont="1" applyFill="1" applyBorder="1" applyAlignment="1">
      <alignment horizontal="center" vertical="center"/>
    </xf>
    <xf numFmtId="0" fontId="23" fillId="6" borderId="9" xfId="0" applyFont="1" applyFill="1" applyBorder="1" applyAlignment="1">
      <alignment horizontal="center" vertical="center"/>
    </xf>
    <xf numFmtId="0" fontId="23" fillId="6" borderId="3" xfId="0" applyFont="1" applyFill="1" applyBorder="1" applyAlignment="1">
      <alignment horizontal="center" vertical="center"/>
    </xf>
    <xf numFmtId="0" fontId="24" fillId="0" borderId="10" xfId="0" applyFont="1" applyBorder="1" applyAlignment="1">
      <alignment horizontal="center" vertical="center" wrapText="1"/>
    </xf>
    <xf numFmtId="0" fontId="24" fillId="0" borderId="16" xfId="0" applyFont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0" fontId="24" fillId="0" borderId="17" xfId="0" applyFont="1" applyBorder="1" applyAlignment="1">
      <alignment horizontal="center" vertical="center" wrapText="1"/>
    </xf>
    <xf numFmtId="0" fontId="24" fillId="0" borderId="12" xfId="0" applyFont="1" applyBorder="1" applyAlignment="1">
      <alignment horizontal="center" vertical="center"/>
    </xf>
    <xf numFmtId="0" fontId="24" fillId="0" borderId="13" xfId="0" applyFont="1" applyBorder="1" applyAlignment="1">
      <alignment horizontal="center" vertical="center"/>
    </xf>
    <xf numFmtId="0" fontId="24" fillId="7" borderId="14" xfId="0" applyFont="1" applyFill="1" applyBorder="1" applyAlignment="1">
      <alignment horizontal="center" vertical="center" wrapText="1"/>
    </xf>
    <xf numFmtId="0" fontId="24" fillId="7" borderId="2" xfId="0" applyFont="1" applyFill="1" applyBorder="1" applyAlignment="1">
      <alignment horizontal="center" vertical="center" wrapText="1"/>
    </xf>
    <xf numFmtId="0" fontId="24" fillId="0" borderId="15" xfId="0" applyFont="1" applyBorder="1" applyAlignment="1">
      <alignment horizontal="center" vertical="center" wrapText="1"/>
    </xf>
    <xf numFmtId="0" fontId="24" fillId="0" borderId="21" xfId="0" applyFont="1" applyBorder="1" applyAlignment="1">
      <alignment horizontal="center" vertical="center" wrapText="1"/>
    </xf>
    <xf numFmtId="0" fontId="24" fillId="8" borderId="10" xfId="0" applyFont="1" applyFill="1" applyBorder="1" applyAlignment="1">
      <alignment horizontal="center" vertical="center" wrapText="1"/>
    </xf>
    <xf numFmtId="0" fontId="24" fillId="8" borderId="16" xfId="0" applyFont="1" applyFill="1" applyBorder="1" applyAlignment="1">
      <alignment horizontal="center" vertical="center" wrapText="1"/>
    </xf>
    <xf numFmtId="0" fontId="24" fillId="8" borderId="15" xfId="0" applyFont="1" applyFill="1" applyBorder="1" applyAlignment="1">
      <alignment horizontal="center" vertical="center" wrapText="1"/>
    </xf>
    <xf numFmtId="0" fontId="24" fillId="8" borderId="21" xfId="0" applyFont="1" applyFill="1" applyBorder="1" applyAlignment="1">
      <alignment horizontal="center" vertical="center" wrapText="1"/>
    </xf>
    <xf numFmtId="0" fontId="0" fillId="10" borderId="38" xfId="0" applyFill="1" applyBorder="1" applyAlignment="1">
      <alignment horizontal="center" wrapText="1"/>
    </xf>
    <xf numFmtId="165" fontId="0" fillId="0" borderId="38" xfId="2" applyNumberFormat="1" applyFont="1" applyBorder="1" applyAlignment="1">
      <alignment horizontal="center"/>
    </xf>
    <xf numFmtId="176" fontId="0" fillId="0" borderId="38" xfId="0" applyNumberFormat="1" applyBorder="1" applyAlignment="1">
      <alignment horizontal="center"/>
    </xf>
  </cellXfs>
  <cellStyles count="9">
    <cellStyle name="Comma" xfId="3" builtinId="3"/>
    <cellStyle name="Comma 2" xfId="6" xr:uid="{D23C3A35-055D-4C51-8897-67B4E90E485F}"/>
    <cellStyle name="Currency" xfId="1" builtinId="4"/>
    <cellStyle name="Hyperlink" xfId="5" builtinId="8"/>
    <cellStyle name="Hyperlink 2" xfId="8" xr:uid="{1CCAEACB-BE02-4B8B-AE19-1FF56D186350}"/>
    <cellStyle name="Normal" xfId="0" builtinId="0"/>
    <cellStyle name="Normal 2" xfId="4" xr:uid="{5005CA11-E3A5-4BC4-B80C-395986F19B82}"/>
    <cellStyle name="Normal 2 2" xfId="7" xr:uid="{507AA7AA-7850-45A8-95C6-10406103C106}"/>
    <cellStyle name="Percent" xfId="2" builtinId="5"/>
  </cellStyles>
  <dxfs count="10">
    <dxf>
      <font>
        <b/>
        <i/>
        <condense val="0"/>
        <extend val="0"/>
        <color indexed="10"/>
      </font>
    </dxf>
    <dxf>
      <font>
        <b/>
        <i/>
        <condense val="0"/>
        <extend val="0"/>
        <color indexed="10"/>
      </font>
    </dxf>
    <dxf>
      <font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microsoft.com/office/2017/10/relationships/person" Target="persons/person.xml"/><Relationship Id="rId10" Type="http://schemas.openxmlformats.org/officeDocument/2006/relationships/worksheet" Target="worksheets/sheet9.xml"/><Relationship Id="rId4" Type="http://schemas.openxmlformats.org/officeDocument/2006/relationships/worksheet" Target="worksheets/sheet4.xml"/><Relationship Id="rId9" Type="http://schemas.openxmlformats.org/officeDocument/2006/relationships/chartsheet" Target="chartsheets/sheet1.xml"/><Relationship Id="rId14" Type="http://schemas.openxmlformats.org/officeDocument/2006/relationships/sheetMetadata" Target="metadata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cap="none" spc="2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>
                <a:latin typeface="Arial" panose="020B0604020202020204" pitchFamily="34" charset="0"/>
                <a:cs typeface="Arial" panose="020B0604020202020204" pitchFamily="34" charset="0"/>
              </a:rPr>
              <a:t>LDD "Gross-Up" Adjustment (Rate</a:t>
            </a:r>
            <a:r>
              <a:rPr lang="en-US" sz="1800" baseline="0">
                <a:latin typeface="Arial" panose="020B0604020202020204" pitchFamily="34" charset="0"/>
                <a:cs typeface="Arial" panose="020B0604020202020204" pitchFamily="34" charset="0"/>
              </a:rPr>
              <a:t> Case Forecast)</a:t>
            </a:r>
            <a:endParaRPr lang="en-US" sz="1800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28903568935667823"/>
          <c:y val="5.861571423160257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cap="none" spc="2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22402990188718008"/>
          <c:y val="5.1945650198351255E-2"/>
          <c:w val="0.62662631594655493"/>
          <c:h val="0.79265920540455026"/>
        </c:manualLayout>
      </c:layout>
      <c:barChart>
        <c:barDir val="col"/>
        <c:grouping val="stacked"/>
        <c:varyColors val="0"/>
        <c:ser>
          <c:idx val="1"/>
          <c:order val="0"/>
          <c:tx>
            <c:v>Gross-Up to "Applicable LDD"</c:v>
          </c:tx>
          <c:spPr>
            <a:gradFill rotWithShape="1">
              <a:gsLst>
                <a:gs pos="0">
                  <a:schemeClr val="accent2">
                    <a:lumMod val="110000"/>
                    <a:satMod val="105000"/>
                    <a:tint val="67000"/>
                  </a:schemeClr>
                </a:gs>
                <a:gs pos="50000">
                  <a:schemeClr val="accent2">
                    <a:lumMod val="105000"/>
                    <a:satMod val="103000"/>
                    <a:tint val="73000"/>
                  </a:schemeClr>
                </a:gs>
                <a:gs pos="100000">
                  <a:schemeClr val="accent2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2">
                  <a:shade val="95000"/>
                </a:schemeClr>
              </a:solidFill>
              <a:round/>
            </a:ln>
            <a:effectLst/>
          </c:spPr>
          <c:invertIfNegative val="0"/>
          <c:cat>
            <c:strRef>
              <c:f>'Program Cost Details (LDD)'!$C$2:$K$2</c:f>
              <c:strCache>
                <c:ptCount val="9"/>
                <c:pt idx="0">
                  <c:v>FY2016</c:v>
                </c:pt>
                <c:pt idx="1">
                  <c:v>FY2017</c:v>
                </c:pt>
                <c:pt idx="2">
                  <c:v>FY2018</c:v>
                </c:pt>
                <c:pt idx="3">
                  <c:v>FY2019</c:v>
                </c:pt>
                <c:pt idx="4">
                  <c:v>FY2020</c:v>
                </c:pt>
                <c:pt idx="5">
                  <c:v>FY2021</c:v>
                </c:pt>
                <c:pt idx="6">
                  <c:v>FY2022</c:v>
                </c:pt>
                <c:pt idx="7">
                  <c:v>FY2023</c:v>
                </c:pt>
                <c:pt idx="8">
                  <c:v>FY2024</c:v>
                </c:pt>
              </c:strCache>
            </c:strRef>
          </c:cat>
          <c:val>
            <c:numRef>
              <c:f>'Program Cost Details (LDD)'!$C$5:$K$5</c:f>
              <c:numCache>
                <c:formatCode>"$"#,##0_);[Red]\("$"#,##0\)</c:formatCode>
                <c:ptCount val="9"/>
                <c:pt idx="0">
                  <c:v>1503323</c:v>
                </c:pt>
                <c:pt idx="1">
                  <c:v>1781060</c:v>
                </c:pt>
                <c:pt idx="2">
                  <c:v>2679074</c:v>
                </c:pt>
                <c:pt idx="3">
                  <c:v>2939569</c:v>
                </c:pt>
                <c:pt idx="4">
                  <c:v>3420174</c:v>
                </c:pt>
                <c:pt idx="5">
                  <c:v>3705953</c:v>
                </c:pt>
                <c:pt idx="6">
                  <c:v>5026404</c:v>
                </c:pt>
                <c:pt idx="7">
                  <c:v>7368950.706256968</c:v>
                </c:pt>
                <c:pt idx="8">
                  <c:v>5489211.9611643944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3F8-428A-96A7-C87B786F14EA}"/>
            </c:ext>
          </c:extLst>
        </c:ser>
        <c:ser>
          <c:idx val="0"/>
          <c:order val="1"/>
          <c:tx>
            <c:v>Eligible LDD</c:v>
          </c:tx>
          <c:spPr>
            <a:gradFill rotWithShape="1">
              <a:gsLst>
                <a:gs pos="0">
                  <a:schemeClr val="accent1">
                    <a:lumMod val="110000"/>
                    <a:satMod val="105000"/>
                    <a:tint val="67000"/>
                  </a:schemeClr>
                </a:gs>
                <a:gs pos="50000">
                  <a:schemeClr val="accent1">
                    <a:lumMod val="105000"/>
                    <a:satMod val="103000"/>
                    <a:tint val="73000"/>
                  </a:schemeClr>
                </a:gs>
                <a:gs pos="100000">
                  <a:schemeClr val="accent1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</c:spPr>
          <c:invertIfNegative val="0"/>
          <c:cat>
            <c:strRef>
              <c:f>'Program Cost Details (LDD)'!$C$2:$K$2</c:f>
              <c:strCache>
                <c:ptCount val="9"/>
                <c:pt idx="0">
                  <c:v>FY2016</c:v>
                </c:pt>
                <c:pt idx="1">
                  <c:v>FY2017</c:v>
                </c:pt>
                <c:pt idx="2">
                  <c:v>FY2018</c:v>
                </c:pt>
                <c:pt idx="3">
                  <c:v>FY2019</c:v>
                </c:pt>
                <c:pt idx="4">
                  <c:v>FY2020</c:v>
                </c:pt>
                <c:pt idx="5">
                  <c:v>FY2021</c:v>
                </c:pt>
                <c:pt idx="6">
                  <c:v>FY2022</c:v>
                </c:pt>
                <c:pt idx="7">
                  <c:v>FY2023</c:v>
                </c:pt>
                <c:pt idx="8">
                  <c:v>FY2024</c:v>
                </c:pt>
              </c:strCache>
            </c:strRef>
          </c:cat>
          <c:val>
            <c:numRef>
              <c:f>'Program Cost Details (LDD)'!$C$3:$K$3</c:f>
              <c:numCache>
                <c:formatCode>"$"#,##0_);[Red]\("$"#,##0\)</c:formatCode>
                <c:ptCount val="9"/>
                <c:pt idx="0">
                  <c:v>34904083</c:v>
                </c:pt>
                <c:pt idx="1">
                  <c:v>34915101</c:v>
                </c:pt>
                <c:pt idx="2">
                  <c:v>36113332</c:v>
                </c:pt>
                <c:pt idx="3">
                  <c:v>35870803</c:v>
                </c:pt>
                <c:pt idx="4">
                  <c:v>35275616</c:v>
                </c:pt>
                <c:pt idx="5">
                  <c:v>35195551</c:v>
                </c:pt>
                <c:pt idx="6">
                  <c:v>32093971</c:v>
                </c:pt>
                <c:pt idx="7">
                  <c:v>31603097.438986134</c:v>
                </c:pt>
                <c:pt idx="8">
                  <c:v>30584397.803050302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3F8-428A-96A7-C87B786F14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95"/>
        <c:overlap val="100"/>
        <c:axId val="968203000"/>
        <c:axId val="968205160"/>
      </c:barChart>
      <c:lineChart>
        <c:grouping val="standard"/>
        <c:varyColors val="0"/>
        <c:ser>
          <c:idx val="2"/>
          <c:order val="2"/>
          <c:tx>
            <c:v>Gross-Up to "Applicable LDD"</c:v>
          </c:tx>
          <c:spPr>
            <a:ln w="98425" cap="rnd" cmpd="sng">
              <a:solidFill>
                <a:srgbClr val="FF0000"/>
              </a:solidFill>
              <a:prstDash val="sysDot"/>
              <a:round/>
              <a:headEnd type="none"/>
              <a:tailEnd type="stealth"/>
            </a:ln>
            <a:effectLst/>
          </c:spPr>
          <c:marker>
            <c:symbol val="none"/>
          </c:marker>
          <c:cat>
            <c:strRef>
              <c:f>'Program Cost Details (LDD)'!$C$2:$K$2</c:f>
              <c:strCache>
                <c:ptCount val="9"/>
                <c:pt idx="0">
                  <c:v>FY2016</c:v>
                </c:pt>
                <c:pt idx="1">
                  <c:v>FY2017</c:v>
                </c:pt>
                <c:pt idx="2">
                  <c:v>FY2018</c:v>
                </c:pt>
                <c:pt idx="3">
                  <c:v>FY2019</c:v>
                </c:pt>
                <c:pt idx="4">
                  <c:v>FY2020</c:v>
                </c:pt>
                <c:pt idx="5">
                  <c:v>FY2021</c:v>
                </c:pt>
                <c:pt idx="6">
                  <c:v>FY2022</c:v>
                </c:pt>
                <c:pt idx="7">
                  <c:v>FY2023</c:v>
                </c:pt>
                <c:pt idx="8">
                  <c:v>FY2024</c:v>
                </c:pt>
              </c:strCache>
            </c:strRef>
          </c:cat>
          <c:val>
            <c:numRef>
              <c:f>'Program Cost Details (LDD)'!$C$6:$K$6</c:f>
              <c:numCache>
                <c:formatCode>"$"#,##0_);[Red]\("$"#,##0\)</c:formatCode>
                <c:ptCount val="9"/>
                <c:pt idx="0">
                  <c:v>1503323</c:v>
                </c:pt>
                <c:pt idx="1">
                  <c:v>1781060</c:v>
                </c:pt>
                <c:pt idx="2">
                  <c:v>2679074</c:v>
                </c:pt>
                <c:pt idx="3">
                  <c:v>2939569</c:v>
                </c:pt>
                <c:pt idx="4">
                  <c:v>3420174</c:v>
                </c:pt>
                <c:pt idx="5">
                  <c:v>3705953</c:v>
                </c:pt>
                <c:pt idx="6">
                  <c:v>5026404</c:v>
                </c:pt>
                <c:pt idx="7">
                  <c:v>7368950.706256968</c:v>
                </c:pt>
                <c:pt idx="8">
                  <c:v>5489211.9611643944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3F8-428A-96A7-C87B786F14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68205880"/>
        <c:axId val="968203360"/>
      </c:lineChart>
      <c:catAx>
        <c:axId val="9682030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68205160"/>
        <c:crosses val="autoZero"/>
        <c:auto val="1"/>
        <c:lblAlgn val="ctr"/>
        <c:lblOffset val="100"/>
        <c:noMultiLvlLbl val="0"/>
      </c:catAx>
      <c:valAx>
        <c:axId val="9682051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>
                    <a:solidFill>
                      <a:schemeClr val="tx2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Total</a:t>
                </a:r>
                <a:r>
                  <a:rPr lang="en-US" sz="1200" baseline="0">
                    <a:solidFill>
                      <a:schemeClr val="tx2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LDD Program Costs</a:t>
                </a:r>
                <a:endParaRPr lang="en-US" sz="1200">
                  <a:solidFill>
                    <a:schemeClr val="tx2">
                      <a:lumMod val="75000"/>
                      <a:lumOff val="25000"/>
                    </a:schemeClr>
                  </a:solidFill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layout>
            <c:manualLayout>
              <c:xMode val="edge"/>
              <c:yMode val="edge"/>
              <c:x val="5.652019807189234E-2"/>
              <c:y val="0.3164101081947728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&quot;$&quot;#,##0_);[Red]\(&quot;$&quot;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68203000"/>
        <c:crosses val="autoZero"/>
        <c:crossBetween val="between"/>
      </c:valAx>
      <c:valAx>
        <c:axId val="968203360"/>
        <c:scaling>
          <c:orientation val="minMax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>
                    <a:solidFill>
                      <a:srgbClr val="FF0000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Gross-Up Adjustment Cost</a:t>
                </a:r>
              </a:p>
            </c:rich>
          </c:tx>
          <c:layout>
            <c:manualLayout>
              <c:xMode val="edge"/>
              <c:yMode val="edge"/>
              <c:x val="0.93829629761590494"/>
              <c:y val="0.2607149939410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&quot;$&quot;#,##0_);[Red]\(&quot;$&quot;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68205880"/>
        <c:crosses val="max"/>
        <c:crossBetween val="between"/>
      </c:valAx>
      <c:catAx>
        <c:axId val="968205880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968203360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  <c:spPr>
          <a:noFill/>
          <a:ln w="9525">
            <a:solidFill>
              <a:schemeClr val="tx1">
                <a:lumMod val="15000"/>
                <a:lumOff val="85000"/>
              </a:schemeClr>
            </a:solidFill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25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5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75000"/>
            <a:lumOff val="2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75000"/>
            <a:lumOff val="2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75000"/>
            <a:lumOff val="25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B92B3045-1323-491B-AD71-EA9C52CB7178}">
  <sheetPr/>
  <sheetViews>
    <sheetView zoomScale="115" workbookViewId="0"/>
  </sheetViews>
  <pageMargins left="0.7" right="0.7" top="0.75" bottom="0.75" header="0.3" footer="0.3"/>
  <drawing r:id="rId1"/>
</chartsheet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5715</xdr:colOff>
      <xdr:row>24</xdr:row>
      <xdr:rowOff>0</xdr:rowOff>
    </xdr:from>
    <xdr:ext cx="1596391" cy="172227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A51C0F7-2843-43DD-9F3C-A972BE2BF75A}"/>
            </a:ext>
          </a:extLst>
        </xdr:cNvPr>
        <xdr:cNvSpPr txBox="1"/>
      </xdr:nvSpPr>
      <xdr:spPr>
        <a:xfrm>
          <a:off x="615315" y="6896100"/>
          <a:ext cx="1596391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lIns="0" tIns="0" rIns="0" bIns="0" rtlCol="0" anchor="t">
          <a:spAutoFit/>
        </a:bodyPr>
        <a:lstStyle/>
        <a:p>
          <a:r>
            <a:rPr lang="en-US" sz="1100"/>
            <a:t>f(x)</a:t>
          </a:r>
          <a:r>
            <a:rPr lang="en-US" sz="1100" baseline="0"/>
            <a:t> = 36/ln(3) * ln(-x/3+3)</a:t>
          </a:r>
        </a:p>
      </xdr:txBody>
    </xdr:sp>
    <xdr:clientData/>
  </xdr:oneCellAnchor>
  <xdr:oneCellAnchor>
    <xdr:from>
      <xdr:col>1</xdr:col>
      <xdr:colOff>97155</xdr:colOff>
      <xdr:row>27</xdr:row>
      <xdr:rowOff>172402</xdr:rowOff>
    </xdr:from>
    <xdr:ext cx="1430328" cy="172227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7C4312D5-8ECC-4DF0-8FAC-1862AF9E4EB4}"/>
            </a:ext>
          </a:extLst>
        </xdr:cNvPr>
        <xdr:cNvSpPr txBox="1"/>
      </xdr:nvSpPr>
      <xdr:spPr>
        <a:xfrm>
          <a:off x="706755" y="7640002"/>
          <a:ext cx="1430328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r>
            <a:rPr lang="en-US" sz="1100"/>
            <a:t>f(x)</a:t>
          </a:r>
          <a:r>
            <a:rPr lang="en-US" sz="1100" baseline="0"/>
            <a:t> = 12/ln(3) * ln(-x/3+3)</a:t>
          </a:r>
          <a:endParaRPr lang="en-US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663609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A42E80A-3CB0-354D-0DA7-8EB6AAF1661E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Emily Traetow" id="{7E1486FD-D327-43A6-B472-541946341D34}" userId="S::etraetow@nru-nw.com::089fb41c-6087-44b8-af0d-5d54c03a9e3a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F9" dT="2024-06-26T22:11:35.26" personId="{7E1486FD-D327-43A6-B472-541946341D34}" id="{35DA9A3B-7FB7-49D3-AE59-05B6552079A3}">
    <text>Final Policy POC CHWM for Blachly-Lane is incorrectly 4 aMW, pasted the value from the draft policy calculations that were based on forecasts</text>
  </threadedComment>
</ThreadedComment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BFDC41-CE6C-4B08-A0B6-A010112CC4AC}">
  <sheetPr>
    <tabColor theme="7" tint="0.79998168889431442"/>
  </sheetPr>
  <dimension ref="A1:U58"/>
  <sheetViews>
    <sheetView workbookViewId="0">
      <selection activeCell="E10" sqref="E10"/>
    </sheetView>
  </sheetViews>
  <sheetFormatPr defaultRowHeight="15" x14ac:dyDescent="0.25"/>
  <cols>
    <col min="1" max="1" width="5.7109375" customWidth="1"/>
    <col min="2" max="2" width="8.140625" customWidth="1"/>
    <col min="3" max="3" width="23.5703125" bestFit="1" customWidth="1"/>
    <col min="4" max="4" width="12.85546875" customWidth="1"/>
    <col min="5" max="5" width="11.85546875" customWidth="1"/>
    <col min="6" max="7" width="13.5703125" customWidth="1"/>
    <col min="8" max="8" width="20.5703125" customWidth="1"/>
    <col min="9" max="9" width="22.140625" customWidth="1"/>
    <col min="10" max="10" width="7.5703125" customWidth="1"/>
    <col min="11" max="11" width="10" customWidth="1"/>
    <col min="12" max="12" width="13.5703125" customWidth="1"/>
    <col min="13" max="13" width="13.28515625" customWidth="1"/>
    <col min="14" max="14" width="11.28515625" customWidth="1"/>
    <col min="15" max="15" width="17.28515625" customWidth="1"/>
    <col min="16" max="16" width="18.28515625" customWidth="1"/>
    <col min="17" max="17" width="17.7109375" bestFit="1" customWidth="1"/>
    <col min="18" max="19" width="13.140625" customWidth="1"/>
    <col min="20" max="20" width="12.140625" customWidth="1"/>
    <col min="21" max="21" width="15.28515625" customWidth="1"/>
    <col min="22" max="22" width="9.7109375" customWidth="1"/>
    <col min="23" max="23" width="11.5703125" bestFit="1" customWidth="1"/>
  </cols>
  <sheetData>
    <row r="1" spans="1:21" ht="26.25" x14ac:dyDescent="0.4">
      <c r="B1" s="1" t="s">
        <v>61</v>
      </c>
    </row>
    <row r="2" spans="1:21" x14ac:dyDescent="0.25">
      <c r="B2" t="s">
        <v>62</v>
      </c>
    </row>
    <row r="4" spans="1:21" x14ac:dyDescent="0.25">
      <c r="T4" s="21">
        <f>SUM(T6:T58)</f>
        <v>31702228.585569296</v>
      </c>
      <c r="U4" s="21">
        <f>SUM(U6:U58)</f>
        <v>36377446.098513082</v>
      </c>
    </row>
    <row r="5" spans="1:21" ht="105" x14ac:dyDescent="0.25">
      <c r="A5" s="12"/>
      <c r="B5" s="12" t="s">
        <v>59</v>
      </c>
      <c r="C5" s="12" t="s">
        <v>60</v>
      </c>
      <c r="D5" s="12" t="s">
        <v>53</v>
      </c>
      <c r="E5" s="12" t="s">
        <v>54</v>
      </c>
      <c r="F5" s="12" t="s">
        <v>55</v>
      </c>
      <c r="G5" s="12" t="s">
        <v>56</v>
      </c>
      <c r="H5" s="12" t="s">
        <v>57</v>
      </c>
      <c r="I5" s="12" t="s">
        <v>58</v>
      </c>
      <c r="J5" s="12" t="s">
        <v>310</v>
      </c>
      <c r="K5" s="12" t="s">
        <v>334</v>
      </c>
      <c r="L5" s="11" t="s">
        <v>76</v>
      </c>
      <c r="M5" s="11" t="s">
        <v>311</v>
      </c>
      <c r="N5" s="11" t="s">
        <v>75</v>
      </c>
      <c r="O5" s="11" t="s">
        <v>313</v>
      </c>
      <c r="P5" s="11" t="s">
        <v>312</v>
      </c>
      <c r="Q5" s="11" t="s">
        <v>337</v>
      </c>
      <c r="R5" s="11" t="s">
        <v>100</v>
      </c>
      <c r="S5" s="11" t="s">
        <v>103</v>
      </c>
      <c r="T5" s="11" t="s">
        <v>99</v>
      </c>
      <c r="U5" s="11" t="s">
        <v>98</v>
      </c>
    </row>
    <row r="6" spans="1:21" x14ac:dyDescent="0.25">
      <c r="A6" s="3"/>
      <c r="B6" s="18">
        <v>10005</v>
      </c>
      <c r="C6" s="3" t="s">
        <v>0</v>
      </c>
      <c r="D6" s="2">
        <v>46.76785057839863</v>
      </c>
      <c r="E6" s="2">
        <v>7.789479078586619</v>
      </c>
      <c r="F6" s="3">
        <v>0</v>
      </c>
      <c r="G6" s="3">
        <v>0.02</v>
      </c>
      <c r="H6" s="3">
        <v>0.02</v>
      </c>
      <c r="I6" s="3">
        <v>0</v>
      </c>
      <c r="J6" s="18">
        <v>0</v>
      </c>
      <c r="K6" s="18">
        <v>0</v>
      </c>
      <c r="L6" s="13">
        <f t="shared" ref="L6:L37" si="0">MIN(H6+I6, 0.07)</f>
        <v>0.02</v>
      </c>
      <c r="M6" s="13">
        <v>1.2408759124087592</v>
      </c>
      <c r="N6">
        <f>ROUND(L6*M6,5)</f>
        <v>2.4819999999999998E-2</v>
      </c>
      <c r="O6" s="16">
        <f>VLOOKUP(B6, Charges_NonSlice!$B$4:$U$138, 20, FALSE)</f>
        <v>175219.7262974685</v>
      </c>
      <c r="P6" s="19">
        <f>IF(J6=1,VLOOKUP(B6,PNGC!$D$6:$K$22,8,FALSE),0)</f>
        <v>0</v>
      </c>
      <c r="Q6" s="17">
        <f>O6+P6</f>
        <v>175219.7262974685</v>
      </c>
      <c r="R6" s="22">
        <f>IF(J6=1, VLOOKUP(B6, PNGC!$D$6:$L$21, 9, FALSE), VLOOKUP('Discount Details'!B6, Charges_NonSlice!$B$4:$V$138, 21, FALSE))</f>
        <v>4813.6320000000005</v>
      </c>
      <c r="S6" s="15">
        <f>Q6/R6</f>
        <v>36.4007315676538</v>
      </c>
      <c r="T6" s="17">
        <f t="shared" ref="T6:T37" si="1">L6*Q6</f>
        <v>3504.3945259493703</v>
      </c>
      <c r="U6" s="17">
        <f t="shared" ref="U6:U37" si="2">Q6*N6</f>
        <v>4348.9536067031677</v>
      </c>
    </row>
    <row r="7" spans="1:21" x14ac:dyDescent="0.25">
      <c r="A7" s="3"/>
      <c r="B7" s="18">
        <v>10025</v>
      </c>
      <c r="C7" s="3" t="s">
        <v>1</v>
      </c>
      <c r="D7" s="2">
        <v>7.4648574608518521</v>
      </c>
      <c r="E7" s="2">
        <v>8.8016666666666659</v>
      </c>
      <c r="F7" s="3">
        <v>0.04</v>
      </c>
      <c r="G7" s="3">
        <v>1.4999999999999999E-2</v>
      </c>
      <c r="H7" s="3">
        <v>5.5E-2</v>
      </c>
      <c r="I7" s="3">
        <v>0</v>
      </c>
      <c r="J7" s="18">
        <v>0</v>
      </c>
      <c r="K7" s="18">
        <v>0</v>
      </c>
      <c r="L7" s="13">
        <f t="shared" si="0"/>
        <v>5.5E-2</v>
      </c>
      <c r="M7" s="13">
        <v>1.0865753700196115</v>
      </c>
      <c r="N7">
        <f t="shared" ref="N7:N37" si="3">ROUND(L7*M7,5)</f>
        <v>5.9760000000000001E-2</v>
      </c>
      <c r="O7" s="16">
        <f>VLOOKUP(B7, Charges_NonSlice!$B$4:$U$138, 20, FALSE)</f>
        <v>18497146.683122829</v>
      </c>
      <c r="P7" s="19">
        <f>IF(J7=1,VLOOKUP(B7,PNGC!$D$6:$K$22,8,FALSE),0)</f>
        <v>0</v>
      </c>
      <c r="Q7" s="17">
        <f>O7+P7</f>
        <v>18497146.683122829</v>
      </c>
      <c r="R7" s="22">
        <f>IF(J7=1, VLOOKUP(B7, PNGC!$D$6:$L$21, 9, FALSE), VLOOKUP('Discount Details'!B7, Charges_NonSlice!$B$4:$V$138, 21, FALSE))</f>
        <v>519652.24540212768</v>
      </c>
      <c r="S7" s="15">
        <f t="shared" ref="S7:S58" si="4">Q7/R7</f>
        <v>35.59524056094282</v>
      </c>
      <c r="T7" s="17">
        <f t="shared" si="1"/>
        <v>1017343.0675717556</v>
      </c>
      <c r="U7" s="17">
        <f t="shared" si="2"/>
        <v>1105389.4857834203</v>
      </c>
    </row>
    <row r="8" spans="1:21" x14ac:dyDescent="0.25">
      <c r="A8" s="3"/>
      <c r="B8" s="18">
        <v>10027</v>
      </c>
      <c r="C8" s="3" t="s">
        <v>2</v>
      </c>
      <c r="D8" s="2">
        <v>10.062277544986841</v>
      </c>
      <c r="E8" s="2">
        <v>4.0188911704312114</v>
      </c>
      <c r="F8" s="3">
        <v>0.04</v>
      </c>
      <c r="G8" s="3">
        <v>3.5000000000000003E-2</v>
      </c>
      <c r="H8" s="3">
        <v>7.0000000000000007E-2</v>
      </c>
      <c r="I8" s="3">
        <v>0</v>
      </c>
      <c r="J8" s="18">
        <v>0</v>
      </c>
      <c r="K8" s="18">
        <v>0</v>
      </c>
      <c r="L8" s="13">
        <f t="shared" si="0"/>
        <v>7.0000000000000007E-2</v>
      </c>
      <c r="M8" s="13">
        <v>1.1078046867339935</v>
      </c>
      <c r="N8">
        <f t="shared" si="3"/>
        <v>7.7549999999999994E-2</v>
      </c>
      <c r="O8" s="16">
        <f>VLOOKUP(B8, Charges_NonSlice!$B$4:$U$138, 20, FALSE)</f>
        <v>18700875.273032725</v>
      </c>
      <c r="P8" s="19">
        <f>IF(J8=1,VLOOKUP(B8,PNGC!$D$6:$K$22,8,FALSE),0)</f>
        <v>0</v>
      </c>
      <c r="Q8" s="17">
        <f t="shared" ref="Q8:Q58" si="5">O8+P8</f>
        <v>18700875.273032725</v>
      </c>
      <c r="R8" s="22">
        <f>IF(J8=1, VLOOKUP(B8, PNGC!$D$6:$L$21, 9, FALSE), VLOOKUP('Discount Details'!B8, Charges_NonSlice!$B$4:$V$138, 21, FALSE))</f>
        <v>537528.09600000002</v>
      </c>
      <c r="S8" s="15">
        <f t="shared" si="4"/>
        <v>34.790507532898751</v>
      </c>
      <c r="T8" s="17">
        <f t="shared" si="1"/>
        <v>1309061.2691122908</v>
      </c>
      <c r="U8" s="17">
        <f t="shared" si="2"/>
        <v>1450252.8774236876</v>
      </c>
    </row>
    <row r="9" spans="1:21" x14ac:dyDescent="0.25">
      <c r="A9" s="3"/>
      <c r="B9" s="18">
        <v>10029</v>
      </c>
      <c r="C9" s="3" t="s">
        <v>3</v>
      </c>
      <c r="D9" s="2">
        <v>6.7839019265419633</v>
      </c>
      <c r="E9" s="2">
        <v>7.3747494989979963</v>
      </c>
      <c r="F9" s="3">
        <v>4.4999999999999998E-2</v>
      </c>
      <c r="G9" s="3">
        <v>0.02</v>
      </c>
      <c r="H9" s="3">
        <v>6.5000000000000002E-2</v>
      </c>
      <c r="I9" s="3">
        <v>0</v>
      </c>
      <c r="J9" s="18">
        <v>1</v>
      </c>
      <c r="K9" s="18">
        <v>0</v>
      </c>
      <c r="L9" s="13">
        <f t="shared" si="0"/>
        <v>6.5000000000000002E-2</v>
      </c>
      <c r="M9" s="13">
        <v>1.2306425976385105</v>
      </c>
      <c r="N9">
        <f t="shared" si="3"/>
        <v>7.9990000000000006E-2</v>
      </c>
      <c r="O9" s="16">
        <f>VLOOKUP(B9, Charges_NonSlice!$B$4:$U$138, 20, FALSE)</f>
        <v>5121048.9144000001</v>
      </c>
      <c r="P9" s="19">
        <f>IF(J9=1,VLOOKUP(B9,PNGC!$D$6:$K$22,8,FALSE),0)</f>
        <v>550579.6866005112</v>
      </c>
      <c r="Q9" s="17">
        <f t="shared" si="5"/>
        <v>5671628.6010005111</v>
      </c>
      <c r="R9" s="22">
        <f>IF(J9=1, VLOOKUP(B9, PNGC!$D$6:$L$21, 9, FALSE), VLOOKUP('Discount Details'!B9, Charges_NonSlice!$B$4:$V$138, 21, FALSE))</f>
        <v>154758.13572502355</v>
      </c>
      <c r="S9" s="15">
        <f t="shared" si="4"/>
        <v>36.648338870390255</v>
      </c>
      <c r="T9" s="17">
        <f t="shared" si="1"/>
        <v>368655.8590650332</v>
      </c>
      <c r="U9" s="17">
        <f t="shared" si="2"/>
        <v>453673.5717940309</v>
      </c>
    </row>
    <row r="10" spans="1:21" x14ac:dyDescent="0.25">
      <c r="A10" s="3"/>
      <c r="B10" s="18">
        <v>10065</v>
      </c>
      <c r="C10" s="3" t="s">
        <v>4</v>
      </c>
      <c r="D10" s="2">
        <v>15.707838574355518</v>
      </c>
      <c r="E10" s="2">
        <v>11.082191780821917</v>
      </c>
      <c r="F10" s="3">
        <v>0.03</v>
      </c>
      <c r="G10" s="3">
        <v>5.0000000000000001E-3</v>
      </c>
      <c r="H10" s="3">
        <v>3.4999999999999996E-2</v>
      </c>
      <c r="I10" s="3">
        <v>0</v>
      </c>
      <c r="J10" s="18">
        <v>0</v>
      </c>
      <c r="K10" s="18">
        <v>0</v>
      </c>
      <c r="L10" s="13">
        <f t="shared" si="0"/>
        <v>3.4999999999999996E-2</v>
      </c>
      <c r="M10" s="13">
        <v>1.8957106812447433</v>
      </c>
      <c r="N10">
        <f t="shared" si="3"/>
        <v>6.6350000000000006E-2</v>
      </c>
      <c r="O10" s="16">
        <f>VLOOKUP(B10, Charges_NonSlice!$B$4:$U$138, 20, FALSE)</f>
        <v>703729.06957832654</v>
      </c>
      <c r="P10" s="19">
        <f>IF(J10=1,VLOOKUP(B10,PNGC!$D$6:$K$22,8,FALSE),0)</f>
        <v>0</v>
      </c>
      <c r="Q10" s="17">
        <f t="shared" si="5"/>
        <v>703729.06957832654</v>
      </c>
      <c r="R10" s="22">
        <f>IF(J10=1, VLOOKUP(B10, PNGC!$D$6:$L$21, 9, FALSE), VLOOKUP('Discount Details'!B10, Charges_NonSlice!$B$4:$V$138, 21, FALSE))</f>
        <v>20888.352000000003</v>
      </c>
      <c r="S10" s="15">
        <f t="shared" si="4"/>
        <v>33.690023491481114</v>
      </c>
      <c r="T10" s="17">
        <f t="shared" si="1"/>
        <v>24630.517435241425</v>
      </c>
      <c r="U10" s="17">
        <f t="shared" si="2"/>
        <v>46692.42376652197</v>
      </c>
    </row>
    <row r="11" spans="1:21" x14ac:dyDescent="0.25">
      <c r="A11" s="3"/>
      <c r="B11" s="18">
        <v>10046</v>
      </c>
      <c r="C11" s="3" t="s">
        <v>5</v>
      </c>
      <c r="D11" s="2">
        <v>5.1512492911482184</v>
      </c>
      <c r="E11" s="2">
        <v>7.6824012314007186</v>
      </c>
      <c r="F11" s="3">
        <v>4.4999999999999998E-2</v>
      </c>
      <c r="G11" s="3">
        <v>0.02</v>
      </c>
      <c r="H11" s="3">
        <v>6.5000000000000002E-2</v>
      </c>
      <c r="I11" s="3">
        <v>0</v>
      </c>
      <c r="J11" s="18">
        <v>1</v>
      </c>
      <c r="K11" s="18">
        <v>0</v>
      </c>
      <c r="L11" s="13">
        <f t="shared" si="0"/>
        <v>6.5000000000000002E-2</v>
      </c>
      <c r="M11" s="13">
        <v>1.2080365542265825</v>
      </c>
      <c r="N11">
        <f t="shared" si="3"/>
        <v>7.8520000000000006E-2</v>
      </c>
      <c r="O11" s="16">
        <f>VLOOKUP(B11, Charges_NonSlice!$B$4:$U$138, 20, FALSE)</f>
        <v>23794397.323560003</v>
      </c>
      <c r="P11" s="19">
        <f>IF(J11=1,VLOOKUP(B11,PNGC!$D$6:$K$22,8,FALSE),0)</f>
        <v>2558208.687367836</v>
      </c>
      <c r="Q11" s="17">
        <f t="shared" si="5"/>
        <v>26352606.010927841</v>
      </c>
      <c r="R11" s="22">
        <f>IF(J11=1, VLOOKUP(B11, PNGC!$D$6:$L$21, 9, FALSE), VLOOKUP('Discount Details'!B11, Charges_NonSlice!$B$4:$V$138, 21, FALSE))</f>
        <v>719066.86150567175</v>
      </c>
      <c r="S11" s="15">
        <f t="shared" si="4"/>
        <v>36.648338870390262</v>
      </c>
      <c r="T11" s="17">
        <f t="shared" si="1"/>
        <v>1712919.3907103096</v>
      </c>
      <c r="U11" s="17">
        <f t="shared" si="2"/>
        <v>2069206.6239780542</v>
      </c>
    </row>
    <row r="12" spans="1:21" x14ac:dyDescent="0.25">
      <c r="A12" s="3"/>
      <c r="B12" s="18">
        <v>10101</v>
      </c>
      <c r="C12" s="3" t="s">
        <v>6</v>
      </c>
      <c r="D12" s="2">
        <v>4.7041187774613018</v>
      </c>
      <c r="E12" s="2">
        <v>11.395987328405491</v>
      </c>
      <c r="F12" s="3">
        <v>4.4999999999999998E-2</v>
      </c>
      <c r="G12" s="3">
        <v>5.0000000000000001E-3</v>
      </c>
      <c r="H12" s="3">
        <v>4.9999999999999996E-2</v>
      </c>
      <c r="I12" s="3">
        <v>0</v>
      </c>
      <c r="J12" s="18">
        <v>0</v>
      </c>
      <c r="K12" s="18">
        <v>0</v>
      </c>
      <c r="L12" s="13">
        <f t="shared" si="0"/>
        <v>4.9999999999999996E-2</v>
      </c>
      <c r="M12" s="13">
        <v>1.0190719208712578</v>
      </c>
      <c r="N12">
        <f t="shared" si="3"/>
        <v>5.0950000000000002E-2</v>
      </c>
      <c r="O12" s="16">
        <f>VLOOKUP(B12, Charges_NonSlice!$B$4:$U$138, 20, FALSE)</f>
        <v>24356937.478611056</v>
      </c>
      <c r="P12" s="19">
        <f>IF(J12=1,VLOOKUP(B12,PNGC!$D$6:$K$22,8,FALSE),0)</f>
        <v>0</v>
      </c>
      <c r="Q12" s="17">
        <f t="shared" si="5"/>
        <v>24356937.478611056</v>
      </c>
      <c r="R12" s="22">
        <f>IF(J12=1, VLOOKUP(B12, PNGC!$D$6:$L$21, 9, FALSE), VLOOKUP('Discount Details'!B12, Charges_NonSlice!$B$4:$V$138, 21, FALSE))</f>
        <v>667829.95200000005</v>
      </c>
      <c r="S12" s="15">
        <f t="shared" si="4"/>
        <v>36.471765612889214</v>
      </c>
      <c r="T12" s="17">
        <f t="shared" si="1"/>
        <v>1217846.8739305527</v>
      </c>
      <c r="U12" s="17">
        <f t="shared" si="2"/>
        <v>1240985.9645352333</v>
      </c>
    </row>
    <row r="13" spans="1:21" x14ac:dyDescent="0.25">
      <c r="A13" s="3"/>
      <c r="B13" s="18">
        <v>10106</v>
      </c>
      <c r="C13" s="3" t="s">
        <v>7</v>
      </c>
      <c r="D13" s="2">
        <v>3.8719234339899864</v>
      </c>
      <c r="E13" s="2">
        <v>3.6789926681542875</v>
      </c>
      <c r="F13" s="3">
        <v>4.4999999999999998E-2</v>
      </c>
      <c r="G13" s="3">
        <v>3.5000000000000003E-2</v>
      </c>
      <c r="H13" s="3">
        <v>7.0000000000000007E-2</v>
      </c>
      <c r="I13" s="3">
        <v>0</v>
      </c>
      <c r="J13" s="18">
        <v>1</v>
      </c>
      <c r="K13" s="18">
        <v>0</v>
      </c>
      <c r="L13" s="13">
        <f t="shared" si="0"/>
        <v>7.0000000000000007E-2</v>
      </c>
      <c r="M13" s="13">
        <v>1.0105113279450562</v>
      </c>
      <c r="N13">
        <f t="shared" si="3"/>
        <v>7.0739999999999997E-2</v>
      </c>
      <c r="O13" s="16">
        <f>VLOOKUP(B13, Charges_NonSlice!$B$4:$U$138, 20, FALSE)</f>
        <v>6941752.2313200012</v>
      </c>
      <c r="P13" s="19">
        <f>IF(J13=1,VLOOKUP(B13,PNGC!$D$6:$K$22,8,FALSE),0)</f>
        <v>746329.08840831916</v>
      </c>
      <c r="Q13" s="17">
        <f t="shared" si="5"/>
        <v>7688081.3197283205</v>
      </c>
      <c r="R13" s="22">
        <f>IF(J13=1, VLOOKUP(B13, PNGC!$D$6:$L$21, 9, FALSE), VLOOKUP('Discount Details'!B13, Charges_NonSlice!$B$4:$V$138, 21, FALSE))</f>
        <v>209779.80330616963</v>
      </c>
      <c r="S13" s="15">
        <f t="shared" si="4"/>
        <v>36.648338870390262</v>
      </c>
      <c r="T13" s="17">
        <f t="shared" si="1"/>
        <v>538165.69238098245</v>
      </c>
      <c r="U13" s="17">
        <f t="shared" si="2"/>
        <v>543854.8725575814</v>
      </c>
    </row>
    <row r="14" spans="1:21" x14ac:dyDescent="0.25">
      <c r="A14" s="3"/>
      <c r="B14" s="18">
        <v>10109</v>
      </c>
      <c r="C14" s="3" t="s">
        <v>8</v>
      </c>
      <c r="D14" s="2">
        <v>6.9927994569388687</v>
      </c>
      <c r="E14" s="2">
        <v>3.2062600321027288</v>
      </c>
      <c r="F14" s="3">
        <v>4.4999999999999998E-2</v>
      </c>
      <c r="G14" s="3">
        <v>0.04</v>
      </c>
      <c r="H14" s="3">
        <v>7.0000000000000007E-2</v>
      </c>
      <c r="I14" s="3">
        <v>0</v>
      </c>
      <c r="J14" s="18">
        <v>0</v>
      </c>
      <c r="K14" s="18">
        <v>0</v>
      </c>
      <c r="L14" s="13">
        <f t="shared" si="0"/>
        <v>7.0000000000000007E-2</v>
      </c>
      <c r="M14" s="13">
        <v>1.2241293942894866</v>
      </c>
      <c r="N14">
        <f t="shared" si="3"/>
        <v>8.5690000000000002E-2</v>
      </c>
      <c r="O14" s="16">
        <f>VLOOKUP(B14, Charges_NonSlice!$B$4:$U$138, 20, FALSE)</f>
        <v>3901417.817350693</v>
      </c>
      <c r="P14" s="19">
        <f>IF(J14=1,VLOOKUP(B14,PNGC!$D$6:$K$22,8,FALSE),0)</f>
        <v>0</v>
      </c>
      <c r="Q14" s="17">
        <f t="shared" si="5"/>
        <v>3901417.817350693</v>
      </c>
      <c r="R14" s="22">
        <f>IF(J14=1, VLOOKUP(B14, PNGC!$D$6:$L$21, 9, FALSE), VLOOKUP('Discount Details'!B14, Charges_NonSlice!$B$4:$V$138, 21, FALSE))</f>
        <v>106443.95248791664</v>
      </c>
      <c r="S14" s="15">
        <f t="shared" si="4"/>
        <v>36.652320081721655</v>
      </c>
      <c r="T14" s="17">
        <f t="shared" si="1"/>
        <v>273099.24721454852</v>
      </c>
      <c r="U14" s="17">
        <f t="shared" si="2"/>
        <v>334312.49276878091</v>
      </c>
    </row>
    <row r="15" spans="1:21" x14ac:dyDescent="0.25">
      <c r="A15" s="3"/>
      <c r="B15" s="18">
        <v>10111</v>
      </c>
      <c r="C15" s="3" t="s">
        <v>9</v>
      </c>
      <c r="D15" s="2">
        <v>1.4332885844081409</v>
      </c>
      <c r="E15" s="2">
        <v>1.881453154875717</v>
      </c>
      <c r="F15" s="3">
        <v>0.05</v>
      </c>
      <c r="G15" s="3">
        <v>4.4999999999999998E-2</v>
      </c>
      <c r="H15" s="3">
        <v>7.0000000000000007E-2</v>
      </c>
      <c r="I15" s="3">
        <v>5.0000000000000001E-3</v>
      </c>
      <c r="J15" s="18">
        <v>0</v>
      </c>
      <c r="K15" s="18">
        <v>0</v>
      </c>
      <c r="L15" s="13">
        <f t="shared" si="0"/>
        <v>7.0000000000000007E-2</v>
      </c>
      <c r="M15" s="13">
        <v>1</v>
      </c>
      <c r="N15">
        <f t="shared" si="3"/>
        <v>7.0000000000000007E-2</v>
      </c>
      <c r="O15" s="16">
        <f>VLOOKUP(B15, Charges_NonSlice!$B$4:$U$138, 20, FALSE)</f>
        <v>1009928.0811326291</v>
      </c>
      <c r="P15" s="19">
        <f>IF(J15=1,VLOOKUP(B15,PNGC!$D$6:$K$22,8,FALSE),0)</f>
        <v>0</v>
      </c>
      <c r="Q15" s="17">
        <f t="shared" si="5"/>
        <v>1009928.0811326291</v>
      </c>
      <c r="R15" s="22">
        <f>IF(J15=1, VLOOKUP(B15, PNGC!$D$6:$L$21, 9, FALSE), VLOOKUP('Discount Details'!B15, Charges_NonSlice!$B$4:$V$138, 21, FALSE))</f>
        <v>27554.403126302037</v>
      </c>
      <c r="S15" s="15">
        <f t="shared" si="4"/>
        <v>36.652148714794805</v>
      </c>
      <c r="T15" s="17">
        <f t="shared" si="1"/>
        <v>70694.96567928404</v>
      </c>
      <c r="U15" s="17">
        <f t="shared" si="2"/>
        <v>70694.96567928404</v>
      </c>
    </row>
    <row r="16" spans="1:21" x14ac:dyDescent="0.25">
      <c r="A16" s="3"/>
      <c r="B16" s="18">
        <v>10113</v>
      </c>
      <c r="C16" s="3" t="s">
        <v>10</v>
      </c>
      <c r="D16" s="2">
        <v>4.0008804413695858</v>
      </c>
      <c r="E16" s="2">
        <v>4.5633187772925767</v>
      </c>
      <c r="F16" s="3">
        <v>4.4999999999999998E-2</v>
      </c>
      <c r="G16" s="3">
        <v>3.5000000000000003E-2</v>
      </c>
      <c r="H16" s="3">
        <v>7.0000000000000007E-2</v>
      </c>
      <c r="I16" s="3">
        <v>0</v>
      </c>
      <c r="J16" s="18">
        <v>0</v>
      </c>
      <c r="K16" s="18">
        <v>0</v>
      </c>
      <c r="L16" s="13">
        <f t="shared" si="0"/>
        <v>7.0000000000000007E-2</v>
      </c>
      <c r="M16" s="13">
        <v>1.1547767489984879</v>
      </c>
      <c r="N16">
        <f t="shared" si="3"/>
        <v>8.0829999999999999E-2</v>
      </c>
      <c r="O16" s="16">
        <f>VLOOKUP(B16, Charges_NonSlice!$B$4:$U$138, 20, FALSE)</f>
        <v>11180301.026524501</v>
      </c>
      <c r="P16" s="19">
        <f>IF(J16=1,VLOOKUP(B16,PNGC!$D$6:$K$22,8,FALSE),0)</f>
        <v>0</v>
      </c>
      <c r="Q16" s="17">
        <f t="shared" si="5"/>
        <v>11180301.026524501</v>
      </c>
      <c r="R16" s="22">
        <f>IF(J16=1, VLOOKUP(B16, PNGC!$D$6:$L$21, 9, FALSE), VLOOKUP('Discount Details'!B16, Charges_NonSlice!$B$4:$V$138, 21, FALSE))</f>
        <v>331095.31199999998</v>
      </c>
      <c r="S16" s="15">
        <f t="shared" si="4"/>
        <v>33.767621048420345</v>
      </c>
      <c r="T16" s="17">
        <f t="shared" si="1"/>
        <v>782621.07185671513</v>
      </c>
      <c r="U16" s="17">
        <f t="shared" si="2"/>
        <v>903703.73197397543</v>
      </c>
    </row>
    <row r="17" spans="1:21" x14ac:dyDescent="0.25">
      <c r="A17" s="3"/>
      <c r="B17" s="18">
        <v>10118</v>
      </c>
      <c r="C17" s="3" t="s">
        <v>11</v>
      </c>
      <c r="D17" s="2">
        <v>3.8670976591631625</v>
      </c>
      <c r="E17" s="2">
        <v>7.6554208974778906</v>
      </c>
      <c r="F17" s="3">
        <v>4.4999999999999998E-2</v>
      </c>
      <c r="G17" s="3">
        <v>0.02</v>
      </c>
      <c r="H17" s="3">
        <v>6.5000000000000002E-2</v>
      </c>
      <c r="I17" s="3">
        <v>0</v>
      </c>
      <c r="J17" s="18">
        <v>1</v>
      </c>
      <c r="K17" s="18">
        <v>0</v>
      </c>
      <c r="L17" s="13">
        <f t="shared" si="0"/>
        <v>6.5000000000000002E-2</v>
      </c>
      <c r="M17" s="13">
        <v>1.0775714848710425</v>
      </c>
      <c r="N17">
        <f t="shared" si="3"/>
        <v>7.0040000000000005E-2</v>
      </c>
      <c r="O17" s="16">
        <f>VLOOKUP(B17, Charges_NonSlice!$B$4:$U$138, 20, FALSE)</f>
        <v>13277561.585880002</v>
      </c>
      <c r="P17" s="19">
        <f>IF(J17=1,VLOOKUP(B17,PNGC!$D$6:$K$22,8,FALSE),0)</f>
        <v>1427511.3983419747</v>
      </c>
      <c r="Q17" s="17">
        <f t="shared" si="5"/>
        <v>14705072.984221976</v>
      </c>
      <c r="R17" s="22">
        <f>IF(J17=1, VLOOKUP(B17, PNGC!$D$6:$L$21, 9, FALSE), VLOOKUP('Discount Details'!B17, Charges_NonSlice!$B$4:$V$138, 21, FALSE))</f>
        <v>401248.00843573367</v>
      </c>
      <c r="S17" s="15">
        <f t="shared" si="4"/>
        <v>36.648338870390255</v>
      </c>
      <c r="T17" s="17">
        <f t="shared" si="1"/>
        <v>955829.74397442851</v>
      </c>
      <c r="U17" s="17">
        <f t="shared" si="2"/>
        <v>1029943.3118149072</v>
      </c>
    </row>
    <row r="18" spans="1:21" x14ac:dyDescent="0.25">
      <c r="A18" s="3"/>
      <c r="B18" s="18">
        <v>10121</v>
      </c>
      <c r="C18" s="3" t="s">
        <v>12</v>
      </c>
      <c r="D18" s="2">
        <v>3.8803511487049573</v>
      </c>
      <c r="E18" s="2">
        <v>9.1088861076345431</v>
      </c>
      <c r="F18" s="3">
        <v>4.4999999999999998E-2</v>
      </c>
      <c r="G18" s="3">
        <v>1.4999999999999999E-2</v>
      </c>
      <c r="H18" s="3">
        <v>0.06</v>
      </c>
      <c r="I18" s="3">
        <v>0</v>
      </c>
      <c r="J18" s="18">
        <v>1</v>
      </c>
      <c r="K18" s="18">
        <v>0</v>
      </c>
      <c r="L18" s="13">
        <f t="shared" si="0"/>
        <v>0.06</v>
      </c>
      <c r="M18" s="13">
        <v>1</v>
      </c>
      <c r="N18">
        <f t="shared" si="3"/>
        <v>0.06</v>
      </c>
      <c r="O18" s="16">
        <f>VLOOKUP(B18, Charges_NonSlice!$B$4:$U$138, 20, FALSE)</f>
        <v>11481081.91451822</v>
      </c>
      <c r="P18" s="19">
        <f>IF(J18=1,VLOOKUP(B18,PNGC!$D$6:$K$22,8,FALSE),0)</f>
        <v>1234366.9846263425</v>
      </c>
      <c r="Q18" s="17">
        <f t="shared" si="5"/>
        <v>12715448.899144564</v>
      </c>
      <c r="R18" s="22">
        <f>IF(J18=1, VLOOKUP(B18, PNGC!$D$6:$L$21, 9, FALSE), VLOOKUP('Discount Details'!B18, Charges_NonSlice!$B$4:$V$138, 21, FALSE))</f>
        <v>346958.55657293368</v>
      </c>
      <c r="S18" s="15">
        <f t="shared" si="4"/>
        <v>36.648321991942765</v>
      </c>
      <c r="T18" s="17">
        <f t="shared" si="1"/>
        <v>762926.93394867377</v>
      </c>
      <c r="U18" s="17">
        <f t="shared" si="2"/>
        <v>762926.93394867377</v>
      </c>
    </row>
    <row r="19" spans="1:21" x14ac:dyDescent="0.25">
      <c r="A19" s="3"/>
      <c r="B19" s="18">
        <v>10136</v>
      </c>
      <c r="C19" s="3" t="s">
        <v>13</v>
      </c>
      <c r="D19" s="2">
        <v>3.5610411913232052</v>
      </c>
      <c r="E19" s="2">
        <v>6.5276569297700435</v>
      </c>
      <c r="F19" s="3">
        <v>4.4999999999999998E-2</v>
      </c>
      <c r="G19" s="3">
        <v>2.5000000000000001E-2</v>
      </c>
      <c r="H19" s="3">
        <v>7.0000000000000007E-2</v>
      </c>
      <c r="I19" s="3">
        <v>0</v>
      </c>
      <c r="J19" s="18">
        <v>1</v>
      </c>
      <c r="K19" s="18">
        <v>0</v>
      </c>
      <c r="L19" s="13">
        <f t="shared" si="0"/>
        <v>7.0000000000000007E-2</v>
      </c>
      <c r="M19" s="13">
        <v>1</v>
      </c>
      <c r="N19">
        <f t="shared" si="3"/>
        <v>7.0000000000000007E-2</v>
      </c>
      <c r="O19" s="16">
        <f>VLOOKUP(B19, Charges_NonSlice!$B$4:$U$138, 20, FALSE)</f>
        <v>5347748.668915608</v>
      </c>
      <c r="P19" s="19">
        <f>IF(J19=1,VLOOKUP(B19,PNGC!$D$6:$K$22,8,FALSE),0)</f>
        <v>574951.77858154429</v>
      </c>
      <c r="Q19" s="17">
        <f t="shared" si="5"/>
        <v>5922700.4474971518</v>
      </c>
      <c r="R19" s="22">
        <f>IF(J19=1, VLOOKUP(B19, PNGC!$D$6:$L$21, 9, FALSE), VLOOKUP('Discount Details'!B19, Charges_NonSlice!$B$4:$V$138, 21, FALSE))</f>
        <v>161608.69634412645</v>
      </c>
      <c r="S19" s="15">
        <f t="shared" si="4"/>
        <v>36.648401858805094</v>
      </c>
      <c r="T19" s="17">
        <f t="shared" si="1"/>
        <v>414589.03132480069</v>
      </c>
      <c r="U19" s="17">
        <f t="shared" si="2"/>
        <v>414589.03132480069</v>
      </c>
    </row>
    <row r="20" spans="1:21" x14ac:dyDescent="0.25">
      <c r="A20" s="3"/>
      <c r="B20" s="18">
        <v>10142</v>
      </c>
      <c r="C20" s="3" t="s">
        <v>14</v>
      </c>
      <c r="D20" s="2">
        <v>43.306109887457382</v>
      </c>
      <c r="E20" s="2">
        <v>5.65625</v>
      </c>
      <c r="F20" s="3">
        <v>0</v>
      </c>
      <c r="G20" s="3">
        <v>0.03</v>
      </c>
      <c r="H20" s="3">
        <v>0.03</v>
      </c>
      <c r="I20" s="3">
        <v>0</v>
      </c>
      <c r="J20" s="18">
        <v>0</v>
      </c>
      <c r="K20" s="18">
        <v>0</v>
      </c>
      <c r="L20" s="13">
        <f t="shared" si="0"/>
        <v>0.03</v>
      </c>
      <c r="M20" s="13">
        <v>1.2333457387420916</v>
      </c>
      <c r="N20">
        <f t="shared" si="3"/>
        <v>3.6999999999999998E-2</v>
      </c>
      <c r="O20" s="16">
        <f>VLOOKUP(B20, Charges_NonSlice!$B$4:$U$138, 20, FALSE)</f>
        <v>866752.51730761863</v>
      </c>
      <c r="P20" s="19">
        <f>IF(J20=1,VLOOKUP(B20,PNGC!$D$6:$K$22,8,FALSE),0)</f>
        <v>0</v>
      </c>
      <c r="Q20" s="17">
        <f t="shared" si="5"/>
        <v>866752.51730761863</v>
      </c>
      <c r="R20" s="22">
        <f>IF(J20=1, VLOOKUP(B20, PNGC!$D$6:$L$21, 9, FALSE), VLOOKUP('Discount Details'!B20, Charges_NonSlice!$B$4:$V$138, 21, FALSE))</f>
        <v>23602.608</v>
      </c>
      <c r="S20" s="15">
        <f t="shared" si="4"/>
        <v>36.722743406475189</v>
      </c>
      <c r="T20" s="17">
        <f t="shared" si="1"/>
        <v>26002.575519228558</v>
      </c>
      <c r="U20" s="17">
        <f t="shared" si="2"/>
        <v>32069.843140381887</v>
      </c>
    </row>
    <row r="21" spans="1:21" x14ac:dyDescent="0.25">
      <c r="A21" s="3"/>
      <c r="B21" s="18">
        <v>10157</v>
      </c>
      <c r="C21" s="3" t="s">
        <v>15</v>
      </c>
      <c r="D21" s="2">
        <v>6.3865724197442235</v>
      </c>
      <c r="E21" s="2">
        <v>10.6455</v>
      </c>
      <c r="F21" s="3">
        <v>4.4999999999999998E-2</v>
      </c>
      <c r="G21" s="3">
        <v>0.01</v>
      </c>
      <c r="H21" s="3">
        <v>5.5E-2</v>
      </c>
      <c r="I21" s="3">
        <v>0</v>
      </c>
      <c r="J21" s="18">
        <v>0</v>
      </c>
      <c r="K21" s="18">
        <v>1</v>
      </c>
      <c r="L21" s="13">
        <f t="shared" si="0"/>
        <v>5.5E-2</v>
      </c>
      <c r="M21" s="13">
        <v>1.0962608591216623</v>
      </c>
      <c r="N21">
        <f t="shared" si="3"/>
        <v>6.0290000000000003E-2</v>
      </c>
      <c r="O21" s="16">
        <f>VLOOKUP(B21, Charges_NonSlice!$B$4:$U$138, 20, FALSE)</f>
        <v>14837800.484056642</v>
      </c>
      <c r="P21" s="19">
        <f>IF(J21=1,VLOOKUP(B21,PNGC!$D$6:$K$22,8,FALSE),0)</f>
        <v>0</v>
      </c>
      <c r="Q21" s="17">
        <f t="shared" si="5"/>
        <v>14837800.484056642</v>
      </c>
      <c r="R21" s="22">
        <f>IF(J21=1, VLOOKUP(B21, PNGC!$D$6:$L$21, 9, FALSE), VLOOKUP('Discount Details'!B21, Charges_NonSlice!$B$4:$V$138, 21, FALSE))</f>
        <v>438831.0712271682</v>
      </c>
      <c r="S21" s="15">
        <f t="shared" si="4"/>
        <v>33.812100958492998</v>
      </c>
      <c r="T21" s="17">
        <f t="shared" si="1"/>
        <v>816079.02662311529</v>
      </c>
      <c r="U21" s="17">
        <f t="shared" si="2"/>
        <v>894570.99118377501</v>
      </c>
    </row>
    <row r="22" spans="1:21" x14ac:dyDescent="0.25">
      <c r="A22" s="3"/>
      <c r="B22" s="18">
        <v>10173</v>
      </c>
      <c r="C22" s="3" t="s">
        <v>16</v>
      </c>
      <c r="D22" s="2">
        <v>6.1317435322721074</v>
      </c>
      <c r="E22" s="2">
        <v>6.1473341473341474</v>
      </c>
      <c r="F22" s="3">
        <v>4.4999999999999998E-2</v>
      </c>
      <c r="G22" s="3">
        <v>2.5000000000000001E-2</v>
      </c>
      <c r="H22" s="3">
        <v>7.0000000000000007E-2</v>
      </c>
      <c r="I22" s="3">
        <v>0</v>
      </c>
      <c r="J22" s="18">
        <v>1</v>
      </c>
      <c r="K22" s="18">
        <v>0</v>
      </c>
      <c r="L22" s="13">
        <f t="shared" si="0"/>
        <v>7.0000000000000007E-2</v>
      </c>
      <c r="M22" s="13">
        <v>1.2110775731964984</v>
      </c>
      <c r="N22">
        <f t="shared" si="3"/>
        <v>8.4779999999999994E-2</v>
      </c>
      <c r="O22" s="16">
        <f>VLOOKUP(B22, Charges_NonSlice!$B$4:$U$138, 20, FALSE)</f>
        <v>9631021.583039999</v>
      </c>
      <c r="P22" s="19">
        <f>IF(J22=1,VLOOKUP(B22,PNGC!$D$6:$K$22,8,FALSE),0)</f>
        <v>1035460.6904695419</v>
      </c>
      <c r="Q22" s="17">
        <f t="shared" si="5"/>
        <v>10666482.273509542</v>
      </c>
      <c r="R22" s="22">
        <f>IF(J22=1, VLOOKUP(B22, PNGC!$D$6:$L$21, 9, FALSE), VLOOKUP('Discount Details'!B22, Charges_NonSlice!$B$4:$V$138, 21, FALSE))</f>
        <v>291049.5428246393</v>
      </c>
      <c r="S22" s="15">
        <f t="shared" si="4"/>
        <v>36.648338870390255</v>
      </c>
      <c r="T22" s="17">
        <f t="shared" si="1"/>
        <v>746653.75914566801</v>
      </c>
      <c r="U22" s="17">
        <f t="shared" si="2"/>
        <v>904304.36714813882</v>
      </c>
    </row>
    <row r="23" spans="1:21" x14ac:dyDescent="0.25">
      <c r="A23" s="3"/>
      <c r="B23" s="18">
        <v>10177</v>
      </c>
      <c r="C23" s="3" t="s">
        <v>17</v>
      </c>
      <c r="D23" s="2">
        <v>7.4405757948174234</v>
      </c>
      <c r="E23" s="2">
        <v>5.6565809379727687</v>
      </c>
      <c r="F23" s="3">
        <v>0.04</v>
      </c>
      <c r="G23" s="3">
        <v>0.03</v>
      </c>
      <c r="H23" s="3">
        <v>7.0000000000000007E-2</v>
      </c>
      <c r="I23" s="3">
        <v>0</v>
      </c>
      <c r="J23" s="18">
        <v>0</v>
      </c>
      <c r="K23" s="18">
        <v>0</v>
      </c>
      <c r="L23" s="13">
        <f t="shared" si="0"/>
        <v>7.0000000000000007E-2</v>
      </c>
      <c r="M23" s="13">
        <v>1</v>
      </c>
      <c r="N23">
        <f t="shared" si="3"/>
        <v>7.0000000000000007E-2</v>
      </c>
      <c r="O23" s="16">
        <f>VLOOKUP(B23, Charges_NonSlice!$B$4:$U$138, 20, FALSE)</f>
        <v>2692812.3904539482</v>
      </c>
      <c r="P23" s="19">
        <f>IF(J23=1,VLOOKUP(B23,PNGC!$D$6:$K$22,8,FALSE),0)</f>
        <v>0</v>
      </c>
      <c r="Q23" s="17">
        <f t="shared" si="5"/>
        <v>2692812.3904539482</v>
      </c>
      <c r="R23" s="22">
        <f>IF(J23=1, VLOOKUP(B23, PNGC!$D$6:$L$21, 9, FALSE), VLOOKUP('Discount Details'!B23, Charges_NonSlice!$B$4:$V$138, 21, FALSE))</f>
        <v>76044.034348560628</v>
      </c>
      <c r="S23" s="15">
        <f t="shared" si="4"/>
        <v>35.411224740010368</v>
      </c>
      <c r="T23" s="17">
        <f t="shared" si="1"/>
        <v>188496.86733177639</v>
      </c>
      <c r="U23" s="17">
        <f t="shared" si="2"/>
        <v>188496.86733177639</v>
      </c>
    </row>
    <row r="24" spans="1:21" x14ac:dyDescent="0.25">
      <c r="A24" s="3"/>
      <c r="B24" s="18">
        <v>10186</v>
      </c>
      <c r="C24" s="3" t="s">
        <v>18</v>
      </c>
      <c r="D24" s="2">
        <v>5.449060172259526</v>
      </c>
      <c r="E24" s="2">
        <v>5.3452945159106298</v>
      </c>
      <c r="F24" s="3">
        <v>4.4999999999999998E-2</v>
      </c>
      <c r="G24" s="3">
        <v>0.03</v>
      </c>
      <c r="H24" s="3">
        <v>7.0000000000000007E-2</v>
      </c>
      <c r="I24" s="3">
        <v>0</v>
      </c>
      <c r="J24" s="18">
        <v>0</v>
      </c>
      <c r="K24" s="18">
        <v>0</v>
      </c>
      <c r="L24" s="13">
        <f t="shared" si="0"/>
        <v>7.0000000000000007E-2</v>
      </c>
      <c r="M24" s="13">
        <v>1</v>
      </c>
      <c r="N24">
        <f t="shared" si="3"/>
        <v>7.0000000000000007E-2</v>
      </c>
      <c r="O24" s="16">
        <f>VLOOKUP(B24, Charges_NonSlice!$B$4:$U$138, 20, FALSE)</f>
        <v>5547949.8284546444</v>
      </c>
      <c r="P24" s="19">
        <f>IF(J24=1,VLOOKUP(B24,PNGC!$D$6:$K$22,8,FALSE),0)</f>
        <v>0</v>
      </c>
      <c r="Q24" s="17">
        <f t="shared" si="5"/>
        <v>5547949.8284546444</v>
      </c>
      <c r="R24" s="22">
        <f>IF(J24=1, VLOOKUP(B24, PNGC!$D$6:$L$21, 9, FALSE), VLOOKUP('Discount Details'!B24, Charges_NonSlice!$B$4:$V$138, 21, FALSE))</f>
        <v>155012.09571054493</v>
      </c>
      <c r="S24" s="15">
        <f t="shared" si="4"/>
        <v>35.790431727433493</v>
      </c>
      <c r="T24" s="17">
        <f t="shared" si="1"/>
        <v>388356.48799182515</v>
      </c>
      <c r="U24" s="17">
        <f t="shared" si="2"/>
        <v>388356.48799182515</v>
      </c>
    </row>
    <row r="25" spans="1:21" x14ac:dyDescent="0.25">
      <c r="A25" s="3"/>
      <c r="B25" s="18">
        <v>10197</v>
      </c>
      <c r="C25" s="3" t="s">
        <v>19</v>
      </c>
      <c r="D25" s="2">
        <v>11.633690732223757</v>
      </c>
      <c r="E25" s="2">
        <v>1.3809160305343511</v>
      </c>
      <c r="F25" s="3">
        <v>3.5000000000000003E-2</v>
      </c>
      <c r="G25" s="3">
        <v>4.4999999999999998E-2</v>
      </c>
      <c r="H25" s="3">
        <v>7.0000000000000007E-2</v>
      </c>
      <c r="I25" s="3">
        <v>5.0000000000000001E-3</v>
      </c>
      <c r="J25" s="18">
        <v>0</v>
      </c>
      <c r="K25" s="18">
        <v>0</v>
      </c>
      <c r="L25" s="13">
        <f t="shared" si="0"/>
        <v>7.0000000000000007E-2</v>
      </c>
      <c r="M25" s="13">
        <v>1.2408034105392696</v>
      </c>
      <c r="N25">
        <f t="shared" si="3"/>
        <v>8.6860000000000007E-2</v>
      </c>
      <c r="O25" s="16">
        <f>VLOOKUP(B25, Charges_NonSlice!$B$4:$U$138, 20, FALSE)</f>
        <v>6911026.6483112974</v>
      </c>
      <c r="P25" s="19">
        <f>IF(J25=1,VLOOKUP(B25,PNGC!$D$6:$K$22,8,FALSE),0)</f>
        <v>0</v>
      </c>
      <c r="Q25" s="17">
        <f t="shared" si="5"/>
        <v>6911026.6483112974</v>
      </c>
      <c r="R25" s="22">
        <f>IF(J25=1, VLOOKUP(B25, PNGC!$D$6:$L$21, 9, FALSE), VLOOKUP('Discount Details'!B25, Charges_NonSlice!$B$4:$V$138, 21, FALSE))</f>
        <v>199862.08591613767</v>
      </c>
      <c r="S25" s="15">
        <f t="shared" si="4"/>
        <v>34.578977881833829</v>
      </c>
      <c r="T25" s="17">
        <f t="shared" si="1"/>
        <v>483771.86538179085</v>
      </c>
      <c r="U25" s="17">
        <f t="shared" si="2"/>
        <v>600291.7746723193</v>
      </c>
    </row>
    <row r="26" spans="1:21" x14ac:dyDescent="0.25">
      <c r="A26" s="3"/>
      <c r="B26" s="18">
        <v>10203</v>
      </c>
      <c r="C26" s="3" t="s">
        <v>20</v>
      </c>
      <c r="D26" s="2">
        <v>5.3504833956253055</v>
      </c>
      <c r="E26" s="2">
        <v>3.9656729900632341</v>
      </c>
      <c r="F26" s="3">
        <v>4.4999999999999998E-2</v>
      </c>
      <c r="G26" s="3">
        <v>3.5000000000000003E-2</v>
      </c>
      <c r="H26" s="3">
        <v>7.0000000000000007E-2</v>
      </c>
      <c r="I26" s="3">
        <v>0</v>
      </c>
      <c r="J26" s="18">
        <v>0</v>
      </c>
      <c r="K26" s="18">
        <v>0</v>
      </c>
      <c r="L26" s="13">
        <f t="shared" si="0"/>
        <v>7.0000000000000007E-2</v>
      </c>
      <c r="M26" s="13">
        <v>1.0830516658619025</v>
      </c>
      <c r="N26">
        <f t="shared" si="3"/>
        <v>7.5810000000000002E-2</v>
      </c>
      <c r="O26" s="16">
        <f>VLOOKUP(B26, Charges_NonSlice!$B$4:$U$138, 20, FALSE)</f>
        <v>2014897.2142889206</v>
      </c>
      <c r="P26" s="19">
        <f>IF(J26=1,VLOOKUP(B26,PNGC!$D$6:$K$22,8,FALSE),0)</f>
        <v>0</v>
      </c>
      <c r="Q26" s="17">
        <f t="shared" si="5"/>
        <v>2014897.2142889206</v>
      </c>
      <c r="R26" s="22">
        <f>IF(J26=1, VLOOKUP(B26, PNGC!$D$6:$L$21, 9, FALSE), VLOOKUP('Discount Details'!B26, Charges_NonSlice!$B$4:$V$138, 21, FALSE))</f>
        <v>54574.991999999998</v>
      </c>
      <c r="S26" s="15">
        <f t="shared" si="4"/>
        <v>36.919789457576478</v>
      </c>
      <c r="T26" s="17">
        <f t="shared" si="1"/>
        <v>141042.80500022447</v>
      </c>
      <c r="U26" s="17">
        <f t="shared" si="2"/>
        <v>152749.35781524307</v>
      </c>
    </row>
    <row r="27" spans="1:21" x14ac:dyDescent="0.25">
      <c r="A27" s="3"/>
      <c r="B27" s="18">
        <v>10209</v>
      </c>
      <c r="C27" s="3" t="s">
        <v>21</v>
      </c>
      <c r="D27" s="2">
        <v>6.8150435356494796</v>
      </c>
      <c r="E27" s="2">
        <v>5.9793733681462138</v>
      </c>
      <c r="F27" s="3">
        <v>4.4999999999999998E-2</v>
      </c>
      <c r="G27" s="3">
        <v>0.03</v>
      </c>
      <c r="H27" s="3">
        <v>7.0000000000000007E-2</v>
      </c>
      <c r="I27" s="3">
        <v>0</v>
      </c>
      <c r="J27" s="18">
        <v>0</v>
      </c>
      <c r="K27" s="18">
        <v>0</v>
      </c>
      <c r="L27" s="13">
        <f t="shared" si="0"/>
        <v>7.0000000000000007E-2</v>
      </c>
      <c r="M27" s="13">
        <v>1.2192964057584135</v>
      </c>
      <c r="N27">
        <f t="shared" si="3"/>
        <v>8.5349999999999995E-2</v>
      </c>
      <c r="O27" s="16">
        <f>VLOOKUP(B27, Charges_NonSlice!$B$4:$U$138, 20, FALSE)</f>
        <v>34457216.452787697</v>
      </c>
      <c r="P27" s="19">
        <f>IF(J27=1,VLOOKUP(B27,PNGC!$D$6:$K$22,8,FALSE),0)</f>
        <v>0</v>
      </c>
      <c r="Q27" s="17">
        <f t="shared" si="5"/>
        <v>34457216.452787697</v>
      </c>
      <c r="R27" s="22">
        <f>IF(J27=1, VLOOKUP(B27, PNGC!$D$6:$L$21, 9, FALSE), VLOOKUP('Discount Details'!B27, Charges_NonSlice!$B$4:$V$138, 21, FALSE))</f>
        <v>921349.75322331162</v>
      </c>
      <c r="S27" s="15">
        <f t="shared" si="4"/>
        <v>37.398627754813269</v>
      </c>
      <c r="T27" s="17">
        <f t="shared" si="1"/>
        <v>2412005.1516951392</v>
      </c>
      <c r="U27" s="17">
        <f t="shared" si="2"/>
        <v>2940923.4242454297</v>
      </c>
    </row>
    <row r="28" spans="1:21" x14ac:dyDescent="0.25">
      <c r="A28" s="3"/>
      <c r="B28" s="18">
        <v>10230</v>
      </c>
      <c r="C28" s="3" t="s">
        <v>22</v>
      </c>
      <c r="D28" s="2">
        <v>2.9392365864834651</v>
      </c>
      <c r="E28" s="2">
        <v>6.5855263157894735</v>
      </c>
      <c r="F28" s="3">
        <v>0.05</v>
      </c>
      <c r="G28" s="3">
        <v>2.5000000000000001E-2</v>
      </c>
      <c r="H28" s="3">
        <v>7.0000000000000007E-2</v>
      </c>
      <c r="I28" s="3">
        <v>0</v>
      </c>
      <c r="J28" s="18">
        <v>0</v>
      </c>
      <c r="K28" s="18">
        <v>0</v>
      </c>
      <c r="L28" s="13">
        <f t="shared" si="0"/>
        <v>7.0000000000000007E-2</v>
      </c>
      <c r="M28" s="13">
        <v>1.271696557410843</v>
      </c>
      <c r="N28">
        <f t="shared" si="3"/>
        <v>8.9020000000000002E-2</v>
      </c>
      <c r="O28" s="16">
        <f>VLOOKUP(B28, Charges_NonSlice!$B$4:$U$138, 20, FALSE)</f>
        <v>3327062.3409858714</v>
      </c>
      <c r="P28" s="19">
        <f>IF(J28=1,VLOOKUP(B28,PNGC!$D$6:$K$22,8,FALSE),0)</f>
        <v>0</v>
      </c>
      <c r="Q28" s="17">
        <f t="shared" si="5"/>
        <v>3327062.3409858714</v>
      </c>
      <c r="R28" s="22">
        <f>IF(J28=1, VLOOKUP(B28, PNGC!$D$6:$L$21, 9, FALSE), VLOOKUP('Discount Details'!B28, Charges_NonSlice!$B$4:$V$138, 21, FALSE))</f>
        <v>85218.409390651839</v>
      </c>
      <c r="S28" s="15">
        <f t="shared" si="4"/>
        <v>39.041591655791201</v>
      </c>
      <c r="T28" s="17">
        <f t="shared" si="1"/>
        <v>232894.36386901102</v>
      </c>
      <c r="U28" s="17">
        <f t="shared" si="2"/>
        <v>296175.08959456231</v>
      </c>
    </row>
    <row r="29" spans="1:21" x14ac:dyDescent="0.25">
      <c r="A29" s="3"/>
      <c r="B29" s="18">
        <v>10231</v>
      </c>
      <c r="C29" s="3" t="s">
        <v>23</v>
      </c>
      <c r="D29" s="2">
        <v>4.3258258646456653</v>
      </c>
      <c r="E29" s="2">
        <v>6.9582919563058594</v>
      </c>
      <c r="F29" s="3">
        <v>4.4999999999999998E-2</v>
      </c>
      <c r="G29" s="3">
        <v>2.5000000000000001E-2</v>
      </c>
      <c r="H29" s="3">
        <v>7.0000000000000007E-2</v>
      </c>
      <c r="I29" s="3">
        <v>0</v>
      </c>
      <c r="J29" s="18">
        <v>0</v>
      </c>
      <c r="K29" s="18">
        <v>0</v>
      </c>
      <c r="L29" s="13">
        <f t="shared" si="0"/>
        <v>7.0000000000000007E-2</v>
      </c>
      <c r="M29" s="13">
        <v>1.5515971521318095</v>
      </c>
      <c r="N29">
        <f t="shared" si="3"/>
        <v>0.10861</v>
      </c>
      <c r="O29" s="16">
        <f>VLOOKUP(B29, Charges_NonSlice!$B$4:$U$138, 20, FALSE)</f>
        <v>11752347.439109901</v>
      </c>
      <c r="P29" s="19">
        <f>IF(J29=1,VLOOKUP(B29,PNGC!$D$6:$K$22,8,FALSE),0)</f>
        <v>0</v>
      </c>
      <c r="Q29" s="17">
        <f t="shared" si="5"/>
        <v>11752347.439109901</v>
      </c>
      <c r="R29" s="22">
        <f>IF(J29=1, VLOOKUP(B29, PNGC!$D$6:$L$21, 9, FALSE), VLOOKUP('Discount Details'!B29, Charges_NonSlice!$B$4:$V$138, 21, FALSE))</f>
        <v>322012.65600000002</v>
      </c>
      <c r="S29" s="15">
        <f t="shared" si="4"/>
        <v>36.496538940723809</v>
      </c>
      <c r="T29" s="17">
        <f t="shared" si="1"/>
        <v>822664.32073769311</v>
      </c>
      <c r="U29" s="17">
        <f t="shared" si="2"/>
        <v>1276422.4553617262</v>
      </c>
    </row>
    <row r="30" spans="1:21" x14ac:dyDescent="0.25">
      <c r="A30" s="3"/>
      <c r="B30" s="18">
        <v>10236</v>
      </c>
      <c r="C30" s="3" t="s">
        <v>24</v>
      </c>
      <c r="D30" s="2">
        <v>4.0913991689133429</v>
      </c>
      <c r="E30" s="2">
        <v>8.3797202797202797</v>
      </c>
      <c r="F30" s="3">
        <v>4.4999999999999998E-2</v>
      </c>
      <c r="G30" s="3">
        <v>0.02</v>
      </c>
      <c r="H30" s="3">
        <v>6.5000000000000002E-2</v>
      </c>
      <c r="I30" s="3">
        <v>0</v>
      </c>
      <c r="J30" s="18">
        <v>1</v>
      </c>
      <c r="K30" s="18">
        <v>0</v>
      </c>
      <c r="L30" s="13">
        <f t="shared" si="0"/>
        <v>6.5000000000000002E-2</v>
      </c>
      <c r="M30" s="13">
        <v>1</v>
      </c>
      <c r="N30">
        <f t="shared" si="3"/>
        <v>6.5000000000000002E-2</v>
      </c>
      <c r="O30" s="16">
        <f>VLOOKUP(B30, Charges_NonSlice!$B$4:$U$138, 20, FALSE)</f>
        <v>8161009.68880603</v>
      </c>
      <c r="P30" s="19">
        <f>IF(J30=1,VLOOKUP(B30,PNGC!$D$6:$K$22,8,FALSE),0)</f>
        <v>877417.38748746249</v>
      </c>
      <c r="Q30" s="17">
        <f t="shared" si="5"/>
        <v>9038427.0762934927</v>
      </c>
      <c r="R30" s="22">
        <f>IF(J30=1, VLOOKUP(B30, PNGC!$D$6:$L$21, 9, FALSE), VLOOKUP('Discount Details'!B30, Charges_NonSlice!$B$4:$V$138, 21, FALSE))</f>
        <v>246626.38750565599</v>
      </c>
      <c r="S30" s="15">
        <f t="shared" si="4"/>
        <v>36.648256367483022</v>
      </c>
      <c r="T30" s="17">
        <f t="shared" si="1"/>
        <v>587497.759959077</v>
      </c>
      <c r="U30" s="17">
        <f t="shared" si="2"/>
        <v>587497.759959077</v>
      </c>
    </row>
    <row r="31" spans="1:21" x14ac:dyDescent="0.25">
      <c r="A31" s="3"/>
      <c r="B31" s="18">
        <v>10237</v>
      </c>
      <c r="C31" s="3" t="s">
        <v>25</v>
      </c>
      <c r="D31" s="2">
        <v>7.4627253381951926</v>
      </c>
      <c r="E31" s="2">
        <v>10.866866866866866</v>
      </c>
      <c r="F31" s="3">
        <v>0.04</v>
      </c>
      <c r="G31" s="3">
        <v>5.0000000000000001E-3</v>
      </c>
      <c r="H31" s="3">
        <v>4.4999999999999998E-2</v>
      </c>
      <c r="I31" s="3">
        <v>0</v>
      </c>
      <c r="J31" s="18">
        <v>0</v>
      </c>
      <c r="K31" s="18">
        <v>1</v>
      </c>
      <c r="L31" s="13">
        <f t="shared" si="0"/>
        <v>4.4999999999999998E-2</v>
      </c>
      <c r="M31" s="13">
        <v>1.023968628002673</v>
      </c>
      <c r="N31">
        <f t="shared" si="3"/>
        <v>4.6080000000000003E-2</v>
      </c>
      <c r="O31" s="16">
        <f>VLOOKUP(B31, Charges_NonSlice!$B$4:$U$138, 20, FALSE)</f>
        <v>33325086.785278153</v>
      </c>
      <c r="P31" s="19">
        <f>IF(J31=1,VLOOKUP(B31,PNGC!$D$6:$K$22,8,FALSE),0)</f>
        <v>0</v>
      </c>
      <c r="Q31" s="17">
        <f t="shared" si="5"/>
        <v>33325086.785278153</v>
      </c>
      <c r="R31" s="22">
        <f>IF(J31=1, VLOOKUP(B31, PNGC!$D$6:$L$21, 9, FALSE), VLOOKUP('Discount Details'!B31, Charges_NonSlice!$B$4:$V$138, 21, FALSE))</f>
        <v>999021.89478996932</v>
      </c>
      <c r="S31" s="15">
        <f t="shared" si="4"/>
        <v>33.357714139272488</v>
      </c>
      <c r="T31" s="17">
        <f t="shared" si="1"/>
        <v>1499628.9053375169</v>
      </c>
      <c r="U31" s="17">
        <f t="shared" si="2"/>
        <v>1535619.9990656173</v>
      </c>
    </row>
    <row r="32" spans="1:21" x14ac:dyDescent="0.25">
      <c r="A32" s="3"/>
      <c r="B32" s="18">
        <v>10239</v>
      </c>
      <c r="C32" s="3" t="s">
        <v>26</v>
      </c>
      <c r="D32" s="2">
        <v>5.9728030849935081</v>
      </c>
      <c r="E32" s="2">
        <v>6.624113475177305</v>
      </c>
      <c r="F32" s="3">
        <v>4.4999999999999998E-2</v>
      </c>
      <c r="G32" s="3">
        <v>2.5000000000000001E-2</v>
      </c>
      <c r="H32" s="3">
        <v>7.0000000000000007E-2</v>
      </c>
      <c r="I32" s="3">
        <v>0</v>
      </c>
      <c r="J32" s="18">
        <v>1</v>
      </c>
      <c r="K32" s="18">
        <v>0</v>
      </c>
      <c r="L32" s="13">
        <f t="shared" si="0"/>
        <v>7.0000000000000007E-2</v>
      </c>
      <c r="M32" s="13">
        <v>1.0777857142857143</v>
      </c>
      <c r="N32">
        <f t="shared" si="3"/>
        <v>7.5450000000000003E-2</v>
      </c>
      <c r="O32" s="16">
        <f>VLOOKUP(B32, Charges_NonSlice!$B$4:$U$138, 20, FALSE)</f>
        <v>4069940.2779600015</v>
      </c>
      <c r="P32" s="19">
        <f>IF(J32=1,VLOOKUP(B32,PNGC!$D$6:$K$22,8,FALSE),0)</f>
        <v>437571.77097468852</v>
      </c>
      <c r="Q32" s="17">
        <f t="shared" si="5"/>
        <v>4507512.0489346897</v>
      </c>
      <c r="R32" s="22">
        <f>IF(J32=1, VLOOKUP(B32, PNGC!$D$6:$L$21, 9, FALSE), VLOOKUP('Discount Details'!B32, Charges_NonSlice!$B$4:$V$138, 21, FALSE))</f>
        <v>122993.62502829557</v>
      </c>
      <c r="S32" s="15">
        <f t="shared" si="4"/>
        <v>36.648338870390269</v>
      </c>
      <c r="T32" s="17">
        <f t="shared" si="1"/>
        <v>315525.84342542832</v>
      </c>
      <c r="U32" s="17">
        <f t="shared" si="2"/>
        <v>340091.78409212234</v>
      </c>
    </row>
    <row r="33" spans="1:21" x14ac:dyDescent="0.25">
      <c r="A33" s="3"/>
      <c r="B33" s="18">
        <v>10242</v>
      </c>
      <c r="C33" s="3" t="s">
        <v>27</v>
      </c>
      <c r="D33" s="2">
        <v>10.79441301197366</v>
      </c>
      <c r="E33" s="2">
        <v>2.5</v>
      </c>
      <c r="F33" s="3">
        <v>3.5000000000000003E-2</v>
      </c>
      <c r="G33" s="3">
        <v>0.04</v>
      </c>
      <c r="H33" s="3">
        <v>7.0000000000000007E-2</v>
      </c>
      <c r="I33" s="3">
        <v>5.0000000000000001E-3</v>
      </c>
      <c r="J33" s="18">
        <v>0</v>
      </c>
      <c r="K33" s="18">
        <v>0</v>
      </c>
      <c r="L33" s="13">
        <f t="shared" si="0"/>
        <v>7.0000000000000007E-2</v>
      </c>
      <c r="M33" s="13">
        <v>1.186542095318077</v>
      </c>
      <c r="N33">
        <f t="shared" si="3"/>
        <v>8.3059999999999995E-2</v>
      </c>
      <c r="O33" s="16">
        <f>VLOOKUP(B33, Charges_NonSlice!$B$4:$U$138, 20, FALSE)</f>
        <v>3041127.9282193775</v>
      </c>
      <c r="P33" s="19">
        <f>IF(J33=1,VLOOKUP(B33,PNGC!$D$6:$K$22,8,FALSE),0)</f>
        <v>0</v>
      </c>
      <c r="Q33" s="17">
        <f t="shared" si="5"/>
        <v>3041127.9282193775</v>
      </c>
      <c r="R33" s="22">
        <f>IF(J33=1, VLOOKUP(B33, PNGC!$D$6:$L$21, 9, FALSE), VLOOKUP('Discount Details'!B33, Charges_NonSlice!$B$4:$V$138, 21, FALSE))</f>
        <v>83676.384000000005</v>
      </c>
      <c r="S33" s="15">
        <f t="shared" si="4"/>
        <v>36.343921460795642</v>
      </c>
      <c r="T33" s="17">
        <f t="shared" si="1"/>
        <v>212878.95497535644</v>
      </c>
      <c r="U33" s="17">
        <f t="shared" si="2"/>
        <v>252596.08571790147</v>
      </c>
    </row>
    <row r="34" spans="1:21" x14ac:dyDescent="0.25">
      <c r="A34" s="3"/>
      <c r="B34" s="18">
        <v>10244</v>
      </c>
      <c r="C34" s="3" t="s">
        <v>28</v>
      </c>
      <c r="D34" s="2">
        <v>11.055876405878353</v>
      </c>
      <c r="E34" s="2">
        <v>8.2903225806451619</v>
      </c>
      <c r="F34" s="3">
        <v>3.5000000000000003E-2</v>
      </c>
      <c r="G34" s="3">
        <v>0.02</v>
      </c>
      <c r="H34" s="3">
        <v>5.5000000000000007E-2</v>
      </c>
      <c r="I34" s="3">
        <v>0</v>
      </c>
      <c r="J34" s="18">
        <v>0</v>
      </c>
      <c r="K34" s="18">
        <v>0</v>
      </c>
      <c r="L34" s="13">
        <f t="shared" si="0"/>
        <v>5.5000000000000007E-2</v>
      </c>
      <c r="M34" s="13">
        <v>1.1618587135916689</v>
      </c>
      <c r="N34">
        <f t="shared" si="3"/>
        <v>6.3899999999999998E-2</v>
      </c>
      <c r="O34" s="16">
        <f>VLOOKUP(B34, Charges_NonSlice!$B$4:$U$138, 20, FALSE)</f>
        <v>28303124.314295519</v>
      </c>
      <c r="P34" s="19">
        <f>IF(J34=1,VLOOKUP(B34,PNGC!$D$6:$K$22,8,FALSE),0)</f>
        <v>0</v>
      </c>
      <c r="Q34" s="17">
        <f t="shared" si="5"/>
        <v>28303124.314295519</v>
      </c>
      <c r="R34" s="22">
        <f>IF(J34=1, VLOOKUP(B34, PNGC!$D$6:$L$21, 9, FALSE), VLOOKUP('Discount Details'!B34, Charges_NonSlice!$B$4:$V$138, 21, FALSE))</f>
        <v>755757.79200000002</v>
      </c>
      <c r="S34" s="15">
        <f t="shared" si="4"/>
        <v>37.449993389278241</v>
      </c>
      <c r="T34" s="17">
        <f t="shared" si="1"/>
        <v>1556671.8372862537</v>
      </c>
      <c r="U34" s="17">
        <f t="shared" si="2"/>
        <v>1808569.6436834836</v>
      </c>
    </row>
    <row r="35" spans="1:21" x14ac:dyDescent="0.25">
      <c r="A35" s="3"/>
      <c r="B35" s="18">
        <v>10256</v>
      </c>
      <c r="C35" s="3" t="s">
        <v>29</v>
      </c>
      <c r="D35" s="2">
        <v>6.6438138483271914</v>
      </c>
      <c r="E35" s="2">
        <v>7.6278985507246375</v>
      </c>
      <c r="F35" s="3">
        <v>4.4999999999999998E-2</v>
      </c>
      <c r="G35" s="3">
        <v>0.02</v>
      </c>
      <c r="H35" s="3">
        <v>6.5000000000000002E-2</v>
      </c>
      <c r="I35" s="3">
        <v>0</v>
      </c>
      <c r="J35" s="18">
        <v>0</v>
      </c>
      <c r="K35" s="18">
        <v>0</v>
      </c>
      <c r="L35" s="13">
        <f t="shared" si="0"/>
        <v>6.5000000000000002E-2</v>
      </c>
      <c r="M35" s="13">
        <v>1.232105420784666</v>
      </c>
      <c r="N35">
        <f t="shared" si="3"/>
        <v>8.0089999999999995E-2</v>
      </c>
      <c r="O35" s="16">
        <f>VLOOKUP(B35, Charges_NonSlice!$B$4:$U$138, 20, FALSE)</f>
        <v>14947056.626294868</v>
      </c>
      <c r="P35" s="19">
        <f>IF(J35=1,VLOOKUP(B35,PNGC!$D$6:$K$22,8,FALSE),0)</f>
        <v>0</v>
      </c>
      <c r="Q35" s="17">
        <f t="shared" si="5"/>
        <v>14947056.626294868</v>
      </c>
      <c r="R35" s="22">
        <f>IF(J35=1, VLOOKUP(B35, PNGC!$D$6:$L$21, 9, FALSE), VLOOKUP('Discount Details'!B35, Charges_NonSlice!$B$4:$V$138, 21, FALSE))</f>
        <v>410616.864</v>
      </c>
      <c r="S35" s="15">
        <f t="shared" si="4"/>
        <v>36.401467978419092</v>
      </c>
      <c r="T35" s="17">
        <f t="shared" si="1"/>
        <v>971558.68070916645</v>
      </c>
      <c r="U35" s="17">
        <f t="shared" si="2"/>
        <v>1197109.7651999558</v>
      </c>
    </row>
    <row r="36" spans="1:21" x14ac:dyDescent="0.25">
      <c r="A36" s="3"/>
      <c r="B36" s="18">
        <v>10258</v>
      </c>
      <c r="C36" s="3" t="s">
        <v>30</v>
      </c>
      <c r="D36" s="2">
        <v>10.012788594555188</v>
      </c>
      <c r="E36" s="2">
        <v>10.017282765242438</v>
      </c>
      <c r="F36" s="3">
        <v>0.04</v>
      </c>
      <c r="G36" s="3">
        <v>0.01</v>
      </c>
      <c r="H36" s="3">
        <v>0.05</v>
      </c>
      <c r="I36" s="3">
        <v>0</v>
      </c>
      <c r="J36" s="18">
        <v>0</v>
      </c>
      <c r="K36" s="18">
        <v>0</v>
      </c>
      <c r="L36" s="13">
        <f t="shared" si="0"/>
        <v>0.05</v>
      </c>
      <c r="M36" s="13">
        <v>1.0858716273187183</v>
      </c>
      <c r="N36">
        <f t="shared" si="3"/>
        <v>5.4289999999999998E-2</v>
      </c>
      <c r="O36" s="16">
        <f>VLOOKUP(B36, Charges_NonSlice!$B$4:$U$138, 20, FALSE)</f>
        <v>12680974.388247315</v>
      </c>
      <c r="P36" s="19">
        <f>IF(J36=1,VLOOKUP(B36,PNGC!$D$6:$K$22,8,FALSE),0)</f>
        <v>0</v>
      </c>
      <c r="Q36" s="17">
        <f t="shared" si="5"/>
        <v>12680974.388247315</v>
      </c>
      <c r="R36" s="22">
        <f>IF(J36=1, VLOOKUP(B36, PNGC!$D$6:$L$21, 9, FALSE), VLOOKUP('Discount Details'!B36, Charges_NonSlice!$B$4:$V$138, 21, FALSE))</f>
        <v>333369.80452810961</v>
      </c>
      <c r="S36" s="15">
        <f t="shared" si="4"/>
        <v>38.038761207534797</v>
      </c>
      <c r="T36" s="17">
        <f t="shared" si="1"/>
        <v>634048.71941236581</v>
      </c>
      <c r="U36" s="17">
        <f t="shared" si="2"/>
        <v>688450.09953794675</v>
      </c>
    </row>
    <row r="37" spans="1:21" x14ac:dyDescent="0.25">
      <c r="A37" s="3"/>
      <c r="B37" s="18">
        <v>10259</v>
      </c>
      <c r="C37" s="3" t="s">
        <v>31</v>
      </c>
      <c r="D37" s="2">
        <v>4.7421049133703139</v>
      </c>
      <c r="E37" s="2">
        <v>7.9613861386138618</v>
      </c>
      <c r="F37" s="3">
        <v>4.4999999999999998E-2</v>
      </c>
      <c r="G37" s="3">
        <v>0.02</v>
      </c>
      <c r="H37" s="3">
        <v>6.5000000000000002E-2</v>
      </c>
      <c r="I37" s="3">
        <v>0</v>
      </c>
      <c r="J37" s="18">
        <v>0</v>
      </c>
      <c r="K37" s="18">
        <v>0</v>
      </c>
      <c r="L37" s="13">
        <f t="shared" si="0"/>
        <v>6.5000000000000002E-2</v>
      </c>
      <c r="M37" s="13">
        <v>1.2403186955716139</v>
      </c>
      <c r="N37">
        <f t="shared" si="3"/>
        <v>8.0619999999999997E-2</v>
      </c>
      <c r="O37" s="16">
        <f>VLOOKUP(B37, Charges_NonSlice!$B$4:$U$138, 20, FALSE)</f>
        <v>8783856.1272810269</v>
      </c>
      <c r="P37" s="19">
        <f>IF(J37=1,VLOOKUP(B37,PNGC!$D$6:$K$22,8,FALSE),0)</f>
        <v>0</v>
      </c>
      <c r="Q37" s="17">
        <f t="shared" si="5"/>
        <v>8783856.1272810269</v>
      </c>
      <c r="R37" s="22">
        <f>IF(J37=1, VLOOKUP(B37, PNGC!$D$6:$L$21, 9, FALSE), VLOOKUP('Discount Details'!B37, Charges_NonSlice!$B$4:$V$138, 21, FALSE))</f>
        <v>237036.24</v>
      </c>
      <c r="S37" s="15">
        <f t="shared" si="4"/>
        <v>37.057017641188651</v>
      </c>
      <c r="T37" s="17">
        <f t="shared" si="1"/>
        <v>570950.64827326674</v>
      </c>
      <c r="U37" s="17">
        <f t="shared" si="2"/>
        <v>708154.48098139639</v>
      </c>
    </row>
    <row r="38" spans="1:21" x14ac:dyDescent="0.25">
      <c r="A38" s="3"/>
      <c r="B38" s="18">
        <v>10273</v>
      </c>
      <c r="C38" s="3" t="s">
        <v>32</v>
      </c>
      <c r="D38" s="2">
        <v>11.554644154413026</v>
      </c>
      <c r="E38" s="2">
        <v>3.6318289786223277</v>
      </c>
      <c r="F38" s="3">
        <v>3.5000000000000003E-2</v>
      </c>
      <c r="G38" s="3">
        <v>3.5000000000000003E-2</v>
      </c>
      <c r="H38" s="3">
        <v>7.0000000000000007E-2</v>
      </c>
      <c r="I38" s="3">
        <v>0</v>
      </c>
      <c r="J38" s="18">
        <v>0</v>
      </c>
      <c r="K38" s="18">
        <v>0</v>
      </c>
      <c r="L38" s="13">
        <f t="shared" ref="L38:L58" si="6">MIN(H38+I38, 0.07)</f>
        <v>7.0000000000000007E-2</v>
      </c>
      <c r="M38" s="13">
        <v>1.3747661962251319</v>
      </c>
      <c r="N38">
        <f t="shared" ref="N38:N58" si="7">ROUND(L38*M38,5)</f>
        <v>9.6229999999999996E-2</v>
      </c>
      <c r="O38" s="16">
        <f>VLOOKUP(B38, Charges_NonSlice!$B$4:$U$138, 20, FALSE)</f>
        <v>2032150.1223580665</v>
      </c>
      <c r="P38" s="19">
        <f>IF(J38=1,VLOOKUP(B38,PNGC!$D$6:$K$22,8,FALSE),0)</f>
        <v>0</v>
      </c>
      <c r="Q38" s="17">
        <f t="shared" si="5"/>
        <v>2032150.1223580665</v>
      </c>
      <c r="R38" s="22">
        <f>IF(J38=1, VLOOKUP(B38, PNGC!$D$6:$L$21, 9, FALSE), VLOOKUP('Discount Details'!B38, Charges_NonSlice!$B$4:$V$138, 21, FALSE))</f>
        <v>51658.704000000005</v>
      </c>
      <c r="S38" s="15">
        <f t="shared" si="4"/>
        <v>39.338000472448286</v>
      </c>
      <c r="T38" s="17">
        <f t="shared" ref="T38:T58" si="8">L38*Q38</f>
        <v>142250.50856506467</v>
      </c>
      <c r="U38" s="17">
        <f t="shared" ref="U38:U58" si="9">Q38*N38</f>
        <v>195553.80627451674</v>
      </c>
    </row>
    <row r="39" spans="1:21" x14ac:dyDescent="0.25">
      <c r="A39" s="3"/>
      <c r="B39" s="18">
        <v>10278</v>
      </c>
      <c r="C39" s="3" t="s">
        <v>33</v>
      </c>
      <c r="D39" s="2">
        <v>5.0461081736048756</v>
      </c>
      <c r="E39" s="2">
        <v>7.8339124391938846</v>
      </c>
      <c r="F39" s="3">
        <v>4.4999999999999998E-2</v>
      </c>
      <c r="G39" s="3">
        <v>0.02</v>
      </c>
      <c r="H39" s="3">
        <v>6.5000000000000002E-2</v>
      </c>
      <c r="I39" s="3">
        <v>0</v>
      </c>
      <c r="J39" s="18">
        <v>1</v>
      </c>
      <c r="K39" s="18">
        <v>0</v>
      </c>
      <c r="L39" s="13">
        <f t="shared" si="6"/>
        <v>6.5000000000000002E-2</v>
      </c>
      <c r="M39" s="13">
        <v>1.1003674014696059</v>
      </c>
      <c r="N39">
        <f t="shared" si="7"/>
        <v>7.152E-2</v>
      </c>
      <c r="O39" s="16">
        <f>VLOOKUP(B39, Charges_NonSlice!$B$4:$U$138, 20, FALSE)</f>
        <v>10444352.567399999</v>
      </c>
      <c r="P39" s="19">
        <f>IF(J39=1,VLOOKUP(B39,PNGC!$D$6:$K$22,8,FALSE),0)</f>
        <v>1122904.4009196069</v>
      </c>
      <c r="Q39" s="17">
        <f t="shared" si="5"/>
        <v>11567256.968319606</v>
      </c>
      <c r="R39" s="22">
        <f>IF(J39=1, VLOOKUP(B39, PNGC!$D$6:$L$21, 9, FALSE), VLOOKUP('Discount Details'!B39, Charges_NonSlice!$B$4:$V$138, 21, FALSE))</f>
        <v>315628.41113285173</v>
      </c>
      <c r="S39" s="15">
        <f t="shared" si="4"/>
        <v>36.648338870390255</v>
      </c>
      <c r="T39" s="17">
        <f t="shared" si="8"/>
        <v>751871.70294077438</v>
      </c>
      <c r="U39" s="17">
        <f t="shared" si="9"/>
        <v>827290.21837421821</v>
      </c>
    </row>
    <row r="40" spans="1:21" x14ac:dyDescent="0.25">
      <c r="A40" s="3"/>
      <c r="B40" s="18">
        <v>10284</v>
      </c>
      <c r="C40" s="3" t="s">
        <v>34</v>
      </c>
      <c r="D40" s="2">
        <v>8.7650848429018282</v>
      </c>
      <c r="E40" s="2">
        <v>10.168122270742359</v>
      </c>
      <c r="F40" s="3">
        <v>0.04</v>
      </c>
      <c r="G40" s="3">
        <v>0.01</v>
      </c>
      <c r="H40" s="3">
        <v>0.05</v>
      </c>
      <c r="I40" s="3">
        <v>0</v>
      </c>
      <c r="J40" s="18">
        <v>0</v>
      </c>
      <c r="K40" s="18">
        <v>0</v>
      </c>
      <c r="L40" s="13">
        <f t="shared" si="6"/>
        <v>0.05</v>
      </c>
      <c r="M40" s="13">
        <v>1.0680252018113803</v>
      </c>
      <c r="N40">
        <f t="shared" si="7"/>
        <v>5.3400000000000003E-2</v>
      </c>
      <c r="O40" s="16">
        <f>VLOOKUP(B40, Charges_NonSlice!$B$4:$U$138, 20, FALSE)</f>
        <v>3304529.9591781343</v>
      </c>
      <c r="P40" s="19">
        <f>IF(J40=1,VLOOKUP(B40,PNGC!$D$6:$K$22,8,FALSE),0)</f>
        <v>0</v>
      </c>
      <c r="Q40" s="17">
        <f t="shared" si="5"/>
        <v>3304529.9591781343</v>
      </c>
      <c r="R40" s="22">
        <f>IF(J40=1, VLOOKUP(B40, PNGC!$D$6:$L$21, 9, FALSE), VLOOKUP('Discount Details'!B40, Charges_NonSlice!$B$4:$V$138, 21, FALSE))</f>
        <v>89227.871999999988</v>
      </c>
      <c r="S40" s="15">
        <f t="shared" si="4"/>
        <v>37.034727883885147</v>
      </c>
      <c r="T40" s="17">
        <f t="shared" si="8"/>
        <v>165226.49795890672</v>
      </c>
      <c r="U40" s="17">
        <f t="shared" si="9"/>
        <v>176461.89982011239</v>
      </c>
    </row>
    <row r="41" spans="1:21" x14ac:dyDescent="0.25">
      <c r="A41" s="3"/>
      <c r="B41" s="18">
        <v>10285</v>
      </c>
      <c r="C41" s="3" t="s">
        <v>35</v>
      </c>
      <c r="D41" s="2">
        <v>6.8162112194036455</v>
      </c>
      <c r="E41" s="2">
        <v>8.0066079295154182</v>
      </c>
      <c r="F41" s="3">
        <v>4.4999999999999998E-2</v>
      </c>
      <c r="G41" s="3">
        <v>0.02</v>
      </c>
      <c r="H41" s="3">
        <v>6.5000000000000002E-2</v>
      </c>
      <c r="I41" s="3">
        <v>0</v>
      </c>
      <c r="J41" s="18">
        <v>1</v>
      </c>
      <c r="K41" s="18">
        <v>0</v>
      </c>
      <c r="L41" s="13">
        <f t="shared" si="6"/>
        <v>6.5000000000000002E-2</v>
      </c>
      <c r="M41" s="13">
        <v>1.192066166334814</v>
      </c>
      <c r="N41">
        <f t="shared" si="7"/>
        <v>7.7479999999999993E-2</v>
      </c>
      <c r="O41" s="16">
        <f>VLOOKUP(B41, Charges_NonSlice!$B$4:$U$138, 20, FALSE)</f>
        <v>1897909.1866800003</v>
      </c>
      <c r="P41" s="19">
        <f>IF(J41=1,VLOOKUP(B41,PNGC!$D$6:$K$22,8,FALSE),0)</f>
        <v>204050.04183033376</v>
      </c>
      <c r="Q41" s="17">
        <f t="shared" si="5"/>
        <v>2101959.2285103342</v>
      </c>
      <c r="R41" s="22">
        <f>IF(J41=1, VLOOKUP(B41, PNGC!$D$6:$L$21, 9, FALSE), VLOOKUP('Discount Details'!B41, Charges_NonSlice!$B$4:$V$138, 21, FALSE))</f>
        <v>57354.82953113041</v>
      </c>
      <c r="S41" s="15">
        <f t="shared" si="4"/>
        <v>36.648338870390269</v>
      </c>
      <c r="T41" s="17">
        <f t="shared" si="8"/>
        <v>136627.34985317173</v>
      </c>
      <c r="U41" s="17">
        <f t="shared" si="9"/>
        <v>162859.80102498067</v>
      </c>
    </row>
    <row r="42" spans="1:21" x14ac:dyDescent="0.25">
      <c r="A42" s="3"/>
      <c r="B42" s="18">
        <v>10288</v>
      </c>
      <c r="C42" s="3" t="s">
        <v>36</v>
      </c>
      <c r="D42" s="2">
        <v>2.3904525282375002</v>
      </c>
      <c r="E42" s="2">
        <v>10.620740740740741</v>
      </c>
      <c r="F42" s="3">
        <v>0.05</v>
      </c>
      <c r="G42" s="3">
        <v>0.01</v>
      </c>
      <c r="H42" s="3">
        <v>6.0000000000000005E-2</v>
      </c>
      <c r="I42" s="3">
        <v>0</v>
      </c>
      <c r="J42" s="18">
        <v>1</v>
      </c>
      <c r="K42" s="18">
        <v>0</v>
      </c>
      <c r="L42" s="13">
        <f t="shared" si="6"/>
        <v>6.0000000000000005E-2</v>
      </c>
      <c r="M42" s="13">
        <v>1</v>
      </c>
      <c r="N42">
        <f t="shared" si="7"/>
        <v>0.06</v>
      </c>
      <c r="O42" s="16">
        <f>VLOOKUP(B42, Charges_NonSlice!$B$4:$U$138, 20, FALSE)</f>
        <v>7154872.252638259</v>
      </c>
      <c r="P42" s="19">
        <f>IF(J42=1,VLOOKUP(B42,PNGC!$D$6:$K$22,8,FALSE),0)</f>
        <v>769244.15315135568</v>
      </c>
      <c r="Q42" s="17">
        <f t="shared" si="5"/>
        <v>7924116.4057896147</v>
      </c>
      <c r="R42" s="22">
        <f>IF(J42=1, VLOOKUP(B42, PNGC!$D$6:$L$21, 9, FALSE), VLOOKUP('Discount Details'!B42, Charges_NonSlice!$B$4:$V$138, 21, FALSE))</f>
        <v>216220.81954043487</v>
      </c>
      <c r="S42" s="15">
        <f t="shared" si="4"/>
        <v>36.648258121636374</v>
      </c>
      <c r="T42" s="17">
        <f t="shared" si="8"/>
        <v>475446.98434737691</v>
      </c>
      <c r="U42" s="17">
        <f t="shared" si="9"/>
        <v>475446.98434737686</v>
      </c>
    </row>
    <row r="43" spans="1:21" x14ac:dyDescent="0.25">
      <c r="A43" s="3"/>
      <c r="B43" s="18">
        <v>10291</v>
      </c>
      <c r="C43" s="3" t="s">
        <v>37</v>
      </c>
      <c r="D43" s="2">
        <v>6.840863816777528</v>
      </c>
      <c r="E43" s="2">
        <v>11.235882773409578</v>
      </c>
      <c r="F43" s="3">
        <v>4.4999999999999998E-2</v>
      </c>
      <c r="G43" s="3">
        <v>5.0000000000000001E-3</v>
      </c>
      <c r="H43" s="3">
        <v>4.9999999999999996E-2</v>
      </c>
      <c r="I43" s="3">
        <v>0</v>
      </c>
      <c r="J43" s="18">
        <v>0</v>
      </c>
      <c r="K43" s="18">
        <v>0</v>
      </c>
      <c r="L43" s="13">
        <f t="shared" si="6"/>
        <v>4.9999999999999996E-2</v>
      </c>
      <c r="M43" s="13">
        <v>1</v>
      </c>
      <c r="N43">
        <f t="shared" si="7"/>
        <v>0.05</v>
      </c>
      <c r="O43" s="16">
        <f>VLOOKUP(B43, Charges_NonSlice!$B$4:$U$138, 20, FALSE)</f>
        <v>24940495.388846055</v>
      </c>
      <c r="P43" s="19">
        <f>IF(J43=1,VLOOKUP(B43,PNGC!$D$6:$K$22,8,FALSE),0)</f>
        <v>0</v>
      </c>
      <c r="Q43" s="17">
        <f t="shared" si="5"/>
        <v>24940495.388846055</v>
      </c>
      <c r="R43" s="22">
        <f>IF(J43=1, VLOOKUP(B43, PNGC!$D$6:$L$21, 9, FALSE), VLOOKUP('Discount Details'!B43, Charges_NonSlice!$B$4:$V$138, 21, FALSE))</f>
        <v>686765.45214799501</v>
      </c>
      <c r="S43" s="15">
        <f t="shared" si="4"/>
        <v>36.315885300927285</v>
      </c>
      <c r="T43" s="17">
        <f t="shared" si="8"/>
        <v>1247024.7694423026</v>
      </c>
      <c r="U43" s="17">
        <f t="shared" si="9"/>
        <v>1247024.7694423029</v>
      </c>
    </row>
    <row r="44" spans="1:21" x14ac:dyDescent="0.25">
      <c r="A44" s="3"/>
      <c r="B44" s="18">
        <v>10331</v>
      </c>
      <c r="C44" s="3" t="s">
        <v>38</v>
      </c>
      <c r="D44" s="2">
        <v>7.0858544576333129</v>
      </c>
      <c r="E44" s="2">
        <v>2.5455868089233755</v>
      </c>
      <c r="F44" s="3">
        <v>0.04</v>
      </c>
      <c r="G44" s="3">
        <v>0.04</v>
      </c>
      <c r="H44" s="3">
        <v>7.0000000000000007E-2</v>
      </c>
      <c r="I44" s="3">
        <v>5.0000000000000001E-3</v>
      </c>
      <c r="J44" s="18">
        <v>1</v>
      </c>
      <c r="K44" s="18">
        <v>0</v>
      </c>
      <c r="L44" s="13">
        <f t="shared" si="6"/>
        <v>7.0000000000000007E-2</v>
      </c>
      <c r="M44" s="13">
        <v>1</v>
      </c>
      <c r="N44">
        <f t="shared" si="7"/>
        <v>7.0000000000000007E-2</v>
      </c>
      <c r="O44" s="16">
        <f>VLOOKUP(B44, Charges_NonSlice!$B$4:$U$138, 20, FALSE)</f>
        <v>10279268.650587739</v>
      </c>
      <c r="P44" s="19">
        <f>IF(J44=1,VLOOKUP(B44,PNGC!$D$6:$K$22,8,FALSE),0)</f>
        <v>1105155.1600203766</v>
      </c>
      <c r="Q44" s="17">
        <f t="shared" si="5"/>
        <v>11384423.810608115</v>
      </c>
      <c r="R44" s="22">
        <f>IF(J44=1, VLOOKUP(B44, PNGC!$D$6:$L$21, 9, FALSE), VLOOKUP('Discount Details'!B44, Charges_NonSlice!$B$4:$V$138, 21, FALSE))</f>
        <v>310639.41589937464</v>
      </c>
      <c r="S44" s="15">
        <f t="shared" si="4"/>
        <v>36.648355707364161</v>
      </c>
      <c r="T44" s="17">
        <f t="shared" si="8"/>
        <v>796909.66674256814</v>
      </c>
      <c r="U44" s="17">
        <f t="shared" si="9"/>
        <v>796909.66674256814</v>
      </c>
    </row>
    <row r="45" spans="1:21" x14ac:dyDescent="0.25">
      <c r="A45" s="3"/>
      <c r="B45" s="18">
        <v>10333</v>
      </c>
      <c r="C45" s="3" t="s">
        <v>39</v>
      </c>
      <c r="D45" s="2">
        <v>5.3709514110013439</v>
      </c>
      <c r="E45" s="2">
        <v>8.7959489872468115</v>
      </c>
      <c r="F45" s="3">
        <v>4.4999999999999998E-2</v>
      </c>
      <c r="G45" s="3">
        <v>1.4999999999999999E-2</v>
      </c>
      <c r="H45" s="3">
        <v>0.06</v>
      </c>
      <c r="I45" s="3">
        <v>0</v>
      </c>
      <c r="J45" s="18">
        <v>1</v>
      </c>
      <c r="K45" s="18">
        <v>0</v>
      </c>
      <c r="L45" s="13">
        <f t="shared" si="6"/>
        <v>0.06</v>
      </c>
      <c r="M45" s="13">
        <v>1.1774237105049961</v>
      </c>
      <c r="N45">
        <f t="shared" si="7"/>
        <v>7.0650000000000004E-2</v>
      </c>
      <c r="O45" s="16">
        <f>VLOOKUP(B45, Charges_NonSlice!$B$4:$U$138, 20, FALSE)</f>
        <v>5382440.0638800012</v>
      </c>
      <c r="P45" s="19">
        <f>IF(J45=1,VLOOKUP(B45,PNGC!$D$6:$K$22,8,FALSE),0)</f>
        <v>578682.65135762631</v>
      </c>
      <c r="Q45" s="17">
        <f t="shared" si="5"/>
        <v>5961122.7152376277</v>
      </c>
      <c r="R45" s="22">
        <f>IF(J45=1, VLOOKUP(B45, PNGC!$D$6:$L$21, 9, FALSE), VLOOKUP('Discount Details'!B45, Charges_NonSlice!$B$4:$V$138, 21, FALSE))</f>
        <v>162657.37817802894</v>
      </c>
      <c r="S45" s="15">
        <f t="shared" si="4"/>
        <v>36.648338870390269</v>
      </c>
      <c r="T45" s="17">
        <f t="shared" si="8"/>
        <v>357667.36291425762</v>
      </c>
      <c r="U45" s="17">
        <f t="shared" si="9"/>
        <v>421153.31983153842</v>
      </c>
    </row>
    <row r="46" spans="1:21" x14ac:dyDescent="0.25">
      <c r="A46" s="3"/>
      <c r="B46" s="18">
        <v>10338</v>
      </c>
      <c r="C46" s="3" t="s">
        <v>40</v>
      </c>
      <c r="D46" s="2">
        <v>33.398768978475509</v>
      </c>
      <c r="E46" s="2">
        <v>6.8651685393258424</v>
      </c>
      <c r="F46" s="3">
        <v>5.0000000000000001E-3</v>
      </c>
      <c r="G46" s="3">
        <v>2.5000000000000001E-2</v>
      </c>
      <c r="H46" s="3">
        <v>3.0000000000000002E-2</v>
      </c>
      <c r="I46" s="3">
        <v>0</v>
      </c>
      <c r="J46" s="18">
        <v>0</v>
      </c>
      <c r="K46" s="18">
        <v>0</v>
      </c>
      <c r="L46" s="13">
        <f t="shared" si="6"/>
        <v>3.0000000000000002E-2</v>
      </c>
      <c r="M46" s="13">
        <v>1.160977665402444</v>
      </c>
      <c r="N46">
        <f t="shared" si="7"/>
        <v>3.483E-2</v>
      </c>
      <c r="O46" s="16">
        <f>VLOOKUP(B46, Charges_NonSlice!$B$4:$U$138, 20, FALSE)</f>
        <v>732848.46986596007</v>
      </c>
      <c r="P46" s="19">
        <f>IF(J46=1,VLOOKUP(B46,PNGC!$D$6:$K$22,8,FALSE),0)</f>
        <v>0</v>
      </c>
      <c r="Q46" s="17">
        <f t="shared" si="5"/>
        <v>732848.46986596007</v>
      </c>
      <c r="R46" s="22">
        <f>IF(J46=1, VLOOKUP(B46, PNGC!$D$6:$L$21, 9, FALSE), VLOOKUP('Discount Details'!B46, Charges_NonSlice!$B$4:$V$138, 21, FALSE))</f>
        <v>20844.432000000001</v>
      </c>
      <c r="S46" s="15">
        <f t="shared" si="4"/>
        <v>35.157996623077089</v>
      </c>
      <c r="T46" s="17">
        <f t="shared" si="8"/>
        <v>21985.454095978803</v>
      </c>
      <c r="U46" s="17">
        <f t="shared" si="9"/>
        <v>25525.112205431389</v>
      </c>
    </row>
    <row r="47" spans="1:21" x14ac:dyDescent="0.25">
      <c r="A47" s="3"/>
      <c r="B47" s="18">
        <v>10343</v>
      </c>
      <c r="C47" s="3" t="s">
        <v>41</v>
      </c>
      <c r="D47" s="2">
        <v>8.3169331740750927</v>
      </c>
      <c r="E47" s="2">
        <v>4.1208791208791204</v>
      </c>
      <c r="F47" s="3">
        <v>0.04</v>
      </c>
      <c r="G47" s="3">
        <v>3.5000000000000003E-2</v>
      </c>
      <c r="H47" s="3">
        <v>7.0000000000000007E-2</v>
      </c>
      <c r="I47" s="3">
        <v>0</v>
      </c>
      <c r="J47" s="18">
        <v>0</v>
      </c>
      <c r="K47" s="18">
        <v>0</v>
      </c>
      <c r="L47" s="13">
        <f t="shared" si="6"/>
        <v>7.0000000000000007E-2</v>
      </c>
      <c r="M47" s="13">
        <v>1</v>
      </c>
      <c r="N47">
        <f t="shared" si="7"/>
        <v>7.0000000000000007E-2</v>
      </c>
      <c r="O47" s="16">
        <f>VLOOKUP(B47, Charges_NonSlice!$B$4:$U$138, 20, FALSE)</f>
        <v>3493186.6296133003</v>
      </c>
      <c r="P47" s="19">
        <f>IF(J47=1,VLOOKUP(B47,PNGC!$D$6:$K$22,8,FALSE),0)</f>
        <v>0</v>
      </c>
      <c r="Q47" s="17">
        <f t="shared" si="5"/>
        <v>3493186.6296133003</v>
      </c>
      <c r="R47" s="22">
        <f>IF(J47=1, VLOOKUP(B47, PNGC!$D$6:$L$21, 9, FALSE), VLOOKUP('Discount Details'!B47, Charges_NonSlice!$B$4:$V$138, 21, FALSE))</f>
        <v>105047.21748151763</v>
      </c>
      <c r="S47" s="15">
        <f t="shared" si="4"/>
        <v>33.253490319511833</v>
      </c>
      <c r="T47" s="17">
        <f t="shared" si="8"/>
        <v>244523.06407293104</v>
      </c>
      <c r="U47" s="17">
        <f t="shared" si="9"/>
        <v>244523.06407293104</v>
      </c>
    </row>
    <row r="48" spans="1:21" x14ac:dyDescent="0.25">
      <c r="A48" s="3"/>
      <c r="B48" s="18">
        <v>10352</v>
      </c>
      <c r="C48" s="3" t="s">
        <v>42</v>
      </c>
      <c r="D48" s="2">
        <v>4.1815387600976806</v>
      </c>
      <c r="E48" s="2">
        <v>11.924865831842576</v>
      </c>
      <c r="F48" s="3">
        <v>4.4999999999999998E-2</v>
      </c>
      <c r="G48" s="3">
        <v>5.0000000000000001E-3</v>
      </c>
      <c r="H48" s="3">
        <v>4.9999999999999996E-2</v>
      </c>
      <c r="I48" s="3">
        <v>0</v>
      </c>
      <c r="J48" s="18">
        <v>0</v>
      </c>
      <c r="K48" s="18">
        <v>0</v>
      </c>
      <c r="L48" s="13">
        <f t="shared" si="6"/>
        <v>4.9999999999999996E-2</v>
      </c>
      <c r="M48" s="13">
        <v>1</v>
      </c>
      <c r="N48">
        <f t="shared" si="7"/>
        <v>0.05</v>
      </c>
      <c r="O48" s="16">
        <f>VLOOKUP(B48, Charges_NonSlice!$B$4:$U$138, 20, FALSE)</f>
        <v>5070256.355526112</v>
      </c>
      <c r="P48" s="19">
        <f>IF(J48=1,VLOOKUP(B48,PNGC!$D$6:$K$22,8,FALSE),0)</f>
        <v>0</v>
      </c>
      <c r="Q48" s="17">
        <f t="shared" si="5"/>
        <v>5070256.355526112</v>
      </c>
      <c r="R48" s="22">
        <f>IF(J48=1, VLOOKUP(B48, PNGC!$D$6:$L$21, 9, FALSE), VLOOKUP('Discount Details'!B48, Charges_NonSlice!$B$4:$V$138, 21, FALSE))</f>
        <v>139535.39663958718</v>
      </c>
      <c r="S48" s="15">
        <f t="shared" si="4"/>
        <v>36.336703643895646</v>
      </c>
      <c r="T48" s="17">
        <f t="shared" si="8"/>
        <v>253512.81777630557</v>
      </c>
      <c r="U48" s="17">
        <f t="shared" si="9"/>
        <v>253512.8177763056</v>
      </c>
    </row>
    <row r="49" spans="1:21" x14ac:dyDescent="0.25">
      <c r="A49" s="3"/>
      <c r="B49" s="18">
        <v>10360</v>
      </c>
      <c r="C49" s="3" t="s">
        <v>43</v>
      </c>
      <c r="D49" s="2">
        <v>16.077496423494331</v>
      </c>
      <c r="E49" s="2">
        <v>5.8219178082191778</v>
      </c>
      <c r="F49" s="3">
        <v>0.03</v>
      </c>
      <c r="G49" s="3">
        <v>0.03</v>
      </c>
      <c r="H49" s="3">
        <v>0.06</v>
      </c>
      <c r="I49" s="3">
        <v>0</v>
      </c>
      <c r="J49" s="18">
        <v>0</v>
      </c>
      <c r="K49" s="18">
        <v>0</v>
      </c>
      <c r="L49" s="13">
        <f t="shared" si="6"/>
        <v>0.06</v>
      </c>
      <c r="M49" s="13">
        <v>1.1327420546932743</v>
      </c>
      <c r="N49">
        <f t="shared" si="7"/>
        <v>6.7960000000000007E-2</v>
      </c>
      <c r="O49" s="16">
        <f>VLOOKUP(B49, Charges_NonSlice!$B$4:$U$138, 20, FALSE)</f>
        <v>2071768.120708131</v>
      </c>
      <c r="P49" s="19">
        <f>IF(J49=1,VLOOKUP(B49,PNGC!$D$6:$K$22,8,FALSE),0)</f>
        <v>0</v>
      </c>
      <c r="Q49" s="17">
        <f t="shared" si="5"/>
        <v>2071768.120708131</v>
      </c>
      <c r="R49" s="22">
        <f>IF(J49=1, VLOOKUP(B49, PNGC!$D$6:$L$21, 9, FALSE), VLOOKUP('Discount Details'!B49, Charges_NonSlice!$B$4:$V$138, 21, FALSE))</f>
        <v>59423.759999999995</v>
      </c>
      <c r="S49" s="15">
        <f t="shared" si="4"/>
        <v>34.864305468185307</v>
      </c>
      <c r="T49" s="17">
        <f t="shared" si="8"/>
        <v>124306.08724248786</v>
      </c>
      <c r="U49" s="17">
        <f t="shared" si="9"/>
        <v>140797.36148332461</v>
      </c>
    </row>
    <row r="50" spans="1:21" x14ac:dyDescent="0.25">
      <c r="A50" s="3"/>
      <c r="B50" s="18">
        <v>10369</v>
      </c>
      <c r="C50" s="3" t="s">
        <v>44</v>
      </c>
      <c r="D50" s="2">
        <v>4.7751031803324357</v>
      </c>
      <c r="E50" s="2">
        <v>2.9154746423927178</v>
      </c>
      <c r="F50" s="3">
        <v>4.4999999999999998E-2</v>
      </c>
      <c r="G50" s="3">
        <v>0.04</v>
      </c>
      <c r="H50" s="3">
        <v>7.0000000000000007E-2</v>
      </c>
      <c r="I50" s="3">
        <v>5.0000000000000001E-3</v>
      </c>
      <c r="J50" s="18">
        <v>0</v>
      </c>
      <c r="K50" s="18">
        <v>0</v>
      </c>
      <c r="L50" s="13">
        <f t="shared" si="6"/>
        <v>7.0000000000000007E-2</v>
      </c>
      <c r="M50" s="13">
        <v>1.1183666017526777</v>
      </c>
      <c r="N50">
        <f t="shared" si="7"/>
        <v>7.8289999999999998E-2</v>
      </c>
      <c r="O50" s="16">
        <f>VLOOKUP(B50, Charges_NonSlice!$B$4:$U$138, 20, FALSE)</f>
        <v>5295051.1391657693</v>
      </c>
      <c r="P50" s="19">
        <f>IF(J50=1,VLOOKUP(B50,PNGC!$D$6:$K$22,8,FALSE),0)</f>
        <v>0</v>
      </c>
      <c r="Q50" s="17">
        <f t="shared" si="5"/>
        <v>5295051.1391657693</v>
      </c>
      <c r="R50" s="22">
        <f>IF(J50=1, VLOOKUP(B50, PNGC!$D$6:$L$21, 9, FALSE), VLOOKUP('Discount Details'!B50, Charges_NonSlice!$B$4:$V$138, 21, FALSE))</f>
        <v>144338.41766162813</v>
      </c>
      <c r="S50" s="15">
        <f t="shared" si="4"/>
        <v>36.684974277457663</v>
      </c>
      <c r="T50" s="17">
        <f t="shared" si="8"/>
        <v>370653.57974160387</v>
      </c>
      <c r="U50" s="17">
        <f t="shared" si="9"/>
        <v>414549.55368528806</v>
      </c>
    </row>
    <row r="51" spans="1:21" x14ac:dyDescent="0.25">
      <c r="A51" s="3"/>
      <c r="B51" s="18">
        <v>10388</v>
      </c>
      <c r="C51" s="3" t="s">
        <v>45</v>
      </c>
      <c r="D51" s="2">
        <v>28.393428353844911</v>
      </c>
      <c r="E51" s="2">
        <v>7.3340847610459869</v>
      </c>
      <c r="F51" s="3">
        <v>0.01</v>
      </c>
      <c r="G51" s="3">
        <v>0.02</v>
      </c>
      <c r="H51" s="3">
        <v>0.03</v>
      </c>
      <c r="I51" s="3">
        <v>0</v>
      </c>
      <c r="J51" s="18">
        <v>0</v>
      </c>
      <c r="K51" s="18">
        <v>0</v>
      </c>
      <c r="L51" s="13">
        <f t="shared" si="6"/>
        <v>0.03</v>
      </c>
      <c r="M51" s="13">
        <v>1.9591867376769736</v>
      </c>
      <c r="N51">
        <f t="shared" si="7"/>
        <v>5.8779999999999999E-2</v>
      </c>
      <c r="O51" s="16">
        <f>VLOOKUP(B51, Charges_NonSlice!$B$4:$U$138, 20, FALSE)</f>
        <v>34370461.64371901</v>
      </c>
      <c r="P51" s="19">
        <f>IF(J51=1,VLOOKUP(B51,PNGC!$D$6:$K$22,8,FALSE),0)</f>
        <v>0</v>
      </c>
      <c r="Q51" s="17">
        <f>O51+P51</f>
        <v>34370461.64371901</v>
      </c>
      <c r="R51" s="22">
        <f>IF(J51=1, VLOOKUP(B51, PNGC!$D$6:$L$21, 9, FALSE), VLOOKUP('Discount Details'!B51, Charges_NonSlice!$B$4:$V$138, 21, FALSE))</f>
        <v>994550.83199999994</v>
      </c>
      <c r="S51" s="15">
        <f t="shared" si="4"/>
        <v>34.558778232180906</v>
      </c>
      <c r="T51" s="17">
        <f t="shared" si="8"/>
        <v>1031113.8493115703</v>
      </c>
      <c r="U51" s="17">
        <f t="shared" si="9"/>
        <v>2020295.7354178033</v>
      </c>
    </row>
    <row r="52" spans="1:21" x14ac:dyDescent="0.25">
      <c r="A52" s="3"/>
      <c r="B52" s="18">
        <v>10391</v>
      </c>
      <c r="C52" s="3" t="s">
        <v>46</v>
      </c>
      <c r="D52" s="2">
        <v>18.21990926202955</v>
      </c>
      <c r="E52" s="2">
        <v>11.878088962108732</v>
      </c>
      <c r="F52" s="3">
        <v>2.5000000000000001E-2</v>
      </c>
      <c r="G52" s="3">
        <v>5.0000000000000001E-3</v>
      </c>
      <c r="H52" s="3">
        <v>3.0000000000000002E-2</v>
      </c>
      <c r="I52" s="3">
        <v>0</v>
      </c>
      <c r="J52" s="18">
        <v>0</v>
      </c>
      <c r="K52" s="18">
        <v>0</v>
      </c>
      <c r="L52" s="13">
        <f t="shared" si="6"/>
        <v>3.0000000000000002E-2</v>
      </c>
      <c r="M52" s="13">
        <v>1.2694399039263435</v>
      </c>
      <c r="N52">
        <f t="shared" si="7"/>
        <v>3.8080000000000003E-2</v>
      </c>
      <c r="O52" s="16">
        <f>VLOOKUP(B52, Charges_NonSlice!$B$4:$U$138, 20, FALSE)</f>
        <v>9261089.4776044171</v>
      </c>
      <c r="P52" s="19">
        <f>IF(J52=1,VLOOKUP(B52,PNGC!$D$6:$K$22,8,FALSE),0)</f>
        <v>0</v>
      </c>
      <c r="Q52" s="17">
        <f t="shared" si="5"/>
        <v>9261089.4776044171</v>
      </c>
      <c r="R52" s="22">
        <f>IF(J52=1, VLOOKUP(B52, PNGC!$D$6:$L$21, 9, FALSE), VLOOKUP('Discount Details'!B52, Charges_NonSlice!$B$4:$V$138, 21, FALSE))</f>
        <v>263317.96799999999</v>
      </c>
      <c r="S52" s="15">
        <f t="shared" si="4"/>
        <v>35.17074640954398</v>
      </c>
      <c r="T52" s="17">
        <f t="shared" si="8"/>
        <v>277832.68432813254</v>
      </c>
      <c r="U52" s="17">
        <f t="shared" si="9"/>
        <v>352662.28730717622</v>
      </c>
    </row>
    <row r="53" spans="1:21" x14ac:dyDescent="0.25">
      <c r="A53" s="3"/>
      <c r="B53" s="18">
        <v>10436</v>
      </c>
      <c r="C53" s="3" t="s">
        <v>47</v>
      </c>
      <c r="D53" s="2">
        <v>6.6361522140519336</v>
      </c>
      <c r="E53" s="2">
        <v>4.0828380386329863</v>
      </c>
      <c r="F53" s="3">
        <v>4.4999999999999998E-2</v>
      </c>
      <c r="G53" s="3">
        <v>3.5000000000000003E-2</v>
      </c>
      <c r="H53" s="3">
        <v>7.0000000000000007E-2</v>
      </c>
      <c r="I53" s="3">
        <v>0</v>
      </c>
      <c r="J53" s="18">
        <v>0</v>
      </c>
      <c r="K53" s="18">
        <v>0</v>
      </c>
      <c r="L53" s="13">
        <f t="shared" si="6"/>
        <v>7.0000000000000007E-2</v>
      </c>
      <c r="M53" s="13">
        <v>1.3000208855472013</v>
      </c>
      <c r="N53">
        <f t="shared" si="7"/>
        <v>9.0999999999999998E-2</v>
      </c>
      <c r="O53" s="16">
        <f>VLOOKUP(B53, Charges_NonSlice!$B$4:$U$138, 20, FALSE)</f>
        <v>5950435.1168574579</v>
      </c>
      <c r="P53" s="19">
        <f>IF(J53=1,VLOOKUP(B53,PNGC!$D$6:$K$22,8,FALSE),0)</f>
        <v>0</v>
      </c>
      <c r="Q53" s="17">
        <f t="shared" si="5"/>
        <v>5950435.1168574579</v>
      </c>
      <c r="R53" s="22">
        <f>IF(J53=1, VLOOKUP(B53, PNGC!$D$6:$L$21, 9, FALSE), VLOOKUP('Discount Details'!B53, Charges_NonSlice!$B$4:$V$138, 21, FALSE))</f>
        <v>168227.51277115056</v>
      </c>
      <c r="S53" s="15">
        <f t="shared" si="4"/>
        <v>35.371355248841923</v>
      </c>
      <c r="T53" s="17">
        <f t="shared" si="8"/>
        <v>416530.45818002208</v>
      </c>
      <c r="U53" s="17">
        <f t="shared" si="9"/>
        <v>541489.59563402866</v>
      </c>
    </row>
    <row r="54" spans="1:21" x14ac:dyDescent="0.25">
      <c r="A54" s="3"/>
      <c r="B54" s="18">
        <v>10440</v>
      </c>
      <c r="C54" s="3" t="s">
        <v>48</v>
      </c>
      <c r="D54" s="2">
        <v>4.3866102754667757</v>
      </c>
      <c r="E54" s="2">
        <v>10.503875968992247</v>
      </c>
      <c r="F54" s="3">
        <v>4.4999999999999998E-2</v>
      </c>
      <c r="G54" s="3">
        <v>0.01</v>
      </c>
      <c r="H54" s="3">
        <v>5.5E-2</v>
      </c>
      <c r="I54" s="3">
        <v>0</v>
      </c>
      <c r="J54" s="18">
        <v>0</v>
      </c>
      <c r="K54" s="18">
        <v>0</v>
      </c>
      <c r="L54" s="13">
        <f t="shared" si="6"/>
        <v>5.5E-2</v>
      </c>
      <c r="M54" s="13">
        <v>1.0493506493506493</v>
      </c>
      <c r="N54">
        <f t="shared" si="7"/>
        <v>5.7709999999999997E-2</v>
      </c>
      <c r="O54" s="16">
        <f>VLOOKUP(B54, Charges_NonSlice!$B$4:$U$138, 20, FALSE)</f>
        <v>1540676.8102745099</v>
      </c>
      <c r="P54" s="19">
        <f>IF(J54=1,VLOOKUP(B54,PNGC!$D$6:$K$22,8,FALSE),0)</f>
        <v>0</v>
      </c>
      <c r="Q54" s="17">
        <f t="shared" si="5"/>
        <v>1540676.8102745099</v>
      </c>
      <c r="R54" s="22">
        <f>IF(J54=1, VLOOKUP(B54, PNGC!$D$6:$L$21, 9, FALSE), VLOOKUP('Discount Details'!B54, Charges_NonSlice!$B$4:$V$138, 21, FALSE))</f>
        <v>43963.92</v>
      </c>
      <c r="S54" s="15">
        <f t="shared" si="4"/>
        <v>35.044118228640897</v>
      </c>
      <c r="T54" s="17">
        <f t="shared" si="8"/>
        <v>84737.224565098048</v>
      </c>
      <c r="U54" s="17">
        <f t="shared" si="9"/>
        <v>88912.45872094197</v>
      </c>
    </row>
    <row r="55" spans="1:21" x14ac:dyDescent="0.25">
      <c r="A55" s="3"/>
      <c r="B55" s="18">
        <v>10442</v>
      </c>
      <c r="C55" s="3" t="s">
        <v>49</v>
      </c>
      <c r="D55" s="2">
        <v>3.8363763744308907</v>
      </c>
      <c r="E55" s="2">
        <v>2.9354037267080746</v>
      </c>
      <c r="F55" s="3">
        <v>4.4999999999999998E-2</v>
      </c>
      <c r="G55" s="3">
        <v>0.04</v>
      </c>
      <c r="H55" s="3">
        <v>7.0000000000000007E-2</v>
      </c>
      <c r="I55" s="3">
        <v>5.0000000000000001E-3</v>
      </c>
      <c r="J55" s="18">
        <v>0</v>
      </c>
      <c r="K55" s="18">
        <v>0</v>
      </c>
      <c r="L55" s="13">
        <f t="shared" si="6"/>
        <v>7.0000000000000007E-2</v>
      </c>
      <c r="M55" s="13">
        <v>1</v>
      </c>
      <c r="N55">
        <f t="shared" si="7"/>
        <v>7.0000000000000007E-2</v>
      </c>
      <c r="O55" s="16">
        <f>VLOOKUP(B55, Charges_NonSlice!$B$4:$U$138, 20, FALSE)</f>
        <v>4127001.3492870354</v>
      </c>
      <c r="P55" s="19">
        <f>IF(J55=1,VLOOKUP(B55,PNGC!$D$6:$K$22,8,FALSE),0)</f>
        <v>0</v>
      </c>
      <c r="Q55" s="17">
        <f t="shared" si="5"/>
        <v>4127001.3492870354</v>
      </c>
      <c r="R55" s="22">
        <f>IF(J55=1, VLOOKUP(B55, PNGC!$D$6:$L$21, 9, FALSE), VLOOKUP('Discount Details'!B55, Charges_NonSlice!$B$4:$V$138, 21, FALSE))</f>
        <v>110541.16550671548</v>
      </c>
      <c r="S55" s="15">
        <f t="shared" si="4"/>
        <v>37.334519953440477</v>
      </c>
      <c r="T55" s="17">
        <f t="shared" si="8"/>
        <v>288890.09445009253</v>
      </c>
      <c r="U55" s="17">
        <f t="shared" si="9"/>
        <v>288890.09445009253</v>
      </c>
    </row>
    <row r="56" spans="1:21" x14ac:dyDescent="0.25">
      <c r="A56" s="3"/>
      <c r="B56" s="18">
        <v>10446</v>
      </c>
      <c r="C56" s="3" t="s">
        <v>50</v>
      </c>
      <c r="D56" s="2">
        <v>19.721392520785308</v>
      </c>
      <c r="E56" s="2">
        <v>3.1468373493975905</v>
      </c>
      <c r="F56" s="3">
        <v>2.5000000000000001E-2</v>
      </c>
      <c r="G56" s="3">
        <v>0.04</v>
      </c>
      <c r="H56" s="3">
        <v>6.5000000000000002E-2</v>
      </c>
      <c r="I56" s="3">
        <v>0</v>
      </c>
      <c r="J56" s="18">
        <v>0</v>
      </c>
      <c r="K56" s="18">
        <v>0</v>
      </c>
      <c r="L56" s="13">
        <f t="shared" si="6"/>
        <v>6.5000000000000002E-2</v>
      </c>
      <c r="M56" s="13">
        <v>1.0129266688245919</v>
      </c>
      <c r="N56">
        <f t="shared" si="7"/>
        <v>6.5839999999999996E-2</v>
      </c>
      <c r="O56" s="16">
        <f>VLOOKUP(B56, Charges_NonSlice!$B$4:$U$138, 20, FALSE)</f>
        <v>28643138.794785451</v>
      </c>
      <c r="P56" s="19">
        <f>IF(J56=1,VLOOKUP(B56,PNGC!$D$6:$K$22,8,FALSE),0)</f>
        <v>0</v>
      </c>
      <c r="Q56" s="17">
        <f t="shared" si="5"/>
        <v>28643138.794785451</v>
      </c>
      <c r="R56" s="22">
        <f>IF(J56=1, VLOOKUP(B56, PNGC!$D$6:$L$21, 9, FALSE), VLOOKUP('Discount Details'!B56, Charges_NonSlice!$B$4:$V$138, 21, FALSE))</f>
        <v>841251.43585612264</v>
      </c>
      <c r="S56" s="15">
        <f t="shared" si="4"/>
        <v>34.0482495172635</v>
      </c>
      <c r="T56" s="17">
        <f t="shared" si="8"/>
        <v>1861804.0216610543</v>
      </c>
      <c r="U56" s="17">
        <f t="shared" si="9"/>
        <v>1885864.258248674</v>
      </c>
    </row>
    <row r="57" spans="1:21" x14ac:dyDescent="0.25">
      <c r="A57" s="3"/>
      <c r="B57" s="18">
        <v>10448</v>
      </c>
      <c r="C57" s="3" t="s">
        <v>51</v>
      </c>
      <c r="D57" s="2">
        <v>2.3434311984862117</v>
      </c>
      <c r="E57" s="2">
        <v>7.1359374999999998</v>
      </c>
      <c r="F57" s="3">
        <v>0.05</v>
      </c>
      <c r="G57" s="3">
        <v>2.5000000000000001E-2</v>
      </c>
      <c r="H57" s="3">
        <v>7.0000000000000007E-2</v>
      </c>
      <c r="I57" s="3">
        <v>0</v>
      </c>
      <c r="J57" s="18">
        <v>1</v>
      </c>
      <c r="K57" s="18">
        <v>0</v>
      </c>
      <c r="L57" s="13">
        <f t="shared" si="6"/>
        <v>7.0000000000000007E-2</v>
      </c>
      <c r="M57" s="13">
        <v>1</v>
      </c>
      <c r="N57">
        <f t="shared" si="7"/>
        <v>7.0000000000000007E-2</v>
      </c>
      <c r="O57" s="16">
        <f>VLOOKUP(B57, Charges_NonSlice!$B$4:$U$138, 20, FALSE)</f>
        <v>2395650.8161488795</v>
      </c>
      <c r="P57" s="19">
        <f>IF(J57=1,VLOOKUP(B57,PNGC!$D$6:$K$22,8,FALSE),0)</f>
        <v>257562.67857129761</v>
      </c>
      <c r="Q57" s="17">
        <f t="shared" si="5"/>
        <v>2653213.4947201773</v>
      </c>
      <c r="R57" s="22">
        <f>IF(J57=1, VLOOKUP(B57, PNGC!$D$6:$L$21, 9, FALSE), VLOOKUP('Discount Details'!B57, Charges_NonSlice!$B$4:$V$138, 21, FALSE))</f>
        <v>72396.277846986748</v>
      </c>
      <c r="S57" s="15">
        <f t="shared" si="4"/>
        <v>36.648479364199915</v>
      </c>
      <c r="T57" s="17">
        <f t="shared" si="8"/>
        <v>185724.94463041241</v>
      </c>
      <c r="U57" s="17">
        <f t="shared" si="9"/>
        <v>185724.94463041241</v>
      </c>
    </row>
    <row r="58" spans="1:21" x14ac:dyDescent="0.25">
      <c r="A58" s="3"/>
      <c r="B58" s="18">
        <v>10502</v>
      </c>
      <c r="C58" s="3" t="s">
        <v>52</v>
      </c>
      <c r="D58" s="2">
        <v>3.6895777077855287</v>
      </c>
      <c r="E58" s="2">
        <v>4.2549857549857553</v>
      </c>
      <c r="F58" s="3">
        <v>4.4999999999999998E-2</v>
      </c>
      <c r="G58" s="3">
        <v>3.5000000000000003E-2</v>
      </c>
      <c r="H58" s="3">
        <v>7.0000000000000007E-2</v>
      </c>
      <c r="I58" s="3">
        <v>0</v>
      </c>
      <c r="J58" s="18">
        <v>0</v>
      </c>
      <c r="K58" s="18">
        <v>0</v>
      </c>
      <c r="L58" s="13">
        <f t="shared" si="6"/>
        <v>7.0000000000000007E-2</v>
      </c>
      <c r="M58" s="13">
        <v>1</v>
      </c>
      <c r="N58">
        <f t="shared" si="7"/>
        <v>7.0000000000000007E-2</v>
      </c>
      <c r="O58" s="16">
        <f>VLOOKUP(B58, Charges_NonSlice!$B$4:$U$138, 20, FALSE)</f>
        <v>5842469.0192103386</v>
      </c>
      <c r="P58" s="19">
        <f>IF(J58=1,VLOOKUP(B58,PNGC!$D$6:$K$22,8,FALSE),0)</f>
        <v>0</v>
      </c>
      <c r="Q58" s="17">
        <f t="shared" si="5"/>
        <v>5842469.0192103386</v>
      </c>
      <c r="R58" s="22">
        <f>IF(J58=1, VLOOKUP(B58, PNGC!$D$6:$L$21, 9, FALSE), VLOOKUP('Discount Details'!B58, Charges_NonSlice!$B$4:$V$138, 21, FALSE))</f>
        <v>163515.14174950778</v>
      </c>
      <c r="S58" s="15">
        <f t="shared" si="4"/>
        <v>35.730446469358398</v>
      </c>
      <c r="T58" s="17">
        <f t="shared" si="8"/>
        <v>408972.83134472376</v>
      </c>
      <c r="U58" s="17">
        <f t="shared" si="9"/>
        <v>408972.83134472376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4896A9-14B3-4FA8-9326-B8C396283C41}">
  <sheetPr>
    <tabColor theme="9" tint="0.79998168889431442"/>
  </sheetPr>
  <dimension ref="B1:AB65"/>
  <sheetViews>
    <sheetView topLeftCell="A7" zoomScale="82" zoomScaleNormal="82" workbookViewId="0">
      <selection activeCell="B36" sqref="B36:F48"/>
    </sheetView>
  </sheetViews>
  <sheetFormatPr defaultRowHeight="15" x14ac:dyDescent="0.25"/>
  <cols>
    <col min="2" max="2" width="12.28515625" customWidth="1"/>
    <col min="9" max="9" width="10.85546875" customWidth="1"/>
    <col min="10" max="10" width="24.140625" bestFit="1" customWidth="1"/>
    <col min="11" max="11" width="12.85546875" customWidth="1"/>
    <col min="12" max="12" width="11.28515625" customWidth="1"/>
    <col min="15" max="15" width="10.7109375" customWidth="1"/>
    <col min="16" max="17" width="12.42578125" bestFit="1" customWidth="1"/>
    <col min="18" max="18" width="12.7109375" customWidth="1"/>
    <col min="19" max="19" width="11.7109375" bestFit="1" customWidth="1"/>
    <col min="20" max="20" width="9.7109375" bestFit="1" customWidth="1"/>
    <col min="22" max="22" width="11.42578125" customWidth="1"/>
    <col min="23" max="24" width="9.7109375" bestFit="1" customWidth="1"/>
    <col min="25" max="25" width="0.28515625" customWidth="1"/>
    <col min="26" max="26" width="10.85546875" customWidth="1"/>
    <col min="27" max="27" width="10.5703125" customWidth="1"/>
    <col min="28" max="28" width="10.28515625" customWidth="1"/>
  </cols>
  <sheetData>
    <row r="1" spans="2:28" ht="15.75" thickBot="1" x14ac:dyDescent="0.3">
      <c r="V1" s="10"/>
    </row>
    <row r="2" spans="2:28" ht="15.75" thickBot="1" x14ac:dyDescent="0.3">
      <c r="R2" s="100" t="s">
        <v>102</v>
      </c>
      <c r="S2" s="101">
        <v>0.08</v>
      </c>
      <c r="V2" s="10"/>
    </row>
    <row r="3" spans="2:28" x14ac:dyDescent="0.25">
      <c r="R3" s="102"/>
      <c r="S3" s="103"/>
      <c r="V3" s="104">
        <f>SUM(V5:V59)</f>
        <v>36377446.098513082</v>
      </c>
      <c r="W3" s="105"/>
      <c r="X3" s="105"/>
      <c r="Y3" s="105"/>
      <c r="Z3" s="105"/>
      <c r="AA3" s="105"/>
      <c r="AB3" s="106"/>
    </row>
    <row r="4" spans="2:28" ht="15.75" thickBot="1" x14ac:dyDescent="0.3">
      <c r="R4" s="102"/>
      <c r="S4" s="103"/>
      <c r="V4" s="107"/>
      <c r="W4" s="108"/>
      <c r="X4" s="108"/>
      <c r="Y4" s="108"/>
      <c r="Z4" s="108"/>
      <c r="AA4" s="108"/>
      <c r="AB4" s="109"/>
    </row>
    <row r="5" spans="2:28" x14ac:dyDescent="0.25">
      <c r="P5" s="110"/>
      <c r="Q5" s="111">
        <f>SUM(Q7:Q59)</f>
        <v>39298318.691092603</v>
      </c>
      <c r="R5" s="182"/>
      <c r="S5" s="183">
        <f>SUM(S7:S59)</f>
        <v>37342187.556414351</v>
      </c>
      <c r="V5" s="181" t="s">
        <v>276</v>
      </c>
      <c r="W5" s="105"/>
      <c r="X5" s="105"/>
      <c r="Y5" s="105"/>
      <c r="Z5" s="105"/>
      <c r="AA5" s="105"/>
      <c r="AB5" s="106"/>
    </row>
    <row r="6" spans="2:28" ht="75" x14ac:dyDescent="0.25">
      <c r="B6" s="114" t="s">
        <v>277</v>
      </c>
      <c r="I6" t="s">
        <v>59</v>
      </c>
      <c r="J6" t="s">
        <v>60</v>
      </c>
      <c r="K6" s="10" t="s">
        <v>278</v>
      </c>
      <c r="L6" s="10" t="s">
        <v>54</v>
      </c>
      <c r="M6" t="s">
        <v>279</v>
      </c>
      <c r="N6" t="s">
        <v>280</v>
      </c>
      <c r="O6" s="10" t="s">
        <v>281</v>
      </c>
      <c r="P6" s="115" t="s">
        <v>282</v>
      </c>
      <c r="Q6" s="116" t="s">
        <v>340</v>
      </c>
      <c r="R6" s="117" t="s">
        <v>341</v>
      </c>
      <c r="S6" s="103" t="s">
        <v>101</v>
      </c>
      <c r="T6" s="10" t="s">
        <v>285</v>
      </c>
      <c r="V6" s="118" t="s">
        <v>286</v>
      </c>
      <c r="W6" s="10" t="s">
        <v>287</v>
      </c>
      <c r="X6" s="10" t="s">
        <v>288</v>
      </c>
      <c r="Y6" s="119"/>
      <c r="Z6" s="10" t="s">
        <v>289</v>
      </c>
      <c r="AA6" s="10" t="s">
        <v>290</v>
      </c>
      <c r="AB6" s="120" t="s">
        <v>291</v>
      </c>
    </row>
    <row r="7" spans="2:28" ht="30" x14ac:dyDescent="0.25">
      <c r="B7" s="121" t="s">
        <v>292</v>
      </c>
      <c r="C7" s="122" t="s">
        <v>293</v>
      </c>
      <c r="D7" s="122" t="s">
        <v>294</v>
      </c>
      <c r="E7" s="123" t="s">
        <v>295</v>
      </c>
      <c r="F7" s="123" t="s">
        <v>296</v>
      </c>
      <c r="I7" s="18">
        <f>'Discount Details'!B6</f>
        <v>10005</v>
      </c>
      <c r="J7" s="3" t="str">
        <f>'Discount Details'!C6</f>
        <v>Alder Mutual Light</v>
      </c>
      <c r="K7" s="2">
        <f>'Discount Details'!D6</f>
        <v>46.76785057839863</v>
      </c>
      <c r="L7" s="2">
        <f>'Discount Details'!E6</f>
        <v>7.789479078586619</v>
      </c>
      <c r="M7" s="124" cm="1">
        <f t="array" ref="M7">LOOKUP(2, 1/((K7 &gt;= $C$8:$C$20) * (K7 &lt;= $D$8:$D$20)), $B$8:$B$20)</f>
        <v>0</v>
      </c>
      <c r="N7" s="124" cm="1">
        <f t="array" ref="N7">LOOKUP(2, 1/((L7 &gt;= $E$8:$E$20) * (L7 &lt;= $F$8:$F$20)), $B$8:$B$20)</f>
        <v>2.5000000000000001E-2</v>
      </c>
      <c r="O7" s="124">
        <f>'Discount Details'!I6</f>
        <v>0</v>
      </c>
      <c r="P7" s="125">
        <f>M7+N7+O7</f>
        <v>2.5000000000000001E-2</v>
      </c>
      <c r="Q7" s="126">
        <f>$P7*'Discount Details'!Q6</f>
        <v>4380.4931574367129</v>
      </c>
      <c r="R7" s="125">
        <f>MIN(P7, $S$2)</f>
        <v>2.5000000000000001E-2</v>
      </c>
      <c r="S7" s="126">
        <f>$R7*'Discount Details'!Q6</f>
        <v>4380.4931574367129</v>
      </c>
      <c r="T7" s="127">
        <f>Q7-S7</f>
        <v>0</v>
      </c>
      <c r="V7" s="128">
        <f>'Discount Details'!U6</f>
        <v>4348.9536067031677</v>
      </c>
      <c r="W7" s="17">
        <f>Q7-V7</f>
        <v>31.539550733545184</v>
      </c>
      <c r="X7" s="17">
        <f>S7-V7</f>
        <v>31.539550733545184</v>
      </c>
      <c r="Y7" s="119"/>
      <c r="Z7" s="3">
        <f>VLOOKUP($I7, 'Discount Details'!$B$6:$N$58, 13, FALSE)</f>
        <v>2.4819999999999998E-2</v>
      </c>
      <c r="AA7" s="3">
        <f t="shared" ref="AA7:AA59" si="0">P7-Z7</f>
        <v>1.8000000000000307E-4</v>
      </c>
      <c r="AB7" s="129">
        <f t="shared" ref="AB7:AB59" si="1">R7-Z7</f>
        <v>1.8000000000000307E-4</v>
      </c>
    </row>
    <row r="8" spans="2:28" x14ac:dyDescent="0.25">
      <c r="B8" s="130">
        <v>0</v>
      </c>
      <c r="C8" s="131">
        <f t="shared" ref="C8:C17" si="2">D9</f>
        <v>36</v>
      </c>
      <c r="D8" s="131">
        <v>100</v>
      </c>
      <c r="E8" s="132">
        <f t="shared" ref="E8:E17" si="3">F9</f>
        <v>12</v>
      </c>
      <c r="F8" s="132"/>
      <c r="I8" s="18">
        <f>'Discount Details'!B7</f>
        <v>10025</v>
      </c>
      <c r="J8" s="3" t="str">
        <f>'Discount Details'!C7</f>
        <v>Benton Rural Elect. Assoc.</v>
      </c>
      <c r="K8" s="2">
        <f>'Discount Details'!D7</f>
        <v>7.4648574608518521</v>
      </c>
      <c r="L8" s="2">
        <f>'Discount Details'!E7</f>
        <v>8.8016666666666659</v>
      </c>
      <c r="M8" s="124" cm="1">
        <f t="array" ref="M8">LOOKUP(2, 1/((K8 &gt;= $C$8:$C$20) * (K8 &lt;= $D$8:$D$20)), $B$8:$B$20)</f>
        <v>0.05</v>
      </c>
      <c r="N8" s="124" cm="1">
        <f t="array" ref="N8">LOOKUP(2, 1/((L8 &gt;= $E$8:$E$20) * (L8 &lt;= $F$8:$F$20)), $B$8:$B$20)</f>
        <v>0.02</v>
      </c>
      <c r="O8" s="124">
        <f>'Discount Details'!I7</f>
        <v>0</v>
      </c>
      <c r="P8" s="125">
        <f t="shared" ref="P8:P59" si="4">M8+N8+O8</f>
        <v>7.0000000000000007E-2</v>
      </c>
      <c r="Q8" s="126">
        <f>$P8*'Discount Details'!Q7</f>
        <v>1294800.2678185981</v>
      </c>
      <c r="R8" s="125">
        <f t="shared" ref="R8:R59" si="5">MIN(P8, $S$2)</f>
        <v>7.0000000000000007E-2</v>
      </c>
      <c r="S8" s="126">
        <f>$R8*'Discount Details'!Q7</f>
        <v>1294800.2678185981</v>
      </c>
      <c r="T8" s="127">
        <f t="shared" ref="T8:T59" si="6">Q8-S8</f>
        <v>0</v>
      </c>
      <c r="V8" s="128">
        <f>'Discount Details'!U7</f>
        <v>1105389.4857834203</v>
      </c>
      <c r="W8" s="17">
        <f t="shared" ref="W8:W59" si="7">Q8-V8</f>
        <v>189410.78203517781</v>
      </c>
      <c r="X8" s="17">
        <f>S8-V8</f>
        <v>189410.78203517781</v>
      </c>
      <c r="Y8" s="119"/>
      <c r="Z8" s="3">
        <f>VLOOKUP($I8, 'Discount Details'!$B$6:$N$58, 13, FALSE)</f>
        <v>5.9760000000000001E-2</v>
      </c>
      <c r="AA8" s="3">
        <f t="shared" si="0"/>
        <v>1.0240000000000006E-2</v>
      </c>
      <c r="AB8" s="129">
        <f t="shared" si="1"/>
        <v>1.0240000000000006E-2</v>
      </c>
    </row>
    <row r="9" spans="2:28" x14ac:dyDescent="0.25">
      <c r="B9" s="133">
        <v>5.0000000000000001E-3</v>
      </c>
      <c r="C9" s="131">
        <f t="shared" si="2"/>
        <v>33</v>
      </c>
      <c r="D9" s="131">
        <v>36</v>
      </c>
      <c r="E9" s="132">
        <f t="shared" si="3"/>
        <v>11</v>
      </c>
      <c r="F9" s="132">
        <v>12</v>
      </c>
      <c r="I9" s="18">
        <f>'Discount Details'!B8</f>
        <v>10027</v>
      </c>
      <c r="J9" s="3" t="str">
        <f>'Discount Details'!C8</f>
        <v>Big Bend Electric Coop.</v>
      </c>
      <c r="K9" s="2">
        <f>'Discount Details'!D8</f>
        <v>10.062277544986841</v>
      </c>
      <c r="L9" s="2">
        <f>'Discount Details'!E8</f>
        <v>4.0188911704312114</v>
      </c>
      <c r="M9" s="124" cm="1">
        <f t="array" ref="M9">LOOKUP(2, 1/((K9 &gt;= $C$8:$C$20) * (K9 &lt;= $D$8:$D$20)), $B$8:$B$20)</f>
        <v>4.4999999999999998E-2</v>
      </c>
      <c r="N9" s="124" cm="1">
        <f t="array" ref="N9">LOOKUP(2, 1/((L9 &gt;= $E$8:$E$20) * (L9 &lt;= $F$8:$F$20)), $B$8:$B$20)</f>
        <v>0.04</v>
      </c>
      <c r="O9" s="124">
        <f>'Discount Details'!I8</f>
        <v>0</v>
      </c>
      <c r="P9" s="125">
        <f t="shared" si="4"/>
        <v>8.4999999999999992E-2</v>
      </c>
      <c r="Q9" s="126">
        <f>$P9*'Discount Details'!Q8</f>
        <v>1589574.3982077814</v>
      </c>
      <c r="R9" s="125">
        <f t="shared" si="5"/>
        <v>0.08</v>
      </c>
      <c r="S9" s="126">
        <f>$R9*'Discount Details'!Q8</f>
        <v>1496070.021842618</v>
      </c>
      <c r="T9" s="127">
        <f t="shared" si="6"/>
        <v>93504.376365163364</v>
      </c>
      <c r="V9" s="128">
        <f>'Discount Details'!U8</f>
        <v>1450252.8774236876</v>
      </c>
      <c r="W9" s="17">
        <f t="shared" si="7"/>
        <v>139321.52078409377</v>
      </c>
      <c r="X9" s="17">
        <f>S9-V9</f>
        <v>45817.144418930402</v>
      </c>
      <c r="Y9" s="119"/>
      <c r="Z9" s="3">
        <f>VLOOKUP($I9, 'Discount Details'!$B$6:$N$58, 13, FALSE)</f>
        <v>7.7549999999999994E-2</v>
      </c>
      <c r="AA9" s="3">
        <f t="shared" si="0"/>
        <v>7.4499999999999983E-3</v>
      </c>
      <c r="AB9" s="129">
        <f t="shared" si="1"/>
        <v>2.4500000000000077E-3</v>
      </c>
    </row>
    <row r="10" spans="2:28" x14ac:dyDescent="0.25">
      <c r="B10" s="133">
        <v>0.01</v>
      </c>
      <c r="C10" s="131">
        <f t="shared" si="2"/>
        <v>30</v>
      </c>
      <c r="D10" s="131">
        <v>33</v>
      </c>
      <c r="E10" s="132">
        <f t="shared" si="3"/>
        <v>10</v>
      </c>
      <c r="F10" s="132">
        <v>11</v>
      </c>
      <c r="I10" s="18">
        <f>'Discount Details'!B9</f>
        <v>10029</v>
      </c>
      <c r="J10" s="3" t="str">
        <f>'Discount Details'!C9</f>
        <v>Blachly-Lane Electric</v>
      </c>
      <c r="K10" s="2">
        <f>'Discount Details'!D9</f>
        <v>6.7839019265419633</v>
      </c>
      <c r="L10" s="2">
        <f>'Discount Details'!E9</f>
        <v>7.3747494989979963</v>
      </c>
      <c r="M10" s="124" cm="1">
        <f t="array" ref="M10">LOOKUP(2, 1/((K10 &gt;= $C$8:$C$20) * (K10 &lt;= $D$8:$D$20)), $B$8:$B$20)</f>
        <v>0.05</v>
      </c>
      <c r="N10" s="124" cm="1">
        <f t="array" ref="N10">LOOKUP(2, 1/((L10 &gt;= $E$8:$E$20) * (L10 &lt;= $F$8:$F$20)), $B$8:$B$20)</f>
        <v>2.5000000000000001E-2</v>
      </c>
      <c r="O10" s="124">
        <f>'Discount Details'!I9</f>
        <v>0</v>
      </c>
      <c r="P10" s="125">
        <f>M10+N10+O10</f>
        <v>7.5000000000000011E-2</v>
      </c>
      <c r="Q10" s="126">
        <f>$P10*'Discount Details'!Q9</f>
        <v>425372.14507503837</v>
      </c>
      <c r="R10" s="125">
        <f t="shared" si="5"/>
        <v>7.5000000000000011E-2</v>
      </c>
      <c r="S10" s="126">
        <f>$R10*'Discount Details'!Q9</f>
        <v>425372.14507503837</v>
      </c>
      <c r="T10" s="127">
        <f t="shared" si="6"/>
        <v>0</v>
      </c>
      <c r="V10" s="128">
        <f>'Discount Details'!U9</f>
        <v>453673.5717940309</v>
      </c>
      <c r="W10" s="17">
        <f t="shared" si="7"/>
        <v>-28301.42671899253</v>
      </c>
      <c r="X10" s="17">
        <f t="shared" ref="X10:X59" si="8">S10-V10</f>
        <v>-28301.42671899253</v>
      </c>
      <c r="Y10" s="119"/>
      <c r="Z10" s="3">
        <f>VLOOKUP($I10, 'Discount Details'!$B$6:$N$58, 13, FALSE)</f>
        <v>7.9990000000000006E-2</v>
      </c>
      <c r="AA10" s="3">
        <f t="shared" si="0"/>
        <v>-4.9899999999999944E-3</v>
      </c>
      <c r="AB10" s="129">
        <f t="shared" si="1"/>
        <v>-4.9899999999999944E-3</v>
      </c>
    </row>
    <row r="11" spans="2:28" x14ac:dyDescent="0.25">
      <c r="B11" s="133">
        <v>1.4999999999999999E-2</v>
      </c>
      <c r="C11" s="131">
        <f t="shared" si="2"/>
        <v>27</v>
      </c>
      <c r="D11" s="131">
        <v>30</v>
      </c>
      <c r="E11" s="132">
        <f t="shared" si="3"/>
        <v>9</v>
      </c>
      <c r="F11" s="132">
        <v>10</v>
      </c>
      <c r="I11" s="18">
        <f>'Discount Details'!B10</f>
        <v>10065</v>
      </c>
      <c r="J11" s="3" t="str">
        <f>'Discount Details'!C10</f>
        <v>City of Cascade Locks</v>
      </c>
      <c r="K11" s="2">
        <f>'Discount Details'!D10</f>
        <v>15.707838574355518</v>
      </c>
      <c r="L11" s="2">
        <f>'Discount Details'!E10</f>
        <v>11.082191780821917</v>
      </c>
      <c r="M11" s="124" cm="1">
        <f t="array" ref="M11">LOOKUP(2, 1/((K11 &gt;= $C$8:$C$20) * (K11 &lt;= $D$8:$D$20)), $B$8:$B$20)</f>
        <v>3.5000000000000003E-2</v>
      </c>
      <c r="N11" s="124" cm="1">
        <f t="array" ref="N11">LOOKUP(2, 1/((L11 &gt;= $E$8:$E$20) * (L11 &lt;= $F$8:$F$20)), $B$8:$B$20)</f>
        <v>5.0000000000000001E-3</v>
      </c>
      <c r="O11" s="124">
        <f>'Discount Details'!I10</f>
        <v>0</v>
      </c>
      <c r="P11" s="125">
        <f t="shared" si="4"/>
        <v>0.04</v>
      </c>
      <c r="Q11" s="126">
        <f>$P11*'Discount Details'!Q10</f>
        <v>28149.162783133062</v>
      </c>
      <c r="R11" s="125">
        <f t="shared" si="5"/>
        <v>0.04</v>
      </c>
      <c r="S11" s="126">
        <f>$R11*'Discount Details'!Q10</f>
        <v>28149.162783133062</v>
      </c>
      <c r="T11" s="127">
        <f t="shared" si="6"/>
        <v>0</v>
      </c>
      <c r="V11" s="128">
        <f>'Discount Details'!U10</f>
        <v>46692.42376652197</v>
      </c>
      <c r="W11" s="17">
        <f t="shared" si="7"/>
        <v>-18543.260983388907</v>
      </c>
      <c r="X11" s="17">
        <f t="shared" si="8"/>
        <v>-18543.260983388907</v>
      </c>
      <c r="Y11" s="119"/>
      <c r="Z11" s="3">
        <f>VLOOKUP($I11, 'Discount Details'!$B$6:$N$58, 13, FALSE)</f>
        <v>6.6350000000000006E-2</v>
      </c>
      <c r="AA11" s="3">
        <f t="shared" si="0"/>
        <v>-2.6350000000000005E-2</v>
      </c>
      <c r="AB11" s="129">
        <f t="shared" si="1"/>
        <v>-2.6350000000000005E-2</v>
      </c>
    </row>
    <row r="12" spans="2:28" x14ac:dyDescent="0.25">
      <c r="B12" s="133">
        <v>0.02</v>
      </c>
      <c r="C12" s="131">
        <f t="shared" si="2"/>
        <v>24</v>
      </c>
      <c r="D12" s="131">
        <v>27</v>
      </c>
      <c r="E12" s="132">
        <f t="shared" si="3"/>
        <v>8</v>
      </c>
      <c r="F12" s="132">
        <v>9</v>
      </c>
      <c r="I12" s="18">
        <f>'Discount Details'!B11</f>
        <v>10046</v>
      </c>
      <c r="J12" s="3" t="str">
        <f>'Discount Details'!C11</f>
        <v>Central Electric</v>
      </c>
      <c r="K12" s="2">
        <f>'Discount Details'!D11</f>
        <v>5.1512492911482184</v>
      </c>
      <c r="L12" s="2">
        <f>'Discount Details'!E11</f>
        <v>7.6824012314007186</v>
      </c>
      <c r="M12" s="124" cm="1">
        <f t="array" ref="M12">LOOKUP(2, 1/((K12 &gt;= $C$8:$C$20) * (K12 &lt;= $D$8:$D$20)), $B$8:$B$20)</f>
        <v>5.5E-2</v>
      </c>
      <c r="N12" s="124" cm="1">
        <f t="array" ref="N12">LOOKUP(2, 1/((L12 &gt;= $E$8:$E$20) * (L12 &lt;= $F$8:$F$20)), $B$8:$B$20)</f>
        <v>2.5000000000000001E-2</v>
      </c>
      <c r="O12" s="124">
        <f>'Discount Details'!I11</f>
        <v>0</v>
      </c>
      <c r="P12" s="125">
        <f t="shared" si="4"/>
        <v>0.08</v>
      </c>
      <c r="Q12" s="126">
        <f>$P12*'Discount Details'!Q11</f>
        <v>2108208.4808742274</v>
      </c>
      <c r="R12" s="125">
        <f t="shared" si="5"/>
        <v>0.08</v>
      </c>
      <c r="S12" s="126">
        <f>$R12*'Discount Details'!Q11</f>
        <v>2108208.4808742274</v>
      </c>
      <c r="T12" s="127">
        <f t="shared" si="6"/>
        <v>0</v>
      </c>
      <c r="V12" s="128">
        <f>'Discount Details'!U11</f>
        <v>2069206.6239780542</v>
      </c>
      <c r="W12" s="17">
        <f t="shared" si="7"/>
        <v>39001.856896173209</v>
      </c>
      <c r="X12" s="17">
        <f t="shared" si="8"/>
        <v>39001.856896173209</v>
      </c>
      <c r="Y12" s="119"/>
      <c r="Z12" s="3">
        <f>VLOOKUP($I12, 'Discount Details'!$B$6:$N$58, 13, FALSE)</f>
        <v>7.8520000000000006E-2</v>
      </c>
      <c r="AA12" s="3">
        <f t="shared" si="0"/>
        <v>1.4799999999999952E-3</v>
      </c>
      <c r="AB12" s="129">
        <f t="shared" si="1"/>
        <v>1.4799999999999952E-3</v>
      </c>
    </row>
    <row r="13" spans="2:28" x14ac:dyDescent="0.25">
      <c r="B13" s="133">
        <v>2.5000000000000001E-2</v>
      </c>
      <c r="C13" s="131">
        <f t="shared" si="2"/>
        <v>21</v>
      </c>
      <c r="D13" s="131">
        <v>24</v>
      </c>
      <c r="E13" s="132">
        <f t="shared" si="3"/>
        <v>7</v>
      </c>
      <c r="F13" s="132">
        <v>8</v>
      </c>
      <c r="I13" s="18">
        <f>'Discount Details'!B12</f>
        <v>10101</v>
      </c>
      <c r="J13" s="3" t="str">
        <f>'Discount Details'!C12</f>
        <v>Clallam County PUD</v>
      </c>
      <c r="K13" s="2">
        <f>'Discount Details'!D12</f>
        <v>4.7041187774613018</v>
      </c>
      <c r="L13" s="2">
        <f>'Discount Details'!E12</f>
        <v>11.395987328405491</v>
      </c>
      <c r="M13" s="124" cm="1">
        <f t="array" ref="M13">LOOKUP(2, 1/((K13 &gt;= $C$8:$C$20) * (K13 &lt;= $D$8:$D$20)), $B$8:$B$20)</f>
        <v>5.5E-2</v>
      </c>
      <c r="N13" s="124" cm="1">
        <f t="array" ref="N13">LOOKUP(2, 1/((L13 &gt;= $E$8:$E$20) * (L13 &lt;= $F$8:$F$20)), $B$8:$B$20)</f>
        <v>5.0000000000000001E-3</v>
      </c>
      <c r="O13" s="124">
        <f>'Discount Details'!I12</f>
        <v>0</v>
      </c>
      <c r="P13" s="125">
        <f>M13+N13+O13</f>
        <v>0.06</v>
      </c>
      <c r="Q13" s="126">
        <f>$P13*'Discount Details'!Q12</f>
        <v>1461416.2487166633</v>
      </c>
      <c r="R13" s="125">
        <f t="shared" si="5"/>
        <v>0.06</v>
      </c>
      <c r="S13" s="126">
        <f>$R13*'Discount Details'!Q12</f>
        <v>1461416.2487166633</v>
      </c>
      <c r="T13" s="127">
        <f t="shared" si="6"/>
        <v>0</v>
      </c>
      <c r="V13" s="128">
        <f>'Discount Details'!U12</f>
        <v>1240985.9645352333</v>
      </c>
      <c r="W13" s="17">
        <f t="shared" si="7"/>
        <v>220430.28418143</v>
      </c>
      <c r="X13" s="17">
        <f t="shared" si="8"/>
        <v>220430.28418143</v>
      </c>
      <c r="Y13" s="119"/>
      <c r="Z13" s="3">
        <f>VLOOKUP($I13, 'Discount Details'!$B$6:$N$58, 13, FALSE)</f>
        <v>5.0950000000000002E-2</v>
      </c>
      <c r="AA13" s="3">
        <f t="shared" si="0"/>
        <v>9.0499999999999955E-3</v>
      </c>
      <c r="AB13" s="129">
        <f t="shared" si="1"/>
        <v>9.0499999999999955E-3</v>
      </c>
    </row>
    <row r="14" spans="2:28" x14ac:dyDescent="0.25">
      <c r="B14" s="133">
        <v>0.03</v>
      </c>
      <c r="C14" s="131">
        <f t="shared" si="2"/>
        <v>18</v>
      </c>
      <c r="D14" s="131">
        <v>21</v>
      </c>
      <c r="E14" s="132">
        <f t="shared" si="3"/>
        <v>6</v>
      </c>
      <c r="F14" s="132">
        <v>7</v>
      </c>
      <c r="I14" s="18">
        <f>'Discount Details'!B13</f>
        <v>10106</v>
      </c>
      <c r="J14" s="3" t="str">
        <f>'Discount Details'!C13</f>
        <v>Clearwater Power</v>
      </c>
      <c r="K14" s="2">
        <f>'Discount Details'!D13</f>
        <v>3.8719234339899864</v>
      </c>
      <c r="L14" s="2">
        <f>'Discount Details'!E13</f>
        <v>3.6789926681542875</v>
      </c>
      <c r="M14" s="124" cm="1">
        <f t="array" ref="M14">LOOKUP(2, 1/((K14 &gt;= $C$8:$C$20) * (K14 &lt;= $D$8:$D$20)), $B$8:$B$20)</f>
        <v>5.5E-2</v>
      </c>
      <c r="N14" s="124" cm="1">
        <f t="array" ref="N14">LOOKUP(2, 1/((L14 &gt;= $E$8:$E$20) * (L14 &lt;= $F$8:$F$20)), $B$8:$B$20)</f>
        <v>4.4999999999999998E-2</v>
      </c>
      <c r="O14" s="124">
        <f>'Discount Details'!I13</f>
        <v>0</v>
      </c>
      <c r="P14" s="125">
        <f t="shared" si="4"/>
        <v>0.1</v>
      </c>
      <c r="Q14" s="126">
        <f>$P14*'Discount Details'!Q13</f>
        <v>768808.13197283214</v>
      </c>
      <c r="R14" s="125">
        <f t="shared" si="5"/>
        <v>0.08</v>
      </c>
      <c r="S14" s="126">
        <f>$R14*'Discount Details'!Q13</f>
        <v>615046.50557826564</v>
      </c>
      <c r="T14" s="127">
        <f t="shared" si="6"/>
        <v>153761.6263945665</v>
      </c>
      <c r="V14" s="128">
        <f>'Discount Details'!U13</f>
        <v>543854.8725575814</v>
      </c>
      <c r="W14" s="17">
        <f t="shared" si="7"/>
        <v>224953.25941525074</v>
      </c>
      <c r="X14" s="17">
        <f t="shared" si="8"/>
        <v>71191.633020684239</v>
      </c>
      <c r="Y14" s="119"/>
      <c r="Z14" s="3">
        <f>VLOOKUP($I14, 'Discount Details'!$B$6:$N$58, 13, FALSE)</f>
        <v>7.0739999999999997E-2</v>
      </c>
      <c r="AA14" s="3">
        <f t="shared" si="0"/>
        <v>2.9260000000000008E-2</v>
      </c>
      <c r="AB14" s="129">
        <f t="shared" si="1"/>
        <v>9.2600000000000043E-3</v>
      </c>
    </row>
    <row r="15" spans="2:28" x14ac:dyDescent="0.25">
      <c r="B15" s="133">
        <v>3.5000000000000003E-2</v>
      </c>
      <c r="C15" s="131">
        <f t="shared" si="2"/>
        <v>15</v>
      </c>
      <c r="D15" s="131">
        <v>18</v>
      </c>
      <c r="E15" s="132">
        <f t="shared" si="3"/>
        <v>5</v>
      </c>
      <c r="F15" s="132">
        <v>6</v>
      </c>
      <c r="I15" s="18">
        <f>'Discount Details'!B14</f>
        <v>10109</v>
      </c>
      <c r="J15" s="3" t="str">
        <f>'Discount Details'!C14</f>
        <v>Columbia Basin Coop.</v>
      </c>
      <c r="K15" s="2">
        <f>'Discount Details'!D14</f>
        <v>6.9927994569388687</v>
      </c>
      <c r="L15" s="2">
        <f>'Discount Details'!E14</f>
        <v>3.2062600321027288</v>
      </c>
      <c r="M15" s="124" cm="1">
        <f t="array" ref="M15">LOOKUP(2, 1/((K15 &gt;= $C$8:$C$20) * (K15 &lt;= $D$8:$D$20)), $B$8:$B$20)</f>
        <v>0.05</v>
      </c>
      <c r="N15" s="124" cm="1">
        <f t="array" ref="N15">LOOKUP(2, 1/((L15 &gt;= $E$8:$E$20) * (L15 &lt;= $F$8:$F$20)), $B$8:$B$20)</f>
        <v>4.4999999999999998E-2</v>
      </c>
      <c r="O15" s="124">
        <f>'Discount Details'!I14</f>
        <v>0</v>
      </c>
      <c r="P15" s="125">
        <f t="shared" si="4"/>
        <v>9.5000000000000001E-2</v>
      </c>
      <c r="Q15" s="126">
        <f>$P15*'Discount Details'!Q14</f>
        <v>370634.69264831586</v>
      </c>
      <c r="R15" s="125">
        <f t="shared" si="5"/>
        <v>0.08</v>
      </c>
      <c r="S15" s="126">
        <f>$R15*'Discount Details'!Q14</f>
        <v>312113.42538805545</v>
      </c>
      <c r="T15" s="127">
        <f t="shared" si="6"/>
        <v>58521.267260260414</v>
      </c>
      <c r="V15" s="128">
        <f>'Discount Details'!U14</f>
        <v>334312.49276878091</v>
      </c>
      <c r="W15" s="17">
        <f t="shared" si="7"/>
        <v>36322.19987953495</v>
      </c>
      <c r="X15" s="17">
        <f t="shared" si="8"/>
        <v>-22199.067380725464</v>
      </c>
      <c r="Y15" s="119"/>
      <c r="Z15" s="3">
        <f>VLOOKUP($I15, 'Discount Details'!$B$6:$N$58, 13, FALSE)</f>
        <v>8.5690000000000002E-2</v>
      </c>
      <c r="AA15" s="3">
        <f t="shared" si="0"/>
        <v>9.3099999999999988E-3</v>
      </c>
      <c r="AB15" s="129">
        <f t="shared" si="1"/>
        <v>-5.6900000000000006E-3</v>
      </c>
    </row>
    <row r="16" spans="2:28" x14ac:dyDescent="0.25">
      <c r="B16" s="133">
        <v>0.04</v>
      </c>
      <c r="C16" s="131">
        <f t="shared" si="2"/>
        <v>12</v>
      </c>
      <c r="D16" s="131">
        <v>15</v>
      </c>
      <c r="E16" s="132">
        <f t="shared" si="3"/>
        <v>4</v>
      </c>
      <c r="F16" s="132">
        <v>5</v>
      </c>
      <c r="I16" s="18">
        <f>'Discount Details'!B15</f>
        <v>10111</v>
      </c>
      <c r="J16" s="3" t="str">
        <f>'Discount Details'!C15</f>
        <v>Columbia Power Coop.</v>
      </c>
      <c r="K16" s="2">
        <f>'Discount Details'!D15</f>
        <v>1.4332885844081409</v>
      </c>
      <c r="L16" s="2">
        <f>'Discount Details'!E15</f>
        <v>1.881453154875717</v>
      </c>
      <c r="M16" s="124" cm="1">
        <f t="array" ref="M16">LOOKUP(2, 1/((K16 &gt;= $C$8:$C$20) * (K16 &lt;= $D$8:$D$20)), $B$8:$B$20)</f>
        <v>0.06</v>
      </c>
      <c r="N16" s="124" cm="1">
        <f t="array" ref="N16">LOOKUP(2, 1/((L16 &gt;= $E$8:$E$20) * (L16 &lt;= $F$8:$F$20)), $B$8:$B$20)</f>
        <v>5.5E-2</v>
      </c>
      <c r="O16" s="124">
        <f>'Discount Details'!I15</f>
        <v>5.0000000000000001E-3</v>
      </c>
      <c r="P16" s="125">
        <f t="shared" si="4"/>
        <v>0.12</v>
      </c>
      <c r="Q16" s="126">
        <f>$P16*'Discount Details'!Q15</f>
        <v>121191.36973591549</v>
      </c>
      <c r="R16" s="125">
        <f t="shared" si="5"/>
        <v>0.08</v>
      </c>
      <c r="S16" s="126">
        <f>$R16*'Discount Details'!Q15</f>
        <v>80794.246490610327</v>
      </c>
      <c r="T16" s="127">
        <f t="shared" si="6"/>
        <v>40397.123245305163</v>
      </c>
      <c r="V16" s="128">
        <f>'Discount Details'!U15</f>
        <v>70694.96567928404</v>
      </c>
      <c r="W16" s="17">
        <f t="shared" si="7"/>
        <v>50496.404056631451</v>
      </c>
      <c r="X16" s="17">
        <f t="shared" si="8"/>
        <v>10099.280811326287</v>
      </c>
      <c r="Y16" s="119"/>
      <c r="Z16" s="3">
        <f>VLOOKUP($I16, 'Discount Details'!$B$6:$N$58, 13, FALSE)</f>
        <v>7.0000000000000007E-2</v>
      </c>
      <c r="AA16" s="3">
        <f t="shared" si="0"/>
        <v>4.9999999999999989E-2</v>
      </c>
      <c r="AB16" s="129">
        <f t="shared" si="1"/>
        <v>9.999999999999995E-3</v>
      </c>
    </row>
    <row r="17" spans="2:28" x14ac:dyDescent="0.25">
      <c r="B17" s="133">
        <v>4.4999999999999998E-2</v>
      </c>
      <c r="C17" s="131">
        <f t="shared" si="2"/>
        <v>9</v>
      </c>
      <c r="D17" s="131">
        <v>12</v>
      </c>
      <c r="E17" s="132">
        <f t="shared" si="3"/>
        <v>3</v>
      </c>
      <c r="F17" s="132">
        <v>4</v>
      </c>
      <c r="I17" s="18">
        <f>'Discount Details'!B16</f>
        <v>10113</v>
      </c>
      <c r="J17" s="3" t="str">
        <f>'Discount Details'!C16</f>
        <v>Columbia REA</v>
      </c>
      <c r="K17" s="2">
        <f>'Discount Details'!D16</f>
        <v>4.0008804413695858</v>
      </c>
      <c r="L17" s="2">
        <f>'Discount Details'!E16</f>
        <v>4.5633187772925767</v>
      </c>
      <c r="M17" s="124" cm="1">
        <f t="array" ref="M17">LOOKUP(2, 1/((K17 &gt;= $C$8:$C$20) * (K17 &lt;= $D$8:$D$20)), $B$8:$B$20)</f>
        <v>5.5E-2</v>
      </c>
      <c r="N17" s="124" cm="1">
        <f t="array" ref="N17">LOOKUP(2, 1/((L17 &gt;= $E$8:$E$20) * (L17 &lt;= $F$8:$F$20)), $B$8:$B$20)</f>
        <v>0.04</v>
      </c>
      <c r="O17" s="124">
        <f>'Discount Details'!I16</f>
        <v>0</v>
      </c>
      <c r="P17" s="125">
        <f t="shared" si="4"/>
        <v>9.5000000000000001E-2</v>
      </c>
      <c r="Q17" s="126">
        <f>$P17*'Discount Details'!Q16</f>
        <v>1062128.5975198275</v>
      </c>
      <c r="R17" s="125">
        <f t="shared" si="5"/>
        <v>0.08</v>
      </c>
      <c r="S17" s="126">
        <f>$R17*'Discount Details'!Q16</f>
        <v>894424.08212196012</v>
      </c>
      <c r="T17" s="127">
        <f t="shared" si="6"/>
        <v>167704.51539786742</v>
      </c>
      <c r="V17" s="128">
        <f>'Discount Details'!U16</f>
        <v>903703.73197397543</v>
      </c>
      <c r="W17" s="17">
        <f t="shared" si="7"/>
        <v>158424.86554585211</v>
      </c>
      <c r="X17" s="17">
        <f t="shared" si="8"/>
        <v>-9279.6498520153109</v>
      </c>
      <c r="Y17" s="119"/>
      <c r="Z17" s="3">
        <f>VLOOKUP($I17, 'Discount Details'!$B$6:$N$58, 13, FALSE)</f>
        <v>8.0829999999999999E-2</v>
      </c>
      <c r="AA17" s="3">
        <f t="shared" si="0"/>
        <v>1.4170000000000002E-2</v>
      </c>
      <c r="AB17" s="129">
        <f t="shared" si="1"/>
        <v>-8.2999999999999741E-4</v>
      </c>
    </row>
    <row r="18" spans="2:28" x14ac:dyDescent="0.25">
      <c r="B18" s="134">
        <v>0.05</v>
      </c>
      <c r="C18" s="135">
        <v>6</v>
      </c>
      <c r="D18" s="135">
        <v>9</v>
      </c>
      <c r="E18" s="136">
        <v>2</v>
      </c>
      <c r="F18" s="136">
        <v>3</v>
      </c>
      <c r="I18" s="18">
        <f>'Discount Details'!B17</f>
        <v>10118</v>
      </c>
      <c r="J18" s="3" t="str">
        <f>'Discount Details'!C17</f>
        <v>Consumers Power</v>
      </c>
      <c r="K18" s="2">
        <f>'Discount Details'!D17</f>
        <v>3.8670976591631625</v>
      </c>
      <c r="L18" s="2">
        <f>'Discount Details'!E17</f>
        <v>7.6554208974778906</v>
      </c>
      <c r="M18" s="124" cm="1">
        <f t="array" ref="M18">LOOKUP(2, 1/((K18 &gt;= $C$8:$C$20) * (K18 &lt;= $D$8:$D$20)), $B$8:$B$20)</f>
        <v>5.5E-2</v>
      </c>
      <c r="N18" s="124" cm="1">
        <f t="array" ref="N18">LOOKUP(2, 1/((L18 &gt;= $E$8:$E$20) * (L18 &lt;= $F$8:$F$20)), $B$8:$B$20)</f>
        <v>2.5000000000000001E-2</v>
      </c>
      <c r="O18" s="124">
        <f>'Discount Details'!I17</f>
        <v>0</v>
      </c>
      <c r="P18" s="125">
        <f t="shared" si="4"/>
        <v>0.08</v>
      </c>
      <c r="Q18" s="126">
        <f>$P18*'Discount Details'!Q17</f>
        <v>1176405.8387377581</v>
      </c>
      <c r="R18" s="125">
        <f t="shared" si="5"/>
        <v>0.08</v>
      </c>
      <c r="S18" s="126">
        <f>$R18*'Discount Details'!Q17</f>
        <v>1176405.8387377581</v>
      </c>
      <c r="T18" s="127">
        <f t="shared" si="6"/>
        <v>0</v>
      </c>
      <c r="V18" s="128">
        <f>'Discount Details'!U17</f>
        <v>1029943.3118149072</v>
      </c>
      <c r="W18" s="17">
        <f t="shared" si="7"/>
        <v>146462.52692285087</v>
      </c>
      <c r="X18" s="17">
        <f t="shared" si="8"/>
        <v>146462.52692285087</v>
      </c>
      <c r="Y18" s="119"/>
      <c r="Z18" s="3">
        <f>VLOOKUP($I18, 'Discount Details'!$B$6:$N$58, 13, FALSE)</f>
        <v>7.0040000000000005E-2</v>
      </c>
      <c r="AA18" s="3">
        <f t="shared" si="0"/>
        <v>9.9599999999999966E-3</v>
      </c>
      <c r="AB18" s="129">
        <f t="shared" si="1"/>
        <v>9.9599999999999966E-3</v>
      </c>
    </row>
    <row r="19" spans="2:28" x14ac:dyDescent="0.25">
      <c r="B19" s="137">
        <v>5.5E-2</v>
      </c>
      <c r="C19" s="138">
        <v>3</v>
      </c>
      <c r="D19" s="138">
        <v>6</v>
      </c>
      <c r="E19" s="139">
        <v>1</v>
      </c>
      <c r="F19" s="139">
        <v>2</v>
      </c>
      <c r="I19" s="18">
        <f>'Discount Details'!B18</f>
        <v>10121</v>
      </c>
      <c r="J19" s="3" t="str">
        <f>'Discount Details'!C18</f>
        <v>Coos-Curry Electric</v>
      </c>
      <c r="K19" s="2">
        <f>'Discount Details'!D18</f>
        <v>3.8803511487049573</v>
      </c>
      <c r="L19" s="2">
        <f>'Discount Details'!E18</f>
        <v>9.1088861076345431</v>
      </c>
      <c r="M19" s="124" cm="1">
        <f t="array" ref="M19">LOOKUP(2, 1/((K19 &gt;= $C$8:$C$20) * (K19 &lt;= $D$8:$D$20)), $B$8:$B$20)</f>
        <v>5.5E-2</v>
      </c>
      <c r="N19" s="124" cm="1">
        <f t="array" ref="N19">LOOKUP(2, 1/((L19 &gt;= $E$8:$E$20) * (L19 &lt;= $F$8:$F$20)), $B$8:$B$20)</f>
        <v>1.4999999999999999E-2</v>
      </c>
      <c r="O19" s="124">
        <f>'Discount Details'!I18</f>
        <v>0</v>
      </c>
      <c r="P19" s="125">
        <f t="shared" si="4"/>
        <v>7.0000000000000007E-2</v>
      </c>
      <c r="Q19" s="126">
        <f>$P19*'Discount Details'!Q18</f>
        <v>890081.42294011952</v>
      </c>
      <c r="R19" s="125">
        <f t="shared" si="5"/>
        <v>7.0000000000000007E-2</v>
      </c>
      <c r="S19" s="126">
        <f>$R19*'Discount Details'!Q18</f>
        <v>890081.42294011952</v>
      </c>
      <c r="T19" s="127">
        <f t="shared" si="6"/>
        <v>0</v>
      </c>
      <c r="V19" s="128">
        <f>'Discount Details'!U18</f>
        <v>762926.93394867377</v>
      </c>
      <c r="W19" s="17">
        <f t="shared" si="7"/>
        <v>127154.48899144575</v>
      </c>
      <c r="X19" s="17">
        <f t="shared" si="8"/>
        <v>127154.48899144575</v>
      </c>
      <c r="Y19" s="119"/>
      <c r="Z19" s="3">
        <f>VLOOKUP($I19, 'Discount Details'!$B$6:$N$58, 13, FALSE)</f>
        <v>0.06</v>
      </c>
      <c r="AA19" s="3">
        <f t="shared" si="0"/>
        <v>1.0000000000000009E-2</v>
      </c>
      <c r="AB19" s="129">
        <f t="shared" si="1"/>
        <v>1.0000000000000009E-2</v>
      </c>
    </row>
    <row r="20" spans="2:28" x14ac:dyDescent="0.25">
      <c r="B20" s="137">
        <v>0.06</v>
      </c>
      <c r="C20" s="138">
        <v>0</v>
      </c>
      <c r="D20" s="138">
        <v>3</v>
      </c>
      <c r="E20" s="139">
        <v>0</v>
      </c>
      <c r="F20" s="139">
        <v>1</v>
      </c>
      <c r="I20" s="18">
        <f>'Discount Details'!B19</f>
        <v>10136</v>
      </c>
      <c r="J20" s="3" t="str">
        <f>'Discount Details'!C19</f>
        <v>Douglas Electric Coop.</v>
      </c>
      <c r="K20" s="2">
        <f>'Discount Details'!D19</f>
        <v>3.5610411913232052</v>
      </c>
      <c r="L20" s="2">
        <f>'Discount Details'!E19</f>
        <v>6.5276569297700435</v>
      </c>
      <c r="M20" s="124" cm="1">
        <f t="array" ref="M20">LOOKUP(2, 1/((K20 &gt;= $C$8:$C$20) * (K20 &lt;= $D$8:$D$20)), $B$8:$B$20)</f>
        <v>5.5E-2</v>
      </c>
      <c r="N20" s="124" cm="1">
        <f t="array" ref="N20">LOOKUP(2, 1/((L20 &gt;= $E$8:$E$20) * (L20 &lt;= $F$8:$F$20)), $B$8:$B$20)</f>
        <v>0.03</v>
      </c>
      <c r="O20" s="124">
        <f>'Discount Details'!I19</f>
        <v>0</v>
      </c>
      <c r="P20" s="125">
        <f t="shared" si="4"/>
        <v>8.4999999999999992E-2</v>
      </c>
      <c r="Q20" s="126">
        <f>$P20*'Discount Details'!Q19</f>
        <v>503429.53803725785</v>
      </c>
      <c r="R20" s="125">
        <f t="shared" si="5"/>
        <v>0.08</v>
      </c>
      <c r="S20" s="126">
        <f>$R20*'Discount Details'!Q19</f>
        <v>473816.03579977213</v>
      </c>
      <c r="T20" s="127">
        <f t="shared" si="6"/>
        <v>29613.502237485722</v>
      </c>
      <c r="V20" s="128">
        <f>'Discount Details'!U19</f>
        <v>414589.03132480069</v>
      </c>
      <c r="W20" s="17">
        <f t="shared" si="7"/>
        <v>88840.506712457165</v>
      </c>
      <c r="X20" s="17">
        <f t="shared" si="8"/>
        <v>59227.004474971443</v>
      </c>
      <c r="Y20" s="119"/>
      <c r="Z20" s="3">
        <f>VLOOKUP($I20, 'Discount Details'!$B$6:$N$58, 13, FALSE)</f>
        <v>7.0000000000000007E-2</v>
      </c>
      <c r="AA20" s="3">
        <f t="shared" si="0"/>
        <v>1.4999999999999986E-2</v>
      </c>
      <c r="AB20" s="129">
        <f t="shared" si="1"/>
        <v>9.999999999999995E-3</v>
      </c>
    </row>
    <row r="21" spans="2:28" x14ac:dyDescent="0.25">
      <c r="I21" s="18">
        <f>'Discount Details'!B20</f>
        <v>10142</v>
      </c>
      <c r="J21" s="3" t="str">
        <f>'Discount Details'!C20</f>
        <v>East End Mutual Elect.</v>
      </c>
      <c r="K21" s="2">
        <f>'Discount Details'!D20</f>
        <v>43.306109887457382</v>
      </c>
      <c r="L21" s="2">
        <f>'Discount Details'!E20</f>
        <v>5.65625</v>
      </c>
      <c r="M21" s="124" cm="1">
        <f t="array" ref="M21">LOOKUP(2, 1/((K21 &gt;= $C$8:$C$20) * (K21 &lt;= $D$8:$D$20)), $B$8:$B$20)</f>
        <v>0</v>
      </c>
      <c r="N21" s="124" cm="1">
        <f t="array" ref="N21">LOOKUP(2, 1/((L21 &gt;= $E$8:$E$20) * (L21 &lt;= $F$8:$F$20)), $B$8:$B$20)</f>
        <v>3.5000000000000003E-2</v>
      </c>
      <c r="O21" s="124">
        <f>'Discount Details'!I20</f>
        <v>0</v>
      </c>
      <c r="P21" s="125">
        <f t="shared" si="4"/>
        <v>3.5000000000000003E-2</v>
      </c>
      <c r="Q21" s="126">
        <f>$P21*'Discount Details'!Q20</f>
        <v>30336.338105766656</v>
      </c>
      <c r="R21" s="125">
        <f t="shared" si="5"/>
        <v>3.5000000000000003E-2</v>
      </c>
      <c r="S21" s="126">
        <f>$R21*'Discount Details'!Q20</f>
        <v>30336.338105766656</v>
      </c>
      <c r="T21" s="127">
        <f t="shared" si="6"/>
        <v>0</v>
      </c>
      <c r="V21" s="128">
        <f>'Discount Details'!U20</f>
        <v>32069.843140381887</v>
      </c>
      <c r="W21" s="17">
        <f t="shared" si="7"/>
        <v>-1733.5050346152311</v>
      </c>
      <c r="X21" s="17">
        <f t="shared" si="8"/>
        <v>-1733.5050346152311</v>
      </c>
      <c r="Y21" s="119"/>
      <c r="Z21" s="3">
        <f>VLOOKUP($I21, 'Discount Details'!$B$6:$N$58, 13, FALSE)</f>
        <v>3.6999999999999998E-2</v>
      </c>
      <c r="AA21" s="3">
        <f t="shared" si="0"/>
        <v>-1.9999999999999948E-3</v>
      </c>
      <c r="AB21" s="129">
        <f t="shared" si="1"/>
        <v>-1.9999999999999948E-3</v>
      </c>
    </row>
    <row r="22" spans="2:28" ht="15.75" thickBot="1" x14ac:dyDescent="0.3">
      <c r="B22" s="140" t="s">
        <v>297</v>
      </c>
      <c r="I22" s="18">
        <f>'Discount Details'!B21</f>
        <v>10157</v>
      </c>
      <c r="J22" s="3" t="str">
        <f>'Discount Details'!C21</f>
        <v>Emerald PUD</v>
      </c>
      <c r="K22" s="2">
        <f>'Discount Details'!D21</f>
        <v>6.3865724197442235</v>
      </c>
      <c r="L22" s="2">
        <f>'Discount Details'!E21</f>
        <v>10.6455</v>
      </c>
      <c r="M22" s="124" cm="1">
        <f t="array" ref="M22">LOOKUP(2, 1/((K22 &gt;= $C$8:$C$20) * (K22 &lt;= $D$8:$D$20)), $B$8:$B$20)</f>
        <v>0.05</v>
      </c>
      <c r="N22" s="124" cm="1">
        <f t="array" ref="N22">LOOKUP(2, 1/((L22 &gt;= $E$8:$E$20) * (L22 &lt;= $F$8:$F$20)), $B$8:$B$20)</f>
        <v>0.01</v>
      </c>
      <c r="O22" s="124">
        <f>'Discount Details'!I21</f>
        <v>0</v>
      </c>
      <c r="P22" s="125">
        <f t="shared" si="4"/>
        <v>6.0000000000000005E-2</v>
      </c>
      <c r="Q22" s="126">
        <f>$P22*'Discount Details'!Q21</f>
        <v>890268.02904339856</v>
      </c>
      <c r="R22" s="125">
        <f t="shared" si="5"/>
        <v>6.0000000000000005E-2</v>
      </c>
      <c r="S22" s="126">
        <f>$R22*'Discount Details'!Q21</f>
        <v>890268.02904339856</v>
      </c>
      <c r="T22" s="127">
        <f t="shared" si="6"/>
        <v>0</v>
      </c>
      <c r="V22" s="128">
        <f>'Discount Details'!U21</f>
        <v>894570.99118377501</v>
      </c>
      <c r="W22" s="17">
        <f t="shared" si="7"/>
        <v>-4302.9621403764468</v>
      </c>
      <c r="X22" s="17">
        <f t="shared" si="8"/>
        <v>-4302.9621403764468</v>
      </c>
      <c r="Y22" s="119"/>
      <c r="Z22" s="3">
        <f>VLOOKUP($I22, 'Discount Details'!$B$6:$N$58, 13, FALSE)</f>
        <v>6.0290000000000003E-2</v>
      </c>
      <c r="AA22" s="3">
        <f t="shared" si="0"/>
        <v>-2.8999999999999859E-4</v>
      </c>
      <c r="AB22" s="129">
        <f t="shared" si="1"/>
        <v>-2.8999999999999859E-4</v>
      </c>
    </row>
    <row r="23" spans="2:28" x14ac:dyDescent="0.25">
      <c r="B23" s="141" t="s">
        <v>298</v>
      </c>
      <c r="C23" s="142"/>
      <c r="D23" s="143"/>
      <c r="I23" s="18">
        <f>'Discount Details'!B22</f>
        <v>10173</v>
      </c>
      <c r="J23" s="3" t="str">
        <f>'Discount Details'!C22</f>
        <v>Fall River Electric Coop.</v>
      </c>
      <c r="K23" s="2">
        <f>'Discount Details'!D22</f>
        <v>6.1317435322721074</v>
      </c>
      <c r="L23" s="2">
        <f>'Discount Details'!E22</f>
        <v>6.1473341473341474</v>
      </c>
      <c r="M23" s="124" cm="1">
        <f t="array" ref="M23">LOOKUP(2, 1/((K23 &gt;= $C$8:$C$20) * (K23 &lt;= $D$8:$D$20)), $B$8:$B$20)</f>
        <v>0.05</v>
      </c>
      <c r="N23" s="124" cm="1">
        <f t="array" ref="N23">LOOKUP(2, 1/((L23 &gt;= $E$8:$E$20) * (L23 &lt;= $F$8:$F$20)), $B$8:$B$20)</f>
        <v>0.03</v>
      </c>
      <c r="O23" s="124">
        <f>'Discount Details'!I22</f>
        <v>0</v>
      </c>
      <c r="P23" s="125">
        <f t="shared" si="4"/>
        <v>0.08</v>
      </c>
      <c r="Q23" s="126">
        <f>$P23*'Discount Details'!Q22</f>
        <v>853318.58188076329</v>
      </c>
      <c r="R23" s="125">
        <f t="shared" si="5"/>
        <v>0.08</v>
      </c>
      <c r="S23" s="126">
        <f>$R23*'Discount Details'!Q22</f>
        <v>853318.58188076329</v>
      </c>
      <c r="T23" s="127">
        <f t="shared" si="6"/>
        <v>0</v>
      </c>
      <c r="V23" s="128">
        <f>'Discount Details'!U22</f>
        <v>904304.36714813882</v>
      </c>
      <c r="W23" s="17">
        <f t="shared" si="7"/>
        <v>-50985.785267375526</v>
      </c>
      <c r="X23" s="17">
        <f t="shared" si="8"/>
        <v>-50985.785267375526</v>
      </c>
      <c r="Y23" s="119"/>
      <c r="Z23" s="3">
        <f>VLOOKUP($I23, 'Discount Details'!$B$6:$N$58, 13, FALSE)</f>
        <v>8.4779999999999994E-2</v>
      </c>
      <c r="AA23" s="3">
        <f t="shared" si="0"/>
        <v>-4.7799999999999926E-3</v>
      </c>
      <c r="AB23" s="129">
        <f t="shared" si="1"/>
        <v>-4.7799999999999926E-3</v>
      </c>
    </row>
    <row r="24" spans="2:28" x14ac:dyDescent="0.25">
      <c r="B24" s="144" t="s">
        <v>299</v>
      </c>
      <c r="D24" s="145"/>
      <c r="I24" s="18">
        <f>'Discount Details'!B23</f>
        <v>10177</v>
      </c>
      <c r="J24" s="3" t="str">
        <f>'Discount Details'!C23</f>
        <v>Ferry County PUD</v>
      </c>
      <c r="K24" s="2">
        <f>'Discount Details'!D23</f>
        <v>7.4405757948174234</v>
      </c>
      <c r="L24" s="2">
        <f>'Discount Details'!E23</f>
        <v>5.6565809379727687</v>
      </c>
      <c r="M24" s="124" cm="1">
        <f t="array" ref="M24">LOOKUP(2, 1/((K24 &gt;= $C$8:$C$20) * (K24 &lt;= $D$8:$D$20)), $B$8:$B$20)</f>
        <v>0.05</v>
      </c>
      <c r="N24" s="124" cm="1">
        <f t="array" ref="N24">LOOKUP(2, 1/((L24 &gt;= $E$8:$E$20) * (L24 &lt;= $F$8:$F$20)), $B$8:$B$20)</f>
        <v>3.5000000000000003E-2</v>
      </c>
      <c r="O24" s="124">
        <f>'Discount Details'!I23</f>
        <v>0</v>
      </c>
      <c r="P24" s="125">
        <f t="shared" si="4"/>
        <v>8.5000000000000006E-2</v>
      </c>
      <c r="Q24" s="126">
        <f>$P24*'Discount Details'!Q23</f>
        <v>228889.05318858562</v>
      </c>
      <c r="R24" s="125">
        <f t="shared" si="5"/>
        <v>0.08</v>
      </c>
      <c r="S24" s="126">
        <f>$R24*'Discount Details'!Q23</f>
        <v>215424.99123631587</v>
      </c>
      <c r="T24" s="127">
        <f t="shared" si="6"/>
        <v>13464.061952269753</v>
      </c>
      <c r="V24" s="128">
        <f>'Discount Details'!U23</f>
        <v>188496.86733177639</v>
      </c>
      <c r="W24" s="17">
        <f t="shared" si="7"/>
        <v>40392.185856809228</v>
      </c>
      <c r="X24" s="17">
        <f t="shared" si="8"/>
        <v>26928.123904539476</v>
      </c>
      <c r="Y24" s="119"/>
      <c r="Z24" s="3">
        <f>VLOOKUP($I24, 'Discount Details'!$B$6:$N$58, 13, FALSE)</f>
        <v>7.0000000000000007E-2</v>
      </c>
      <c r="AA24" s="3">
        <f t="shared" si="0"/>
        <v>1.4999999999999999E-2</v>
      </c>
      <c r="AB24" s="129">
        <f t="shared" si="1"/>
        <v>9.999999999999995E-3</v>
      </c>
    </row>
    <row r="25" spans="2:28" x14ac:dyDescent="0.25">
      <c r="B25" s="144" t="s">
        <v>300</v>
      </c>
      <c r="D25" s="145"/>
      <c r="I25" s="18">
        <f>'Discount Details'!B24</f>
        <v>10186</v>
      </c>
      <c r="J25" s="3" t="str">
        <f>'Discount Details'!C24</f>
        <v>Glacier Electric Coop.</v>
      </c>
      <c r="K25" s="2">
        <f>'Discount Details'!D24</f>
        <v>5.449060172259526</v>
      </c>
      <c r="L25" s="2">
        <f>'Discount Details'!E24</f>
        <v>5.3452945159106298</v>
      </c>
      <c r="M25" s="124" cm="1">
        <f t="array" ref="M25">LOOKUP(2, 1/((K25 &gt;= $C$8:$C$20) * (K25 &lt;= $D$8:$D$20)), $B$8:$B$20)</f>
        <v>5.5E-2</v>
      </c>
      <c r="N25" s="124" cm="1">
        <f t="array" ref="N25">LOOKUP(2, 1/((L25 &gt;= $E$8:$E$20) * (L25 &lt;= $F$8:$F$20)), $B$8:$B$20)</f>
        <v>3.5000000000000003E-2</v>
      </c>
      <c r="O25" s="124">
        <f>'Discount Details'!I24</f>
        <v>0</v>
      </c>
      <c r="P25" s="125">
        <f t="shared" si="4"/>
        <v>0.09</v>
      </c>
      <c r="Q25" s="126">
        <f>$P25*'Discount Details'!Q24</f>
        <v>499315.484560918</v>
      </c>
      <c r="R25" s="125">
        <f t="shared" si="5"/>
        <v>0.08</v>
      </c>
      <c r="S25" s="126">
        <f>$R25*'Discount Details'!Q24</f>
        <v>443835.98627637158</v>
      </c>
      <c r="T25" s="127">
        <f t="shared" si="6"/>
        <v>55479.498284546426</v>
      </c>
      <c r="V25" s="128">
        <f>'Discount Details'!U24</f>
        <v>388356.48799182515</v>
      </c>
      <c r="W25" s="17">
        <f t="shared" si="7"/>
        <v>110958.99656909285</v>
      </c>
      <c r="X25" s="17">
        <f t="shared" si="8"/>
        <v>55479.498284546426</v>
      </c>
      <c r="Y25" s="119"/>
      <c r="Z25" s="3">
        <f>VLOOKUP($I25, 'Discount Details'!$B$6:$N$58, 13, FALSE)</f>
        <v>7.0000000000000007E-2</v>
      </c>
      <c r="AA25" s="3">
        <f t="shared" si="0"/>
        <v>1.999999999999999E-2</v>
      </c>
      <c r="AB25" s="129">
        <f t="shared" si="1"/>
        <v>9.999999999999995E-3</v>
      </c>
    </row>
    <row r="26" spans="2:28" x14ac:dyDescent="0.25">
      <c r="B26" s="144"/>
      <c r="D26" s="145"/>
      <c r="I26" s="18">
        <f>'Discount Details'!B25</f>
        <v>10197</v>
      </c>
      <c r="J26" s="3" t="str">
        <f>'Discount Details'!C25</f>
        <v>Harney Electric Coop.</v>
      </c>
      <c r="K26" s="2">
        <f>'Discount Details'!D25</f>
        <v>11.633690732223757</v>
      </c>
      <c r="L26" s="2">
        <f>'Discount Details'!E25</f>
        <v>1.3809160305343511</v>
      </c>
      <c r="M26" s="124" cm="1">
        <f t="array" ref="M26">LOOKUP(2, 1/((K26 &gt;= $C$8:$C$20) * (K26 &lt;= $D$8:$D$20)), $B$8:$B$20)</f>
        <v>4.4999999999999998E-2</v>
      </c>
      <c r="N26" s="124" cm="1">
        <f t="array" ref="N26">LOOKUP(2, 1/((L26 &gt;= $E$8:$E$20) * (L26 &lt;= $F$8:$F$20)), $B$8:$B$20)</f>
        <v>5.5E-2</v>
      </c>
      <c r="O26" s="124">
        <f>'Discount Details'!I25</f>
        <v>5.0000000000000001E-3</v>
      </c>
      <c r="P26" s="125">
        <f t="shared" si="4"/>
        <v>0.10500000000000001</v>
      </c>
      <c r="Q26" s="126">
        <f>$P26*'Discount Details'!Q25</f>
        <v>725657.7980726863</v>
      </c>
      <c r="R26" s="125">
        <f t="shared" si="5"/>
        <v>0.08</v>
      </c>
      <c r="S26" s="126">
        <f>$R26*'Discount Details'!Q25</f>
        <v>552882.13186490384</v>
      </c>
      <c r="T26" s="127">
        <f t="shared" si="6"/>
        <v>172775.66620778246</v>
      </c>
      <c r="V26" s="128">
        <f>'Discount Details'!U25</f>
        <v>600291.7746723193</v>
      </c>
      <c r="W26" s="17">
        <f t="shared" si="7"/>
        <v>125366.023400367</v>
      </c>
      <c r="X26" s="17">
        <f t="shared" si="8"/>
        <v>-47409.642807415454</v>
      </c>
      <c r="Y26" s="119"/>
      <c r="Z26" s="3">
        <f>VLOOKUP($I26, 'Discount Details'!$B$6:$N$58, 13, FALSE)</f>
        <v>8.6860000000000007E-2</v>
      </c>
      <c r="AA26" s="3">
        <f t="shared" si="0"/>
        <v>1.8140000000000003E-2</v>
      </c>
      <c r="AB26" s="129">
        <f t="shared" si="1"/>
        <v>-6.860000000000005E-3</v>
      </c>
    </row>
    <row r="27" spans="2:28" x14ac:dyDescent="0.25">
      <c r="B27" s="146" t="s">
        <v>301</v>
      </c>
      <c r="C27" s="147"/>
      <c r="D27" s="145"/>
      <c r="I27" s="18">
        <f>'Discount Details'!B26</f>
        <v>10203</v>
      </c>
      <c r="J27" s="3" t="str">
        <f>'Discount Details'!C26</f>
        <v>Idaho County L&amp;P Coop.</v>
      </c>
      <c r="K27" s="2">
        <f>'Discount Details'!D26</f>
        <v>5.3504833956253055</v>
      </c>
      <c r="L27" s="2">
        <f>'Discount Details'!E26</f>
        <v>3.9656729900632341</v>
      </c>
      <c r="M27" s="124" cm="1">
        <f t="array" ref="M27">LOOKUP(2, 1/((K27 &gt;= $C$8:$C$20) * (K27 &lt;= $D$8:$D$20)), $B$8:$B$20)</f>
        <v>5.5E-2</v>
      </c>
      <c r="N27" s="124" cm="1">
        <f t="array" ref="N27">LOOKUP(2, 1/((L27 &gt;= $E$8:$E$20) * (L27 &lt;= $F$8:$F$20)), $B$8:$B$20)</f>
        <v>4.4999999999999998E-2</v>
      </c>
      <c r="O27" s="124">
        <f>'Discount Details'!I26</f>
        <v>0</v>
      </c>
      <c r="P27" s="125">
        <f t="shared" si="4"/>
        <v>0.1</v>
      </c>
      <c r="Q27" s="126">
        <f>$P27*'Discount Details'!Q26</f>
        <v>201489.72142889208</v>
      </c>
      <c r="R27" s="125">
        <f t="shared" si="5"/>
        <v>0.08</v>
      </c>
      <c r="S27" s="126">
        <f>$R27*'Discount Details'!Q26</f>
        <v>161191.77714311366</v>
      </c>
      <c r="T27" s="127">
        <f t="shared" si="6"/>
        <v>40297.944285778416</v>
      </c>
      <c r="V27" s="128">
        <f>'Discount Details'!U26</f>
        <v>152749.35781524307</v>
      </c>
      <c r="W27" s="17">
        <f t="shared" si="7"/>
        <v>48740.363613649009</v>
      </c>
      <c r="X27" s="17">
        <f t="shared" si="8"/>
        <v>8442.4193278705934</v>
      </c>
      <c r="Y27" s="119"/>
      <c r="Z27" s="3">
        <f>VLOOKUP($I27, 'Discount Details'!$B$6:$N$58, 13, FALSE)</f>
        <v>7.5810000000000002E-2</v>
      </c>
      <c r="AA27" s="3">
        <f t="shared" si="0"/>
        <v>2.4190000000000003E-2</v>
      </c>
      <c r="AB27" s="129">
        <f t="shared" si="1"/>
        <v>4.1899999999999993E-3</v>
      </c>
    </row>
    <row r="28" spans="2:28" x14ac:dyDescent="0.25">
      <c r="B28" s="144" t="s">
        <v>299</v>
      </c>
      <c r="D28" s="145"/>
      <c r="I28" s="18">
        <f>'Discount Details'!B27</f>
        <v>10209</v>
      </c>
      <c r="J28" s="3" t="str">
        <f>'Discount Details'!C27</f>
        <v>Inland Power &amp; Light</v>
      </c>
      <c r="K28" s="2">
        <f>'Discount Details'!D27</f>
        <v>6.8150435356494796</v>
      </c>
      <c r="L28" s="2">
        <f>'Discount Details'!E27</f>
        <v>5.9793733681462138</v>
      </c>
      <c r="M28" s="124" cm="1">
        <f t="array" ref="M28">LOOKUP(2, 1/((K28 &gt;= $C$8:$C$20) * (K28 &lt;= $D$8:$D$20)), $B$8:$B$20)</f>
        <v>0.05</v>
      </c>
      <c r="N28" s="124" cm="1">
        <f t="array" ref="N28">LOOKUP(2, 1/((L28 &gt;= $E$8:$E$20) * (L28 &lt;= $F$8:$F$20)), $B$8:$B$20)</f>
        <v>3.5000000000000003E-2</v>
      </c>
      <c r="O28" s="124">
        <f>'Discount Details'!I27</f>
        <v>0</v>
      </c>
      <c r="P28" s="125">
        <f t="shared" si="4"/>
        <v>8.5000000000000006E-2</v>
      </c>
      <c r="Q28" s="126">
        <f>$P28*'Discount Details'!Q27</f>
        <v>2928863.3984869546</v>
      </c>
      <c r="R28" s="125">
        <f t="shared" si="5"/>
        <v>0.08</v>
      </c>
      <c r="S28" s="126">
        <f>$R28*'Discount Details'!Q27</f>
        <v>2756577.316223016</v>
      </c>
      <c r="T28" s="127">
        <f t="shared" si="6"/>
        <v>172286.08226393862</v>
      </c>
      <c r="V28" s="128">
        <f>'Discount Details'!U27</f>
        <v>2940923.4242454297</v>
      </c>
      <c r="W28" s="17">
        <f t="shared" si="7"/>
        <v>-12060.025758475065</v>
      </c>
      <c r="X28" s="17">
        <f t="shared" si="8"/>
        <v>-184346.10802241368</v>
      </c>
      <c r="Y28" s="119"/>
      <c r="Z28" s="3">
        <f>VLOOKUP($I28, 'Discount Details'!$B$6:$N$58, 13, FALSE)</f>
        <v>8.5349999999999995E-2</v>
      </c>
      <c r="AA28" s="3">
        <f t="shared" si="0"/>
        <v>-3.4999999999998921E-4</v>
      </c>
      <c r="AB28" s="129">
        <f t="shared" si="1"/>
        <v>-5.3499999999999936E-3</v>
      </c>
    </row>
    <row r="29" spans="2:28" x14ac:dyDescent="0.25">
      <c r="B29" s="144" t="s">
        <v>302</v>
      </c>
      <c r="D29" s="145"/>
      <c r="I29" s="18">
        <f>'Discount Details'!B28</f>
        <v>10230</v>
      </c>
      <c r="J29" s="3" t="str">
        <f>'Discount Details'!C28</f>
        <v>Kittitas County PUD</v>
      </c>
      <c r="K29" s="2">
        <f>'Discount Details'!D28</f>
        <v>2.9392365864834651</v>
      </c>
      <c r="L29" s="2">
        <f>'Discount Details'!E28</f>
        <v>6.5855263157894735</v>
      </c>
      <c r="M29" s="124" cm="1">
        <f t="array" ref="M29">LOOKUP(2, 1/((K29 &gt;= $C$8:$C$20) * (K29 &lt;= $D$8:$D$20)), $B$8:$B$20)</f>
        <v>0.06</v>
      </c>
      <c r="N29" s="124" cm="1">
        <f t="array" ref="N29">LOOKUP(2, 1/((L29 &gt;= $E$8:$E$20) * (L29 &lt;= $F$8:$F$20)), $B$8:$B$20)</f>
        <v>0.03</v>
      </c>
      <c r="O29" s="124">
        <f>'Discount Details'!I28</f>
        <v>0</v>
      </c>
      <c r="P29" s="125">
        <f t="shared" si="4"/>
        <v>0.09</v>
      </c>
      <c r="Q29" s="126">
        <f>$P29*'Discount Details'!Q28</f>
        <v>299435.6106887284</v>
      </c>
      <c r="R29" s="125">
        <f t="shared" si="5"/>
        <v>0.08</v>
      </c>
      <c r="S29" s="126">
        <f>$R29*'Discount Details'!Q28</f>
        <v>266164.98727886972</v>
      </c>
      <c r="T29" s="127">
        <f t="shared" si="6"/>
        <v>33270.623409858672</v>
      </c>
      <c r="V29" s="128">
        <f>'Discount Details'!U28</f>
        <v>296175.08959456231</v>
      </c>
      <c r="W29" s="17">
        <f t="shared" si="7"/>
        <v>3260.5210941660916</v>
      </c>
      <c r="X29" s="17">
        <f t="shared" si="8"/>
        <v>-30010.10231569258</v>
      </c>
      <c r="Y29" s="119"/>
      <c r="Z29" s="3">
        <f>VLOOKUP($I29, 'Discount Details'!$B$6:$N$58, 13, FALSE)</f>
        <v>8.9020000000000002E-2</v>
      </c>
      <c r="AA29" s="3">
        <f t="shared" si="0"/>
        <v>9.7999999999999476E-4</v>
      </c>
      <c r="AB29" s="129">
        <f t="shared" si="1"/>
        <v>-9.0200000000000002E-3</v>
      </c>
    </row>
    <row r="30" spans="2:28" x14ac:dyDescent="0.25">
      <c r="B30" s="144"/>
      <c r="D30" s="145"/>
      <c r="I30" s="18">
        <f>'Discount Details'!B29</f>
        <v>10231</v>
      </c>
      <c r="J30" s="3" t="str">
        <f>'Discount Details'!C29</f>
        <v>Klickitat</v>
      </c>
      <c r="K30" s="2">
        <f>'Discount Details'!D29</f>
        <v>4.3258258646456653</v>
      </c>
      <c r="L30" s="2">
        <f>'Discount Details'!E29</f>
        <v>6.9582919563058594</v>
      </c>
      <c r="M30" s="124" cm="1">
        <f t="array" ref="M30">LOOKUP(2, 1/((K30 &gt;= $C$8:$C$20) * (K30 &lt;= $D$8:$D$20)), $B$8:$B$20)</f>
        <v>5.5E-2</v>
      </c>
      <c r="N30" s="124" cm="1">
        <f t="array" ref="N30">LOOKUP(2, 1/((L30 &gt;= $E$8:$E$20) * (L30 &lt;= $F$8:$F$20)), $B$8:$B$20)</f>
        <v>0.03</v>
      </c>
      <c r="O30" s="124">
        <f>'Discount Details'!I29</f>
        <v>0</v>
      </c>
      <c r="P30" s="125">
        <f t="shared" si="4"/>
        <v>8.4999999999999992E-2</v>
      </c>
      <c r="Q30" s="126">
        <f>$P30*'Discount Details'!Q29</f>
        <v>998949.53232434148</v>
      </c>
      <c r="R30" s="125">
        <f t="shared" si="5"/>
        <v>0.08</v>
      </c>
      <c r="S30" s="126">
        <f>$R30*'Discount Details'!Q29</f>
        <v>940187.79512879206</v>
      </c>
      <c r="T30" s="127">
        <f t="shared" si="6"/>
        <v>58761.737195549416</v>
      </c>
      <c r="V30" s="128">
        <f>'Discount Details'!U29</f>
        <v>1276422.4553617262</v>
      </c>
      <c r="W30" s="17">
        <f t="shared" si="7"/>
        <v>-277472.92303738475</v>
      </c>
      <c r="X30" s="17">
        <f t="shared" si="8"/>
        <v>-336234.66023293417</v>
      </c>
      <c r="Y30" s="119"/>
      <c r="Z30" s="3">
        <f>VLOOKUP($I30, 'Discount Details'!$B$6:$N$58, 13, FALSE)</f>
        <v>0.10861</v>
      </c>
      <c r="AA30" s="3">
        <f t="shared" si="0"/>
        <v>-2.3610000000000006E-2</v>
      </c>
      <c r="AB30" s="129">
        <f t="shared" si="1"/>
        <v>-2.8609999999999997E-2</v>
      </c>
    </row>
    <row r="31" spans="2:28" ht="15.75" thickBot="1" x14ac:dyDescent="0.3">
      <c r="B31" s="148" t="s">
        <v>303</v>
      </c>
      <c r="C31" s="149"/>
      <c r="D31" s="150"/>
      <c r="I31" s="18">
        <f>'Discount Details'!B30</f>
        <v>10236</v>
      </c>
      <c r="J31" s="3" t="str">
        <f>'Discount Details'!C30</f>
        <v>Lane Electric Coop</v>
      </c>
      <c r="K31" s="2">
        <f>'Discount Details'!D30</f>
        <v>4.0913991689133429</v>
      </c>
      <c r="L31" s="2">
        <f>'Discount Details'!E30</f>
        <v>8.3797202797202797</v>
      </c>
      <c r="M31" s="124" cm="1">
        <f t="array" ref="M31">LOOKUP(2, 1/((K31 &gt;= $C$8:$C$20) * (K31 &lt;= $D$8:$D$20)), $B$8:$B$20)</f>
        <v>5.5E-2</v>
      </c>
      <c r="N31" s="124" cm="1">
        <f t="array" ref="N31">LOOKUP(2, 1/((L31 &gt;= $E$8:$E$20) * (L31 &lt;= $F$8:$F$20)), $B$8:$B$20)</f>
        <v>0.02</v>
      </c>
      <c r="O31" s="124">
        <f>'Discount Details'!I30</f>
        <v>0</v>
      </c>
      <c r="P31" s="125">
        <f t="shared" si="4"/>
        <v>7.4999999999999997E-2</v>
      </c>
      <c r="Q31" s="126">
        <f>$P31*'Discount Details'!Q30</f>
        <v>677882.03072201193</v>
      </c>
      <c r="R31" s="125">
        <f t="shared" si="5"/>
        <v>7.4999999999999997E-2</v>
      </c>
      <c r="S31" s="126">
        <f>$R31*'Discount Details'!Q30</f>
        <v>677882.03072201193</v>
      </c>
      <c r="T31" s="127">
        <f t="shared" si="6"/>
        <v>0</v>
      </c>
      <c r="V31" s="128">
        <f>'Discount Details'!U30</f>
        <v>587497.759959077</v>
      </c>
      <c r="W31" s="17">
        <f t="shared" si="7"/>
        <v>90384.270762934932</v>
      </c>
      <c r="X31" s="17">
        <f t="shared" si="8"/>
        <v>90384.270762934932</v>
      </c>
      <c r="Y31" s="119"/>
      <c r="Z31" s="3">
        <f>VLOOKUP($I31, 'Discount Details'!$B$6:$N$58, 13, FALSE)</f>
        <v>6.5000000000000002E-2</v>
      </c>
      <c r="AA31" s="3">
        <f t="shared" si="0"/>
        <v>9.999999999999995E-3</v>
      </c>
      <c r="AB31" s="129">
        <f t="shared" si="1"/>
        <v>9.999999999999995E-3</v>
      </c>
    </row>
    <row r="32" spans="2:28" x14ac:dyDescent="0.25">
      <c r="I32" s="18">
        <f>'Discount Details'!B31</f>
        <v>10237</v>
      </c>
      <c r="J32" s="3" t="str">
        <f>'Discount Details'!C31</f>
        <v>Lewis County PUD</v>
      </c>
      <c r="K32" s="2">
        <f>'Discount Details'!D31</f>
        <v>7.4627253381951926</v>
      </c>
      <c r="L32" s="2">
        <f>'Discount Details'!E31</f>
        <v>10.866866866866866</v>
      </c>
      <c r="M32" s="124" cm="1">
        <f t="array" ref="M32">LOOKUP(2, 1/((K32 &gt;= $C$8:$C$20) * (K32 &lt;= $D$8:$D$20)), $B$8:$B$20)</f>
        <v>0.05</v>
      </c>
      <c r="N32" s="124" cm="1">
        <f t="array" ref="N32">LOOKUP(2, 1/((L32 &gt;= $E$8:$E$20) * (L32 &lt;= $F$8:$F$20)), $B$8:$B$20)</f>
        <v>0.01</v>
      </c>
      <c r="O32" s="124">
        <f>'Discount Details'!I31</f>
        <v>0</v>
      </c>
      <c r="P32" s="125">
        <f t="shared" si="4"/>
        <v>6.0000000000000005E-2</v>
      </c>
      <c r="Q32" s="126">
        <f>$P32*'Discount Details'!Q31</f>
        <v>1999505.2071166893</v>
      </c>
      <c r="R32" s="125">
        <f t="shared" si="5"/>
        <v>6.0000000000000005E-2</v>
      </c>
      <c r="S32" s="126">
        <f>$R32*'Discount Details'!Q31</f>
        <v>1999505.2071166893</v>
      </c>
      <c r="T32" s="127">
        <f t="shared" si="6"/>
        <v>0</v>
      </c>
      <c r="V32" s="128">
        <f>'Discount Details'!U31</f>
        <v>1535619.9990656173</v>
      </c>
      <c r="W32" s="17">
        <f t="shared" si="7"/>
        <v>463885.20805107197</v>
      </c>
      <c r="X32" s="17">
        <f t="shared" si="8"/>
        <v>463885.20805107197</v>
      </c>
      <c r="Y32" s="119"/>
      <c r="Z32" s="3">
        <f>VLOOKUP($I32, 'Discount Details'!$B$6:$N$58, 13, FALSE)</f>
        <v>4.6080000000000003E-2</v>
      </c>
      <c r="AA32" s="3">
        <f t="shared" si="0"/>
        <v>1.3920000000000002E-2</v>
      </c>
      <c r="AB32" s="129">
        <f t="shared" si="1"/>
        <v>1.3920000000000002E-2</v>
      </c>
    </row>
    <row r="33" spans="2:28" x14ac:dyDescent="0.25">
      <c r="I33" s="18">
        <f>'Discount Details'!B32</f>
        <v>10239</v>
      </c>
      <c r="J33" s="3" t="str">
        <f>'Discount Details'!C32</f>
        <v>Lincoln Electric</v>
      </c>
      <c r="K33" s="2">
        <f>'Discount Details'!D32</f>
        <v>5.9728030849935081</v>
      </c>
      <c r="L33" s="2">
        <f>'Discount Details'!E32</f>
        <v>6.624113475177305</v>
      </c>
      <c r="M33" s="124" cm="1">
        <f t="array" ref="M33">LOOKUP(2, 1/((K33 &gt;= $C$8:$C$20) * (K33 &lt;= $D$8:$D$20)), $B$8:$B$20)</f>
        <v>5.5E-2</v>
      </c>
      <c r="N33" s="124" cm="1">
        <f t="array" ref="N33">LOOKUP(2, 1/((L33 &gt;= $E$8:$E$20) * (L33 &lt;= $F$8:$F$20)), $B$8:$B$20)</f>
        <v>0.03</v>
      </c>
      <c r="O33" s="124">
        <f>'Discount Details'!I32</f>
        <v>0</v>
      </c>
      <c r="P33" s="125">
        <f t="shared" si="4"/>
        <v>8.4999999999999992E-2</v>
      </c>
      <c r="Q33" s="126">
        <f>$P33*'Discount Details'!Q32</f>
        <v>383138.52415944857</v>
      </c>
      <c r="R33" s="125">
        <f t="shared" si="5"/>
        <v>0.08</v>
      </c>
      <c r="S33" s="126">
        <f>$R33*'Discount Details'!Q32</f>
        <v>360600.96391477517</v>
      </c>
      <c r="T33" s="127">
        <f t="shared" si="6"/>
        <v>22537.560244673397</v>
      </c>
      <c r="V33" s="128">
        <f>'Discount Details'!U32</f>
        <v>340091.78409212234</v>
      </c>
      <c r="W33" s="17">
        <f t="shared" si="7"/>
        <v>43046.740067326231</v>
      </c>
      <c r="X33" s="17">
        <f t="shared" si="8"/>
        <v>20509.179822652834</v>
      </c>
      <c r="Y33" s="119"/>
      <c r="Z33" s="3">
        <f>VLOOKUP($I33, 'Discount Details'!$B$6:$N$58, 13, FALSE)</f>
        <v>7.5450000000000003E-2</v>
      </c>
      <c r="AA33" s="3">
        <f t="shared" si="0"/>
        <v>9.5499999999999891E-3</v>
      </c>
      <c r="AB33" s="129">
        <f t="shared" si="1"/>
        <v>4.5499999999999985E-3</v>
      </c>
    </row>
    <row r="34" spans="2:28" x14ac:dyDescent="0.25">
      <c r="I34" s="18">
        <f>'Discount Details'!B33</f>
        <v>10242</v>
      </c>
      <c r="J34" s="3" t="str">
        <f>'Discount Details'!C33</f>
        <v>Lost River Electric</v>
      </c>
      <c r="K34" s="2">
        <f>'Discount Details'!D33</f>
        <v>10.79441301197366</v>
      </c>
      <c r="L34" s="2">
        <f>'Discount Details'!E33</f>
        <v>2.5</v>
      </c>
      <c r="M34" s="124" cm="1">
        <f t="array" ref="M34">LOOKUP(2, 1/((K34 &gt;= $C$8:$C$20) * (K34 &lt;= $D$8:$D$20)), $B$8:$B$20)</f>
        <v>4.4999999999999998E-2</v>
      </c>
      <c r="N34" s="124" cm="1">
        <f t="array" ref="N34">LOOKUP(2, 1/((L34 &gt;= $E$8:$E$20) * (L34 &lt;= $F$8:$F$20)), $B$8:$B$20)</f>
        <v>0.05</v>
      </c>
      <c r="O34" s="124">
        <f>'Discount Details'!I33</f>
        <v>5.0000000000000001E-3</v>
      </c>
      <c r="P34" s="125">
        <f t="shared" si="4"/>
        <v>0.1</v>
      </c>
      <c r="Q34" s="126">
        <f>$P34*'Discount Details'!Q33</f>
        <v>304112.79282193776</v>
      </c>
      <c r="R34" s="125">
        <f t="shared" si="5"/>
        <v>0.08</v>
      </c>
      <c r="S34" s="126">
        <f>$R34*'Discount Details'!Q33</f>
        <v>243290.23425755021</v>
      </c>
      <c r="T34" s="127">
        <f t="shared" si="6"/>
        <v>60822.558564387553</v>
      </c>
      <c r="V34" s="128">
        <f>'Discount Details'!U33</f>
        <v>252596.08571790147</v>
      </c>
      <c r="W34" s="17">
        <f t="shared" si="7"/>
        <v>51516.707104036293</v>
      </c>
      <c r="X34" s="17">
        <f t="shared" si="8"/>
        <v>-9305.8514603512594</v>
      </c>
      <c r="Y34" s="119"/>
      <c r="Z34" s="3">
        <f>VLOOKUP($I34, 'Discount Details'!$B$6:$N$58, 13, FALSE)</f>
        <v>8.3059999999999995E-2</v>
      </c>
      <c r="AA34" s="3">
        <f t="shared" si="0"/>
        <v>1.6940000000000011E-2</v>
      </c>
      <c r="AB34" s="129">
        <f t="shared" si="1"/>
        <v>-3.0599999999999933E-3</v>
      </c>
    </row>
    <row r="35" spans="2:28" x14ac:dyDescent="0.25">
      <c r="I35" s="18">
        <f>'Discount Details'!B34</f>
        <v>10244</v>
      </c>
      <c r="J35" s="3" t="str">
        <f>'Discount Details'!C34</f>
        <v>Lower Valley Energy</v>
      </c>
      <c r="K35" s="2">
        <f>'Discount Details'!D34</f>
        <v>11.055876405878353</v>
      </c>
      <c r="L35" s="2">
        <f>'Discount Details'!E34</f>
        <v>8.2903225806451619</v>
      </c>
      <c r="M35" s="124" cm="1">
        <f t="array" ref="M35">LOOKUP(2, 1/((K35 &gt;= $C$8:$C$20) * (K35 &lt;= $D$8:$D$20)), $B$8:$B$20)</f>
        <v>4.4999999999999998E-2</v>
      </c>
      <c r="N35" s="124" cm="1">
        <f t="array" ref="N35">LOOKUP(2, 1/((L35 &gt;= $E$8:$E$20) * (L35 &lt;= $F$8:$F$20)), $B$8:$B$20)</f>
        <v>0.02</v>
      </c>
      <c r="O35" s="124">
        <f>'Discount Details'!I34</f>
        <v>0</v>
      </c>
      <c r="P35" s="125">
        <f t="shared" si="4"/>
        <v>6.5000000000000002E-2</v>
      </c>
      <c r="Q35" s="126">
        <f>$P35*'Discount Details'!Q34</f>
        <v>1839703.0804292087</v>
      </c>
      <c r="R35" s="125">
        <f t="shared" si="5"/>
        <v>6.5000000000000002E-2</v>
      </c>
      <c r="S35" s="126">
        <f>$R35*'Discount Details'!Q34</f>
        <v>1839703.0804292087</v>
      </c>
      <c r="T35" s="127">
        <f t="shared" si="6"/>
        <v>0</v>
      </c>
      <c r="V35" s="128">
        <f>'Discount Details'!U34</f>
        <v>1808569.6436834836</v>
      </c>
      <c r="W35" s="17">
        <f t="shared" si="7"/>
        <v>31133.436745725106</v>
      </c>
      <c r="X35" s="17">
        <f t="shared" si="8"/>
        <v>31133.436745725106</v>
      </c>
      <c r="Y35" s="119"/>
      <c r="Z35" s="3">
        <f>VLOOKUP($I35, 'Discount Details'!$B$6:$N$58, 13, FALSE)</f>
        <v>6.3899999999999998E-2</v>
      </c>
      <c r="AA35" s="3">
        <f t="shared" si="0"/>
        <v>1.1000000000000038E-3</v>
      </c>
      <c r="AB35" s="129">
        <f t="shared" si="1"/>
        <v>1.1000000000000038E-3</v>
      </c>
    </row>
    <row r="36" spans="2:28" x14ac:dyDescent="0.25">
      <c r="B36" t="s">
        <v>365</v>
      </c>
      <c r="I36" s="18">
        <f>'Discount Details'!B35</f>
        <v>10256</v>
      </c>
      <c r="J36" s="3" t="str">
        <f>'Discount Details'!C35</f>
        <v>Midstate Electric Coop.</v>
      </c>
      <c r="K36" s="2">
        <f>'Discount Details'!D35</f>
        <v>6.6438138483271914</v>
      </c>
      <c r="L36" s="2">
        <f>'Discount Details'!E35</f>
        <v>7.6278985507246375</v>
      </c>
      <c r="M36" s="124" cm="1">
        <f t="array" ref="M36">LOOKUP(2, 1/((K36 &gt;= $C$8:$C$20) * (K36 &lt;= $D$8:$D$20)), $B$8:$B$20)</f>
        <v>0.05</v>
      </c>
      <c r="N36" s="124" cm="1">
        <f t="array" ref="N36">LOOKUP(2, 1/((L36 &gt;= $E$8:$E$20) * (L36 &lt;= $F$8:$F$20)), $B$8:$B$20)</f>
        <v>2.5000000000000001E-2</v>
      </c>
      <c r="O36" s="124">
        <f>'Discount Details'!I35</f>
        <v>0</v>
      </c>
      <c r="P36" s="125">
        <f t="shared" si="4"/>
        <v>7.5000000000000011E-2</v>
      </c>
      <c r="Q36" s="126">
        <f>$P36*'Discount Details'!Q35</f>
        <v>1121029.2469721152</v>
      </c>
      <c r="R36" s="125">
        <f t="shared" si="5"/>
        <v>7.5000000000000011E-2</v>
      </c>
      <c r="S36" s="126">
        <f>$R36*'Discount Details'!Q35</f>
        <v>1121029.2469721152</v>
      </c>
      <c r="T36" s="127">
        <f t="shared" si="6"/>
        <v>0</v>
      </c>
      <c r="V36" s="128">
        <f>'Discount Details'!U35</f>
        <v>1197109.7651999558</v>
      </c>
      <c r="W36" s="17">
        <f t="shared" si="7"/>
        <v>-76080.518227840541</v>
      </c>
      <c r="X36" s="17">
        <f t="shared" si="8"/>
        <v>-76080.518227840541</v>
      </c>
      <c r="Y36" s="119"/>
      <c r="Z36" s="3">
        <f>VLOOKUP($I36, 'Discount Details'!$B$6:$N$58, 13, FALSE)</f>
        <v>8.0089999999999995E-2</v>
      </c>
      <c r="AA36" s="3">
        <f t="shared" si="0"/>
        <v>-5.0899999999999834E-3</v>
      </c>
      <c r="AB36" s="129">
        <f t="shared" si="1"/>
        <v>-5.0899999999999834E-3</v>
      </c>
    </row>
    <row r="37" spans="2:28" ht="30" x14ac:dyDescent="0.25">
      <c r="B37" s="280" t="s">
        <v>292</v>
      </c>
      <c r="C37" s="280" t="s">
        <v>293</v>
      </c>
      <c r="D37" s="280" t="s">
        <v>294</v>
      </c>
      <c r="E37" s="280" t="s">
        <v>295</v>
      </c>
      <c r="F37" s="280" t="s">
        <v>296</v>
      </c>
      <c r="I37" s="18">
        <f>'Discount Details'!B36</f>
        <v>10258</v>
      </c>
      <c r="J37" s="3" t="str">
        <f>'Discount Details'!C36</f>
        <v>Mission Valley Power</v>
      </c>
      <c r="K37" s="2">
        <f>'Discount Details'!D36</f>
        <v>10.012788594555188</v>
      </c>
      <c r="L37" s="2">
        <f>'Discount Details'!E36</f>
        <v>10.017282765242438</v>
      </c>
      <c r="M37" s="124" cm="1">
        <f t="array" ref="M37">LOOKUP(2, 1/((K37 &gt;= $C$8:$C$20) * (K37 &lt;= $D$8:$D$20)), $B$8:$B$20)</f>
        <v>4.4999999999999998E-2</v>
      </c>
      <c r="N37" s="124" cm="1">
        <f t="array" ref="N37">LOOKUP(2, 1/((L37 &gt;= $E$8:$E$20) * (L37 &lt;= $F$8:$F$20)), $B$8:$B$20)</f>
        <v>0.01</v>
      </c>
      <c r="O37" s="124">
        <f>'Discount Details'!I36</f>
        <v>0</v>
      </c>
      <c r="P37" s="125">
        <f t="shared" si="4"/>
        <v>5.5E-2</v>
      </c>
      <c r="Q37" s="126">
        <f>$P37*'Discount Details'!Q36</f>
        <v>697453.59135360236</v>
      </c>
      <c r="R37" s="125">
        <f t="shared" si="5"/>
        <v>5.5E-2</v>
      </c>
      <c r="S37" s="126">
        <f>$R37*'Discount Details'!Q36</f>
        <v>697453.59135360236</v>
      </c>
      <c r="T37" s="127">
        <f t="shared" si="6"/>
        <v>0</v>
      </c>
      <c r="V37" s="128">
        <f>'Discount Details'!U36</f>
        <v>688450.09953794675</v>
      </c>
      <c r="W37" s="17">
        <f t="shared" si="7"/>
        <v>9003.4918156556087</v>
      </c>
      <c r="X37" s="17">
        <f t="shared" si="8"/>
        <v>9003.4918156556087</v>
      </c>
      <c r="Y37" s="119"/>
      <c r="Z37" s="3">
        <f>VLOOKUP($I37, 'Discount Details'!$B$6:$N$58, 13, FALSE)</f>
        <v>5.4289999999999998E-2</v>
      </c>
      <c r="AA37" s="3">
        <f t="shared" si="0"/>
        <v>7.100000000000023E-4</v>
      </c>
      <c r="AB37" s="129">
        <f t="shared" si="1"/>
        <v>7.100000000000023E-4</v>
      </c>
    </row>
    <row r="38" spans="2:28" x14ac:dyDescent="0.25">
      <c r="B38" s="281">
        <v>0</v>
      </c>
      <c r="C38" s="282">
        <f t="shared" ref="C38:C47" si="9">D39</f>
        <v>35</v>
      </c>
      <c r="D38" s="282"/>
      <c r="E38" s="282">
        <f t="shared" ref="E38:E47" si="10">F39</f>
        <v>12</v>
      </c>
      <c r="F38" s="282"/>
      <c r="I38" s="18">
        <f>'Discount Details'!B37</f>
        <v>10259</v>
      </c>
      <c r="J38" s="3" t="str">
        <f>'Discount Details'!C37</f>
        <v>Missoula Electric Coop.</v>
      </c>
      <c r="K38" s="2">
        <f>'Discount Details'!D37</f>
        <v>4.7421049133703139</v>
      </c>
      <c r="L38" s="2">
        <f>'Discount Details'!E37</f>
        <v>7.9613861386138618</v>
      </c>
      <c r="M38" s="124" cm="1">
        <f t="array" ref="M38">LOOKUP(2, 1/((K38 &gt;= $C$8:$C$20) * (K38 &lt;= $D$8:$D$20)), $B$8:$B$20)</f>
        <v>5.5E-2</v>
      </c>
      <c r="N38" s="124" cm="1">
        <f t="array" ref="N38">LOOKUP(2, 1/((L38 &gt;= $E$8:$E$20) * (L38 &lt;= $F$8:$F$20)), $B$8:$B$20)</f>
        <v>2.5000000000000001E-2</v>
      </c>
      <c r="O38" s="124">
        <f>'Discount Details'!I37</f>
        <v>0</v>
      </c>
      <c r="P38" s="125">
        <f t="shared" si="4"/>
        <v>0.08</v>
      </c>
      <c r="Q38" s="126">
        <f>$P38*'Discount Details'!Q37</f>
        <v>702708.49018248217</v>
      </c>
      <c r="R38" s="125">
        <f t="shared" si="5"/>
        <v>0.08</v>
      </c>
      <c r="S38" s="126">
        <f>$R38*'Discount Details'!Q37</f>
        <v>702708.49018248217</v>
      </c>
      <c r="T38" s="127">
        <f t="shared" si="6"/>
        <v>0</v>
      </c>
      <c r="V38" s="128">
        <f>'Discount Details'!U37</f>
        <v>708154.48098139639</v>
      </c>
      <c r="W38" s="17">
        <f t="shared" si="7"/>
        <v>-5445.990798914223</v>
      </c>
      <c r="X38" s="17">
        <f t="shared" si="8"/>
        <v>-5445.990798914223</v>
      </c>
      <c r="Y38" s="119"/>
      <c r="Z38" s="3">
        <f>VLOOKUP($I38, 'Discount Details'!$B$6:$N$58, 13, FALSE)</f>
        <v>8.0619999999999997E-2</v>
      </c>
      <c r="AA38" s="3">
        <f t="shared" si="0"/>
        <v>-6.1999999999999555E-4</v>
      </c>
      <c r="AB38" s="129">
        <f t="shared" si="1"/>
        <v>-6.1999999999999555E-4</v>
      </c>
    </row>
    <row r="39" spans="2:28" x14ac:dyDescent="0.25">
      <c r="B39" s="281">
        <v>5.0000000000000001E-3</v>
      </c>
      <c r="C39" s="282">
        <f t="shared" si="9"/>
        <v>31.5</v>
      </c>
      <c r="D39" s="282">
        <v>35</v>
      </c>
      <c r="E39" s="282">
        <f t="shared" si="10"/>
        <v>10.8</v>
      </c>
      <c r="F39" s="282">
        <v>12</v>
      </c>
      <c r="I39" s="18">
        <f>'Discount Details'!B38</f>
        <v>10273</v>
      </c>
      <c r="J39" s="3" t="str">
        <f>'Discount Details'!C38</f>
        <v>Nespelem Valley Electric</v>
      </c>
      <c r="K39" s="2">
        <f>'Discount Details'!D38</f>
        <v>11.554644154413026</v>
      </c>
      <c r="L39" s="2">
        <f>'Discount Details'!E38</f>
        <v>3.6318289786223277</v>
      </c>
      <c r="M39" s="124" cm="1">
        <f t="array" ref="M39">LOOKUP(2, 1/((K39 &gt;= $C$8:$C$20) * (K39 &lt;= $D$8:$D$20)), $B$8:$B$20)</f>
        <v>4.4999999999999998E-2</v>
      </c>
      <c r="N39" s="124" cm="1">
        <f t="array" ref="N39">LOOKUP(2, 1/((L39 &gt;= $E$8:$E$20) * (L39 &lt;= $F$8:$F$20)), $B$8:$B$20)</f>
        <v>4.4999999999999998E-2</v>
      </c>
      <c r="O39" s="124">
        <f>'Discount Details'!I38</f>
        <v>0</v>
      </c>
      <c r="P39" s="125">
        <f t="shared" si="4"/>
        <v>0.09</v>
      </c>
      <c r="Q39" s="126">
        <f>$P39*'Discount Details'!Q38</f>
        <v>182893.51101222596</v>
      </c>
      <c r="R39" s="125">
        <f t="shared" si="5"/>
        <v>0.08</v>
      </c>
      <c r="S39" s="126">
        <f>$R39*'Discount Details'!Q38</f>
        <v>162572.00978864531</v>
      </c>
      <c r="T39" s="127">
        <f t="shared" si="6"/>
        <v>20321.50122358065</v>
      </c>
      <c r="V39" s="128">
        <f>'Discount Details'!U38</f>
        <v>195553.80627451674</v>
      </c>
      <c r="W39" s="17">
        <f t="shared" si="7"/>
        <v>-12660.295262290776</v>
      </c>
      <c r="X39" s="17">
        <f t="shared" si="8"/>
        <v>-32981.796485871426</v>
      </c>
      <c r="Y39" s="119"/>
      <c r="Z39" s="3">
        <f>VLOOKUP($I39, 'Discount Details'!$B$6:$N$58, 13, FALSE)</f>
        <v>9.6229999999999996E-2</v>
      </c>
      <c r="AA39" s="3">
        <f t="shared" si="0"/>
        <v>-6.2299999999999994E-3</v>
      </c>
      <c r="AB39" s="129">
        <f t="shared" si="1"/>
        <v>-1.6229999999999994E-2</v>
      </c>
    </row>
    <row r="40" spans="2:28" x14ac:dyDescent="0.25">
      <c r="B40" s="281">
        <v>0.01</v>
      </c>
      <c r="C40" s="282">
        <f t="shared" si="9"/>
        <v>28</v>
      </c>
      <c r="D40" s="282">
        <v>31.5</v>
      </c>
      <c r="E40" s="282">
        <f t="shared" si="10"/>
        <v>9.6</v>
      </c>
      <c r="F40" s="282">
        <v>10.8</v>
      </c>
      <c r="I40" s="18">
        <f>'Discount Details'!B39</f>
        <v>10278</v>
      </c>
      <c r="J40" s="3" t="str">
        <f>'Discount Details'!C39</f>
        <v>Northern Lights</v>
      </c>
      <c r="K40" s="2">
        <f>'Discount Details'!D39</f>
        <v>5.0461081736048756</v>
      </c>
      <c r="L40" s="2">
        <f>'Discount Details'!E39</f>
        <v>7.8339124391938846</v>
      </c>
      <c r="M40" s="124" cm="1">
        <f t="array" ref="M40">LOOKUP(2, 1/((K40 &gt;= $C$8:$C$20) * (K40 &lt;= $D$8:$D$20)), $B$8:$B$20)</f>
        <v>5.5E-2</v>
      </c>
      <c r="N40" s="124" cm="1">
        <f t="array" ref="N40">LOOKUP(2, 1/((L40 &gt;= $E$8:$E$20) * (L40 &lt;= $F$8:$F$20)), $B$8:$B$20)</f>
        <v>2.5000000000000001E-2</v>
      </c>
      <c r="O40" s="124">
        <f>'Discount Details'!I39</f>
        <v>0</v>
      </c>
      <c r="P40" s="125">
        <f t="shared" si="4"/>
        <v>0.08</v>
      </c>
      <c r="Q40" s="126">
        <f>$P40*'Discount Details'!Q39</f>
        <v>925380.55746556853</v>
      </c>
      <c r="R40" s="125">
        <f t="shared" si="5"/>
        <v>0.08</v>
      </c>
      <c r="S40" s="126">
        <f>$R40*'Discount Details'!Q39</f>
        <v>925380.55746556853</v>
      </c>
      <c r="T40" s="127">
        <f t="shared" si="6"/>
        <v>0</v>
      </c>
      <c r="V40" s="128">
        <f>'Discount Details'!U39</f>
        <v>827290.21837421821</v>
      </c>
      <c r="W40" s="17">
        <f t="shared" si="7"/>
        <v>98090.339091350324</v>
      </c>
      <c r="X40" s="17">
        <f t="shared" si="8"/>
        <v>98090.339091350324</v>
      </c>
      <c r="Y40" s="119"/>
      <c r="Z40" s="3">
        <f>VLOOKUP($I40, 'Discount Details'!$B$6:$N$58, 13, FALSE)</f>
        <v>7.152E-2</v>
      </c>
      <c r="AA40" s="3">
        <f t="shared" si="0"/>
        <v>8.4800000000000014E-3</v>
      </c>
      <c r="AB40" s="129">
        <f t="shared" si="1"/>
        <v>8.4800000000000014E-3</v>
      </c>
    </row>
    <row r="41" spans="2:28" x14ac:dyDescent="0.25">
      <c r="B41" s="281">
        <v>1.4999999999999999E-2</v>
      </c>
      <c r="C41" s="282">
        <f t="shared" si="9"/>
        <v>24.5</v>
      </c>
      <c r="D41" s="282">
        <v>28</v>
      </c>
      <c r="E41" s="282">
        <f t="shared" si="10"/>
        <v>8.4</v>
      </c>
      <c r="F41" s="282">
        <v>9.6</v>
      </c>
      <c r="I41" s="18">
        <f>'Discount Details'!B40</f>
        <v>10284</v>
      </c>
      <c r="J41" s="3" t="str">
        <f>'Discount Details'!C40</f>
        <v>Ohop Mutual Light</v>
      </c>
      <c r="K41" s="2">
        <f>'Discount Details'!D40</f>
        <v>8.7650848429018282</v>
      </c>
      <c r="L41" s="2">
        <f>'Discount Details'!E40</f>
        <v>10.168122270742359</v>
      </c>
      <c r="M41" s="124" cm="1">
        <f t="array" ref="M41">LOOKUP(2, 1/((K41 &gt;= $C$8:$C$20) * (K41 &lt;= $D$8:$D$20)), $B$8:$B$20)</f>
        <v>0.05</v>
      </c>
      <c r="N41" s="124" cm="1">
        <f t="array" ref="N41">LOOKUP(2, 1/((L41 &gt;= $E$8:$E$20) * (L41 &lt;= $F$8:$F$20)), $B$8:$B$20)</f>
        <v>0.01</v>
      </c>
      <c r="O41" s="124">
        <f>'Discount Details'!I40</f>
        <v>0</v>
      </c>
      <c r="P41" s="125">
        <f t="shared" si="4"/>
        <v>6.0000000000000005E-2</v>
      </c>
      <c r="Q41" s="126">
        <f>$P41*'Discount Details'!Q40</f>
        <v>198271.79755068806</v>
      </c>
      <c r="R41" s="125">
        <f t="shared" si="5"/>
        <v>6.0000000000000005E-2</v>
      </c>
      <c r="S41" s="126">
        <f>$R41*'Discount Details'!Q40</f>
        <v>198271.79755068806</v>
      </c>
      <c r="T41" s="127">
        <f t="shared" si="6"/>
        <v>0</v>
      </c>
      <c r="V41" s="128">
        <f>'Discount Details'!U40</f>
        <v>176461.89982011239</v>
      </c>
      <c r="W41" s="17">
        <f t="shared" si="7"/>
        <v>21809.897730575671</v>
      </c>
      <c r="X41" s="17">
        <f t="shared" si="8"/>
        <v>21809.897730575671</v>
      </c>
      <c r="Y41" s="119"/>
      <c r="Z41" s="3">
        <f>VLOOKUP($I41, 'Discount Details'!$B$6:$N$58, 13, FALSE)</f>
        <v>5.3400000000000003E-2</v>
      </c>
      <c r="AA41" s="3">
        <f t="shared" si="0"/>
        <v>6.6000000000000017E-3</v>
      </c>
      <c r="AB41" s="129">
        <f t="shared" si="1"/>
        <v>6.6000000000000017E-3</v>
      </c>
    </row>
    <row r="42" spans="2:28" x14ac:dyDescent="0.25">
      <c r="B42" s="281">
        <v>0.02</v>
      </c>
      <c r="C42" s="282">
        <f t="shared" si="9"/>
        <v>21</v>
      </c>
      <c r="D42" s="282">
        <v>24.5</v>
      </c>
      <c r="E42" s="282">
        <f t="shared" si="10"/>
        <v>7.2</v>
      </c>
      <c r="F42" s="282">
        <v>8.4</v>
      </c>
      <c r="I42" s="18">
        <f>'Discount Details'!B41</f>
        <v>10285</v>
      </c>
      <c r="J42" s="3" t="str">
        <f>'Discount Details'!C41</f>
        <v>Okanogan County</v>
      </c>
      <c r="K42" s="2">
        <f>'Discount Details'!D41</f>
        <v>6.8162112194036455</v>
      </c>
      <c r="L42" s="2">
        <f>'Discount Details'!E41</f>
        <v>8.0066079295154182</v>
      </c>
      <c r="M42" s="124" cm="1">
        <f t="array" ref="M42">LOOKUP(2, 1/((K42 &gt;= $C$8:$C$20) * (K42 &lt;= $D$8:$D$20)), $B$8:$B$20)</f>
        <v>0.05</v>
      </c>
      <c r="N42" s="124" cm="1">
        <f t="array" ref="N42">LOOKUP(2, 1/((L42 &gt;= $E$8:$E$20) * (L42 &lt;= $F$8:$F$20)), $B$8:$B$20)</f>
        <v>0.02</v>
      </c>
      <c r="O42" s="124">
        <f>'Discount Details'!I41</f>
        <v>0</v>
      </c>
      <c r="P42" s="125">
        <f t="shared" si="4"/>
        <v>7.0000000000000007E-2</v>
      </c>
      <c r="Q42" s="126">
        <f>$P42*'Discount Details'!Q41</f>
        <v>147137.1459957234</v>
      </c>
      <c r="R42" s="125">
        <f t="shared" si="5"/>
        <v>7.0000000000000007E-2</v>
      </c>
      <c r="S42" s="126">
        <f>$R42*'Discount Details'!Q41</f>
        <v>147137.1459957234</v>
      </c>
      <c r="T42" s="127">
        <f t="shared" si="6"/>
        <v>0</v>
      </c>
      <c r="V42" s="128">
        <f>'Discount Details'!U41</f>
        <v>162859.80102498067</v>
      </c>
      <c r="W42" s="17">
        <f t="shared" si="7"/>
        <v>-15722.655029257265</v>
      </c>
      <c r="X42" s="17">
        <f t="shared" si="8"/>
        <v>-15722.655029257265</v>
      </c>
      <c r="Y42" s="119"/>
      <c r="Z42" s="3">
        <f>VLOOKUP($I42, 'Discount Details'!$B$6:$N$58, 13, FALSE)</f>
        <v>7.7479999999999993E-2</v>
      </c>
      <c r="AA42" s="3">
        <f t="shared" si="0"/>
        <v>-7.4799999999999867E-3</v>
      </c>
      <c r="AB42" s="129">
        <f t="shared" si="1"/>
        <v>-7.4799999999999867E-3</v>
      </c>
    </row>
    <row r="43" spans="2:28" x14ac:dyDescent="0.25">
      <c r="B43" s="281">
        <v>2.5000000000000001E-2</v>
      </c>
      <c r="C43" s="282">
        <f t="shared" si="9"/>
        <v>17.5</v>
      </c>
      <c r="D43" s="282">
        <v>21</v>
      </c>
      <c r="E43" s="282">
        <f t="shared" si="10"/>
        <v>6</v>
      </c>
      <c r="F43" s="282">
        <v>7.2</v>
      </c>
      <c r="I43" s="18">
        <f>'Discount Details'!B42</f>
        <v>10288</v>
      </c>
      <c r="J43" s="3" t="str">
        <f>'Discount Details'!C42</f>
        <v>Orcas Power &amp; Light</v>
      </c>
      <c r="K43" s="2">
        <f>'Discount Details'!D42</f>
        <v>2.3904525282375002</v>
      </c>
      <c r="L43" s="2">
        <f>'Discount Details'!E42</f>
        <v>10.620740740740741</v>
      </c>
      <c r="M43" s="124" cm="1">
        <f t="array" ref="M43">LOOKUP(2, 1/((K43 &gt;= $C$8:$C$20) * (K43 &lt;= $D$8:$D$20)), $B$8:$B$20)</f>
        <v>0.06</v>
      </c>
      <c r="N43" s="124" cm="1">
        <f t="array" ref="N43">LOOKUP(2, 1/((L43 &gt;= $E$8:$E$20) * (L43 &lt;= $F$8:$F$20)), $B$8:$B$20)</f>
        <v>0.01</v>
      </c>
      <c r="O43" s="124">
        <f>'Discount Details'!I42</f>
        <v>0</v>
      </c>
      <c r="P43" s="125">
        <f t="shared" si="4"/>
        <v>6.9999999999999993E-2</v>
      </c>
      <c r="Q43" s="126">
        <f>$P43*'Discount Details'!Q42</f>
        <v>554688.14840527298</v>
      </c>
      <c r="R43" s="125">
        <f t="shared" si="5"/>
        <v>6.9999999999999993E-2</v>
      </c>
      <c r="S43" s="126">
        <f>$R43*'Discount Details'!Q42</f>
        <v>554688.14840527298</v>
      </c>
      <c r="T43" s="127">
        <f t="shared" si="6"/>
        <v>0</v>
      </c>
      <c r="V43" s="128">
        <f>'Discount Details'!U42</f>
        <v>475446.98434737686</v>
      </c>
      <c r="W43" s="17">
        <f t="shared" si="7"/>
        <v>79241.164057896123</v>
      </c>
      <c r="X43" s="17">
        <f t="shared" si="8"/>
        <v>79241.164057896123</v>
      </c>
      <c r="Y43" s="119"/>
      <c r="Z43" s="3">
        <f>VLOOKUP($I43, 'Discount Details'!$B$6:$N$58, 13, FALSE)</f>
        <v>0.06</v>
      </c>
      <c r="AA43" s="3">
        <f t="shared" si="0"/>
        <v>9.999999999999995E-3</v>
      </c>
      <c r="AB43" s="129">
        <f t="shared" si="1"/>
        <v>9.999999999999995E-3</v>
      </c>
    </row>
    <row r="44" spans="2:28" x14ac:dyDescent="0.25">
      <c r="B44" s="281">
        <v>0.03</v>
      </c>
      <c r="C44" s="282">
        <f t="shared" si="9"/>
        <v>14</v>
      </c>
      <c r="D44" s="282">
        <v>17.5</v>
      </c>
      <c r="E44" s="282">
        <f t="shared" si="10"/>
        <v>4.8</v>
      </c>
      <c r="F44" s="282">
        <v>6</v>
      </c>
      <c r="I44" s="18">
        <f>'Discount Details'!B43</f>
        <v>10291</v>
      </c>
      <c r="J44" s="3" t="str">
        <f>'Discount Details'!C43</f>
        <v>Oregon Trail Electric Coop.</v>
      </c>
      <c r="K44" s="2">
        <f>'Discount Details'!D43</f>
        <v>6.840863816777528</v>
      </c>
      <c r="L44" s="2">
        <f>'Discount Details'!E43</f>
        <v>11.235882773409578</v>
      </c>
      <c r="M44" s="124" cm="1">
        <f t="array" ref="M44">LOOKUP(2, 1/((K44 &gt;= $C$8:$C$20) * (K44 &lt;= $D$8:$D$20)), $B$8:$B$20)</f>
        <v>0.05</v>
      </c>
      <c r="N44" s="124" cm="1">
        <f t="array" ref="N44">LOOKUP(2, 1/((L44 &gt;= $E$8:$E$20) * (L44 &lt;= $F$8:$F$20)), $B$8:$B$20)</f>
        <v>5.0000000000000001E-3</v>
      </c>
      <c r="O44" s="124">
        <f>'Discount Details'!I43</f>
        <v>0</v>
      </c>
      <c r="P44" s="125">
        <f t="shared" si="4"/>
        <v>5.5E-2</v>
      </c>
      <c r="Q44" s="126">
        <f>$P44*'Discount Details'!Q43</f>
        <v>1371727.2463865329</v>
      </c>
      <c r="R44" s="125">
        <f t="shared" si="5"/>
        <v>5.5E-2</v>
      </c>
      <c r="S44" s="126">
        <f>$R44*'Discount Details'!Q43</f>
        <v>1371727.2463865329</v>
      </c>
      <c r="T44" s="127">
        <f t="shared" si="6"/>
        <v>0</v>
      </c>
      <c r="V44" s="128">
        <f>'Discount Details'!U43</f>
        <v>1247024.7694423029</v>
      </c>
      <c r="W44" s="17">
        <f t="shared" si="7"/>
        <v>124702.47694423003</v>
      </c>
      <c r="X44" s="17">
        <f t="shared" si="8"/>
        <v>124702.47694423003</v>
      </c>
      <c r="Y44" s="119"/>
      <c r="Z44" s="3">
        <f>VLOOKUP($I44, 'Discount Details'!$B$6:$N$58, 13, FALSE)</f>
        <v>0.05</v>
      </c>
      <c r="AA44" s="3">
        <f t="shared" si="0"/>
        <v>4.9999999999999975E-3</v>
      </c>
      <c r="AB44" s="129">
        <f t="shared" si="1"/>
        <v>4.9999999999999975E-3</v>
      </c>
    </row>
    <row r="45" spans="2:28" x14ac:dyDescent="0.25">
      <c r="B45" s="281">
        <v>3.5000000000000003E-2</v>
      </c>
      <c r="C45" s="282">
        <f t="shared" si="9"/>
        <v>10.5</v>
      </c>
      <c r="D45" s="282">
        <v>14</v>
      </c>
      <c r="E45" s="282">
        <f t="shared" si="10"/>
        <v>3.6</v>
      </c>
      <c r="F45" s="282">
        <v>4.8</v>
      </c>
      <c r="I45" s="18">
        <f>'Discount Details'!B44</f>
        <v>10331</v>
      </c>
      <c r="J45" s="3" t="str">
        <f>'Discount Details'!C44</f>
        <v>Raft River Electric</v>
      </c>
      <c r="K45" s="2">
        <f>'Discount Details'!D44</f>
        <v>7.0858544576333129</v>
      </c>
      <c r="L45" s="2">
        <f>'Discount Details'!E44</f>
        <v>2.5455868089233755</v>
      </c>
      <c r="M45" s="124" cm="1">
        <f t="array" ref="M45">LOOKUP(2, 1/((K45 &gt;= $C$8:$C$20) * (K45 &lt;= $D$8:$D$20)), $B$8:$B$20)</f>
        <v>0.05</v>
      </c>
      <c r="N45" s="124" cm="1">
        <f t="array" ref="N45">LOOKUP(2, 1/((L45 &gt;= $E$8:$E$20) * (L45 &lt;= $F$8:$F$20)), $B$8:$B$20)</f>
        <v>0.05</v>
      </c>
      <c r="O45" s="124">
        <f>'Discount Details'!I44</f>
        <v>5.0000000000000001E-3</v>
      </c>
      <c r="P45" s="125">
        <f t="shared" si="4"/>
        <v>0.10500000000000001</v>
      </c>
      <c r="Q45" s="126">
        <f>$P45*'Discount Details'!Q44</f>
        <v>1195364.5001138521</v>
      </c>
      <c r="R45" s="125">
        <f t="shared" si="5"/>
        <v>0.08</v>
      </c>
      <c r="S45" s="126">
        <f>$R45*'Discount Details'!Q44</f>
        <v>910753.90484864917</v>
      </c>
      <c r="T45" s="127">
        <f t="shared" si="6"/>
        <v>284610.59526520292</v>
      </c>
      <c r="V45" s="128">
        <f>'Discount Details'!U44</f>
        <v>796909.66674256814</v>
      </c>
      <c r="W45" s="17">
        <f t="shared" si="7"/>
        <v>398454.83337128395</v>
      </c>
      <c r="X45" s="17">
        <f t="shared" si="8"/>
        <v>113844.23810608103</v>
      </c>
      <c r="Y45" s="119"/>
      <c r="Z45" s="3">
        <f>VLOOKUP($I45, 'Discount Details'!$B$6:$N$58, 13, FALSE)</f>
        <v>7.0000000000000007E-2</v>
      </c>
      <c r="AA45" s="3">
        <f t="shared" si="0"/>
        <v>3.5000000000000003E-2</v>
      </c>
      <c r="AB45" s="129">
        <f t="shared" si="1"/>
        <v>9.999999999999995E-3</v>
      </c>
    </row>
    <row r="46" spans="2:28" x14ac:dyDescent="0.25">
      <c r="B46" s="281">
        <v>0.04</v>
      </c>
      <c r="C46" s="282">
        <f t="shared" si="9"/>
        <v>7</v>
      </c>
      <c r="D46" s="282">
        <v>10.5</v>
      </c>
      <c r="E46" s="282">
        <f t="shared" si="10"/>
        <v>2.4</v>
      </c>
      <c r="F46" s="282">
        <v>3.6</v>
      </c>
      <c r="I46" s="18">
        <f>'Discount Details'!B45</f>
        <v>10333</v>
      </c>
      <c r="J46" s="3" t="str">
        <f>'Discount Details'!C45</f>
        <v>Ravalli Electric Coop.</v>
      </c>
      <c r="K46" s="2">
        <f>'Discount Details'!D45</f>
        <v>5.3709514110013439</v>
      </c>
      <c r="L46" s="2">
        <f>'Discount Details'!E45</f>
        <v>8.7959489872468115</v>
      </c>
      <c r="M46" s="124" cm="1">
        <f t="array" ref="M46">LOOKUP(2, 1/((K46 &gt;= $C$8:$C$20) * (K46 &lt;= $D$8:$D$20)), $B$8:$B$20)</f>
        <v>5.5E-2</v>
      </c>
      <c r="N46" s="124" cm="1">
        <f t="array" ref="N46">LOOKUP(2, 1/((L46 &gt;= $E$8:$E$20) * (L46 &lt;= $F$8:$F$20)), $B$8:$B$20)</f>
        <v>0.02</v>
      </c>
      <c r="O46" s="124">
        <f>'Discount Details'!I45</f>
        <v>0</v>
      </c>
      <c r="P46" s="125">
        <f t="shared" si="4"/>
        <v>7.4999999999999997E-2</v>
      </c>
      <c r="Q46" s="126">
        <f>$P46*'Discount Details'!Q45</f>
        <v>447084.20364282205</v>
      </c>
      <c r="R46" s="125">
        <f t="shared" si="5"/>
        <v>7.4999999999999997E-2</v>
      </c>
      <c r="S46" s="126">
        <f>$R46*'Discount Details'!Q45</f>
        <v>447084.20364282205</v>
      </c>
      <c r="T46" s="127">
        <f t="shared" si="6"/>
        <v>0</v>
      </c>
      <c r="V46" s="128">
        <f>'Discount Details'!U45</f>
        <v>421153.31983153842</v>
      </c>
      <c r="W46" s="17">
        <f t="shared" si="7"/>
        <v>25930.883811283624</v>
      </c>
      <c r="X46" s="17">
        <f t="shared" si="8"/>
        <v>25930.883811283624</v>
      </c>
      <c r="Y46" s="119"/>
      <c r="Z46" s="3">
        <f>VLOOKUP($I46, 'Discount Details'!$B$6:$N$58, 13, FALSE)</f>
        <v>7.0650000000000004E-2</v>
      </c>
      <c r="AA46" s="3">
        <f t="shared" si="0"/>
        <v>4.3499999999999928E-3</v>
      </c>
      <c r="AB46" s="129">
        <f t="shared" si="1"/>
        <v>4.3499999999999928E-3</v>
      </c>
    </row>
    <row r="47" spans="2:28" x14ac:dyDescent="0.25">
      <c r="B47" s="281">
        <v>4.4999999999999998E-2</v>
      </c>
      <c r="C47" s="282">
        <f t="shared" si="9"/>
        <v>3.5</v>
      </c>
      <c r="D47" s="282">
        <v>7</v>
      </c>
      <c r="E47" s="282">
        <f t="shared" si="10"/>
        <v>1.2</v>
      </c>
      <c r="F47" s="282">
        <v>2.4</v>
      </c>
      <c r="I47" s="18">
        <f>'Discount Details'!B46</f>
        <v>10338</v>
      </c>
      <c r="J47" s="3" t="str">
        <f>'Discount Details'!C46</f>
        <v>Riverside Electric Co.</v>
      </c>
      <c r="K47" s="2">
        <f>'Discount Details'!D46</f>
        <v>33.398768978475509</v>
      </c>
      <c r="L47" s="2">
        <f>'Discount Details'!E46</f>
        <v>6.8651685393258424</v>
      </c>
      <c r="M47" s="124" cm="1">
        <f t="array" ref="M47">LOOKUP(2, 1/((K47 &gt;= $C$8:$C$20) * (K47 &lt;= $D$8:$D$20)), $B$8:$B$20)</f>
        <v>5.0000000000000001E-3</v>
      </c>
      <c r="N47" s="124" cm="1">
        <f t="array" ref="N47">LOOKUP(2, 1/((L47 &gt;= $E$8:$E$20) * (L47 &lt;= $F$8:$F$20)), $B$8:$B$20)</f>
        <v>0.03</v>
      </c>
      <c r="O47" s="124">
        <f>'Discount Details'!I46</f>
        <v>0</v>
      </c>
      <c r="P47" s="125">
        <f t="shared" si="4"/>
        <v>3.4999999999999996E-2</v>
      </c>
      <c r="Q47" s="126">
        <f>$P47*'Discount Details'!Q46</f>
        <v>25649.6964453086</v>
      </c>
      <c r="R47" s="125">
        <f t="shared" si="5"/>
        <v>3.4999999999999996E-2</v>
      </c>
      <c r="S47" s="126">
        <f>$R47*'Discount Details'!Q46</f>
        <v>25649.6964453086</v>
      </c>
      <c r="T47" s="127">
        <f t="shared" si="6"/>
        <v>0</v>
      </c>
      <c r="V47" s="128">
        <f>'Discount Details'!U46</f>
        <v>25525.112205431389</v>
      </c>
      <c r="W47" s="17">
        <f t="shared" si="7"/>
        <v>124.58423987721108</v>
      </c>
      <c r="X47" s="17">
        <f t="shared" si="8"/>
        <v>124.58423987721108</v>
      </c>
      <c r="Y47" s="119"/>
      <c r="Z47" s="3">
        <f>VLOOKUP($I47, 'Discount Details'!$B$6:$N$58, 13, FALSE)</f>
        <v>3.483E-2</v>
      </c>
      <c r="AA47" s="3">
        <f t="shared" si="0"/>
        <v>1.6999999999999654E-4</v>
      </c>
      <c r="AB47" s="129">
        <f t="shared" si="1"/>
        <v>1.6999999999999654E-4</v>
      </c>
    </row>
    <row r="48" spans="2:28" x14ac:dyDescent="0.25">
      <c r="B48" s="281">
        <v>0.05</v>
      </c>
      <c r="C48" s="282">
        <v>0</v>
      </c>
      <c r="D48" s="282">
        <v>3.5</v>
      </c>
      <c r="E48" s="282">
        <v>0</v>
      </c>
      <c r="F48" s="282">
        <v>1.2</v>
      </c>
      <c r="I48" s="18">
        <f>'Discount Details'!B47</f>
        <v>10343</v>
      </c>
      <c r="J48" s="3" t="str">
        <f>'Discount Details'!C47</f>
        <v>Salmon River Electric</v>
      </c>
      <c r="K48" s="2">
        <f>'Discount Details'!D47</f>
        <v>8.3169331740750927</v>
      </c>
      <c r="L48" s="2">
        <f>'Discount Details'!E47</f>
        <v>4.1208791208791204</v>
      </c>
      <c r="M48" s="124" cm="1">
        <f t="array" ref="M48">LOOKUP(2, 1/((K48 &gt;= $C$8:$C$20) * (K48 &lt;= $D$8:$D$20)), $B$8:$B$20)</f>
        <v>0.05</v>
      </c>
      <c r="N48" s="124" cm="1">
        <f t="array" ref="N48">LOOKUP(2, 1/((L48 &gt;= $E$8:$E$20) * (L48 &lt;= $F$8:$F$20)), $B$8:$B$20)</f>
        <v>0.04</v>
      </c>
      <c r="O48" s="124">
        <f>'Discount Details'!I47</f>
        <v>0</v>
      </c>
      <c r="P48" s="125">
        <f t="shared" si="4"/>
        <v>0.09</v>
      </c>
      <c r="Q48" s="126">
        <f>$P48*'Discount Details'!Q47</f>
        <v>314386.79666519701</v>
      </c>
      <c r="R48" s="125">
        <f t="shared" si="5"/>
        <v>0.08</v>
      </c>
      <c r="S48" s="126">
        <f>$R48*'Discount Details'!Q47</f>
        <v>279454.93036906404</v>
      </c>
      <c r="T48" s="127">
        <f t="shared" si="6"/>
        <v>34931.866296132968</v>
      </c>
      <c r="V48" s="128">
        <f>'Discount Details'!U47</f>
        <v>244523.06407293104</v>
      </c>
      <c r="W48" s="17">
        <f t="shared" si="7"/>
        <v>69863.732592265966</v>
      </c>
      <c r="X48" s="17">
        <f t="shared" si="8"/>
        <v>34931.866296132997</v>
      </c>
      <c r="Y48" s="119"/>
      <c r="Z48" s="3">
        <f>VLOOKUP($I48, 'Discount Details'!$B$6:$N$58, 13, FALSE)</f>
        <v>7.0000000000000007E-2</v>
      </c>
      <c r="AA48" s="3">
        <f t="shared" si="0"/>
        <v>1.999999999999999E-2</v>
      </c>
      <c r="AB48" s="129">
        <f t="shared" si="1"/>
        <v>9.999999999999995E-3</v>
      </c>
    </row>
    <row r="49" spans="9:28" x14ac:dyDescent="0.25">
      <c r="I49" s="18">
        <f>'Discount Details'!B48</f>
        <v>10352</v>
      </c>
      <c r="J49" s="3" t="str">
        <f>'Discount Details'!C48</f>
        <v>Skamania County PUD</v>
      </c>
      <c r="K49" s="2">
        <f>'Discount Details'!D48</f>
        <v>4.1815387600976806</v>
      </c>
      <c r="L49" s="2">
        <f>'Discount Details'!E48</f>
        <v>11.924865831842576</v>
      </c>
      <c r="M49" s="124" cm="1">
        <f t="array" ref="M49">LOOKUP(2, 1/((K49 &gt;= $C$8:$C$20) * (K49 &lt;= $D$8:$D$20)), $B$8:$B$20)</f>
        <v>5.5E-2</v>
      </c>
      <c r="N49" s="124" cm="1">
        <f t="array" ref="N49">LOOKUP(2, 1/((L49 &gt;= $E$8:$E$20) * (L49 &lt;= $F$8:$F$20)), $B$8:$B$20)</f>
        <v>5.0000000000000001E-3</v>
      </c>
      <c r="O49" s="124">
        <f>'Discount Details'!I48</f>
        <v>0</v>
      </c>
      <c r="P49" s="125">
        <f t="shared" si="4"/>
        <v>0.06</v>
      </c>
      <c r="Q49" s="126">
        <f>$P49*'Discount Details'!Q48</f>
        <v>304215.38133156672</v>
      </c>
      <c r="R49" s="125">
        <f t="shared" si="5"/>
        <v>0.06</v>
      </c>
      <c r="S49" s="126">
        <f>$R49*'Discount Details'!Q48</f>
        <v>304215.38133156672</v>
      </c>
      <c r="T49" s="127">
        <f t="shared" si="6"/>
        <v>0</v>
      </c>
      <c r="V49" s="128">
        <f>'Discount Details'!U48</f>
        <v>253512.8177763056</v>
      </c>
      <c r="W49" s="17">
        <f t="shared" si="7"/>
        <v>50702.56355526112</v>
      </c>
      <c r="X49" s="17">
        <f t="shared" si="8"/>
        <v>50702.56355526112</v>
      </c>
      <c r="Y49" s="119"/>
      <c r="Z49" s="3">
        <f>VLOOKUP($I49, 'Discount Details'!$B$6:$N$58, 13, FALSE)</f>
        <v>0.05</v>
      </c>
      <c r="AA49" s="3">
        <f t="shared" si="0"/>
        <v>9.999999999999995E-3</v>
      </c>
      <c r="AB49" s="129">
        <f t="shared" si="1"/>
        <v>9.999999999999995E-3</v>
      </c>
    </row>
    <row r="50" spans="9:28" x14ac:dyDescent="0.25">
      <c r="I50" s="18">
        <f>'Discount Details'!B49</f>
        <v>10360</v>
      </c>
      <c r="J50" s="3" t="str">
        <f>'Discount Details'!C49</f>
        <v>South Side Electric</v>
      </c>
      <c r="K50" s="2">
        <f>'Discount Details'!D49</f>
        <v>16.077496423494331</v>
      </c>
      <c r="L50" s="2">
        <f>'Discount Details'!E49</f>
        <v>5.8219178082191778</v>
      </c>
      <c r="M50" s="124" cm="1">
        <f t="array" ref="M50">LOOKUP(2, 1/((K50 &gt;= $C$8:$C$20) * (K50 &lt;= $D$8:$D$20)), $B$8:$B$20)</f>
        <v>3.5000000000000003E-2</v>
      </c>
      <c r="N50" s="124" cm="1">
        <f t="array" ref="N50">LOOKUP(2, 1/((L50 &gt;= $E$8:$E$20) * (L50 &lt;= $F$8:$F$20)), $B$8:$B$20)</f>
        <v>3.5000000000000003E-2</v>
      </c>
      <c r="O50" s="124">
        <f>'Discount Details'!I49</f>
        <v>0</v>
      </c>
      <c r="P50" s="125">
        <f t="shared" si="4"/>
        <v>7.0000000000000007E-2</v>
      </c>
      <c r="Q50" s="126">
        <f>$P50*'Discount Details'!Q49</f>
        <v>145023.76844956918</v>
      </c>
      <c r="R50" s="125">
        <f t="shared" si="5"/>
        <v>7.0000000000000007E-2</v>
      </c>
      <c r="S50" s="126">
        <f>$R50*'Discount Details'!Q49</f>
        <v>145023.76844956918</v>
      </c>
      <c r="T50" s="127">
        <f t="shared" si="6"/>
        <v>0</v>
      </c>
      <c r="V50" s="128">
        <f>'Discount Details'!U49</f>
        <v>140797.36148332461</v>
      </c>
      <c r="W50" s="17">
        <f t="shared" si="7"/>
        <v>4226.406966244569</v>
      </c>
      <c r="X50" s="17">
        <f t="shared" si="8"/>
        <v>4226.406966244569</v>
      </c>
      <c r="Y50" s="119"/>
      <c r="Z50" s="3">
        <f>VLOOKUP($I50, 'Discount Details'!$B$6:$N$58, 13, FALSE)</f>
        <v>6.7960000000000007E-2</v>
      </c>
      <c r="AA50" s="3">
        <f t="shared" si="0"/>
        <v>2.0400000000000001E-3</v>
      </c>
      <c r="AB50" s="129">
        <f t="shared" si="1"/>
        <v>2.0400000000000001E-3</v>
      </c>
    </row>
    <row r="51" spans="9:28" x14ac:dyDescent="0.25">
      <c r="I51" s="18">
        <f>'Discount Details'!B50</f>
        <v>10369</v>
      </c>
      <c r="J51" s="3" t="str">
        <f>'Discount Details'!C50</f>
        <v>Surprise Valley Electric</v>
      </c>
      <c r="K51" s="2">
        <f>'Discount Details'!D50</f>
        <v>4.7751031803324357</v>
      </c>
      <c r="L51" s="2">
        <f>'Discount Details'!E50</f>
        <v>2.9154746423927178</v>
      </c>
      <c r="M51" s="124" cm="1">
        <f t="array" ref="M51">LOOKUP(2, 1/((K51 &gt;= $C$8:$C$20) * (K51 &lt;= $D$8:$D$20)), $B$8:$B$20)</f>
        <v>5.5E-2</v>
      </c>
      <c r="N51" s="124" cm="1">
        <f t="array" ref="N51">LOOKUP(2, 1/((L51 &gt;= $E$8:$E$20) * (L51 &lt;= $F$8:$F$20)), $B$8:$B$20)</f>
        <v>0.05</v>
      </c>
      <c r="O51" s="124">
        <f>'Discount Details'!I50</f>
        <v>5.0000000000000001E-3</v>
      </c>
      <c r="P51" s="125">
        <f t="shared" si="4"/>
        <v>0.11000000000000001</v>
      </c>
      <c r="Q51" s="126">
        <f>$P51*'Discount Details'!Q50</f>
        <v>582455.62530823471</v>
      </c>
      <c r="R51" s="125">
        <f t="shared" si="5"/>
        <v>0.08</v>
      </c>
      <c r="S51" s="126">
        <f>$R51*'Discount Details'!Q50</f>
        <v>423604.09113326157</v>
      </c>
      <c r="T51" s="127">
        <f t="shared" si="6"/>
        <v>158851.53417497315</v>
      </c>
      <c r="V51" s="128">
        <f>'Discount Details'!U50</f>
        <v>414549.55368528806</v>
      </c>
      <c r="W51" s="17">
        <f t="shared" si="7"/>
        <v>167906.07162294665</v>
      </c>
      <c r="X51" s="17">
        <f t="shared" si="8"/>
        <v>9054.5374479735037</v>
      </c>
      <c r="Y51" s="119"/>
      <c r="Z51" s="3">
        <f>VLOOKUP($I51, 'Discount Details'!$B$6:$N$58, 13, FALSE)</f>
        <v>7.8289999999999998E-2</v>
      </c>
      <c r="AA51" s="3">
        <f t="shared" si="0"/>
        <v>3.1710000000000016E-2</v>
      </c>
      <c r="AB51" s="129">
        <f t="shared" si="1"/>
        <v>1.7100000000000032E-3</v>
      </c>
    </row>
    <row r="52" spans="9:28" x14ac:dyDescent="0.25">
      <c r="I52" s="18">
        <f>'Discount Details'!B51</f>
        <v>10388</v>
      </c>
      <c r="J52" s="3" t="str">
        <f>'Discount Details'!C51</f>
        <v>Umatilla Electric</v>
      </c>
      <c r="K52" s="2">
        <f>'Discount Details'!D51</f>
        <v>28.393428353844911</v>
      </c>
      <c r="L52" s="2">
        <f>'Discount Details'!E51</f>
        <v>7.3340847610459869</v>
      </c>
      <c r="M52" s="124" cm="1">
        <f t="array" ref="M52">LOOKUP(2, 1/((K52 &gt;= $C$8:$C$20) * (K52 &lt;= $D$8:$D$20)), $B$8:$B$20)</f>
        <v>1.4999999999999999E-2</v>
      </c>
      <c r="N52" s="124" cm="1">
        <f t="array" ref="N52">LOOKUP(2, 1/((L52 &gt;= $E$8:$E$20) * (L52 &lt;= $F$8:$F$20)), $B$8:$B$20)</f>
        <v>2.5000000000000001E-2</v>
      </c>
      <c r="O52" s="124">
        <f>'Discount Details'!I51</f>
        <v>0</v>
      </c>
      <c r="P52" s="125">
        <f t="shared" si="4"/>
        <v>0.04</v>
      </c>
      <c r="Q52" s="126">
        <f>$P52*'Discount Details'!Q51</f>
        <v>1374818.4657487604</v>
      </c>
      <c r="R52" s="125">
        <f t="shared" si="5"/>
        <v>0.04</v>
      </c>
      <c r="S52" s="126">
        <f>$R52*'Discount Details'!Q51</f>
        <v>1374818.4657487604</v>
      </c>
      <c r="T52" s="127">
        <f t="shared" si="6"/>
        <v>0</v>
      </c>
      <c r="V52" s="128">
        <f>'Discount Details'!U51</f>
        <v>2020295.7354178033</v>
      </c>
      <c r="W52" s="17">
        <f t="shared" si="7"/>
        <v>-645477.2696690429</v>
      </c>
      <c r="X52" s="17">
        <f t="shared" si="8"/>
        <v>-645477.2696690429</v>
      </c>
      <c r="Y52" s="119"/>
      <c r="Z52" s="3">
        <f>VLOOKUP($I52, 'Discount Details'!$B$6:$N$58, 13, FALSE)</f>
        <v>5.8779999999999999E-2</v>
      </c>
      <c r="AA52" s="3">
        <f t="shared" si="0"/>
        <v>-1.8779999999999998E-2</v>
      </c>
      <c r="AB52" s="129">
        <f t="shared" si="1"/>
        <v>-1.8779999999999998E-2</v>
      </c>
    </row>
    <row r="53" spans="9:28" x14ac:dyDescent="0.25">
      <c r="I53" s="18">
        <f>'Discount Details'!B52</f>
        <v>10391</v>
      </c>
      <c r="J53" s="3" t="str">
        <f>'Discount Details'!C52</f>
        <v>United</v>
      </c>
      <c r="K53" s="2">
        <f>'Discount Details'!D52</f>
        <v>18.21990926202955</v>
      </c>
      <c r="L53" s="2">
        <f>'Discount Details'!E52</f>
        <v>11.878088962108732</v>
      </c>
      <c r="M53" s="124" cm="1">
        <f t="array" ref="M53">LOOKUP(2, 1/((K53 &gt;= $C$8:$C$20) * (K53 &lt;= $D$8:$D$20)), $B$8:$B$20)</f>
        <v>0.03</v>
      </c>
      <c r="N53" s="124" cm="1">
        <f t="array" ref="N53">LOOKUP(2, 1/((L53 &gt;= $E$8:$E$20) * (L53 &lt;= $F$8:$F$20)), $B$8:$B$20)</f>
        <v>5.0000000000000001E-3</v>
      </c>
      <c r="O53" s="124">
        <f>'Discount Details'!I52</f>
        <v>0</v>
      </c>
      <c r="P53" s="125">
        <f t="shared" si="4"/>
        <v>3.4999999999999996E-2</v>
      </c>
      <c r="Q53" s="126">
        <f>$P53*'Discount Details'!Q52</f>
        <v>324138.13171615457</v>
      </c>
      <c r="R53" s="125">
        <f t="shared" si="5"/>
        <v>3.4999999999999996E-2</v>
      </c>
      <c r="S53" s="126">
        <f>$R53*'Discount Details'!Q52</f>
        <v>324138.13171615457</v>
      </c>
      <c r="T53" s="127">
        <f t="shared" si="6"/>
        <v>0</v>
      </c>
      <c r="V53" s="128">
        <f>'Discount Details'!U52</f>
        <v>352662.28730717622</v>
      </c>
      <c r="W53" s="17">
        <f t="shared" si="7"/>
        <v>-28524.155591021641</v>
      </c>
      <c r="X53" s="17">
        <f t="shared" si="8"/>
        <v>-28524.155591021641</v>
      </c>
      <c r="Y53" s="119"/>
      <c r="Z53" s="3">
        <f>VLOOKUP($I53, 'Discount Details'!$B$6:$N$58, 13, FALSE)</f>
        <v>3.8080000000000003E-2</v>
      </c>
      <c r="AA53" s="3">
        <f t="shared" si="0"/>
        <v>-3.0800000000000063E-3</v>
      </c>
      <c r="AB53" s="129">
        <f t="shared" si="1"/>
        <v>-3.0800000000000063E-3</v>
      </c>
    </row>
    <row r="54" spans="9:28" x14ac:dyDescent="0.25">
      <c r="I54" s="18">
        <f>'Discount Details'!B53</f>
        <v>10436</v>
      </c>
      <c r="J54" s="3" t="str">
        <f>'Discount Details'!C53</f>
        <v>Vigilante Electric Coop.</v>
      </c>
      <c r="K54" s="2">
        <f>'Discount Details'!D53</f>
        <v>6.6361522140519336</v>
      </c>
      <c r="L54" s="2">
        <f>'Discount Details'!E53</f>
        <v>4.0828380386329863</v>
      </c>
      <c r="M54" s="124" cm="1">
        <f t="array" ref="M54">LOOKUP(2, 1/((K54 &gt;= $C$8:$C$20) * (K54 &lt;= $D$8:$D$20)), $B$8:$B$20)</f>
        <v>0.05</v>
      </c>
      <c r="N54" s="124" cm="1">
        <f t="array" ref="N54">LOOKUP(2, 1/((L54 &gt;= $E$8:$E$20) * (L54 &lt;= $F$8:$F$20)), $B$8:$B$20)</f>
        <v>0.04</v>
      </c>
      <c r="O54" s="124">
        <f>'Discount Details'!I53</f>
        <v>0</v>
      </c>
      <c r="P54" s="125">
        <f t="shared" si="4"/>
        <v>0.09</v>
      </c>
      <c r="Q54" s="126">
        <f>$P54*'Discount Details'!Q53</f>
        <v>535539.16051717114</v>
      </c>
      <c r="R54" s="125">
        <f t="shared" si="5"/>
        <v>0.08</v>
      </c>
      <c r="S54" s="126">
        <f>$R54*'Discount Details'!Q53</f>
        <v>476034.80934859667</v>
      </c>
      <c r="T54" s="127">
        <f t="shared" si="6"/>
        <v>59504.351168574474</v>
      </c>
      <c r="V54" s="128">
        <f>'Discount Details'!U53</f>
        <v>541489.59563402866</v>
      </c>
      <c r="W54" s="17">
        <f t="shared" si="7"/>
        <v>-5950.4351168575231</v>
      </c>
      <c r="X54" s="17">
        <f t="shared" si="8"/>
        <v>-65454.786285431997</v>
      </c>
      <c r="Y54" s="119"/>
      <c r="Z54" s="3">
        <f>VLOOKUP($I54, 'Discount Details'!$B$6:$N$58, 13, FALSE)</f>
        <v>9.0999999999999998E-2</v>
      </c>
      <c r="AA54" s="3">
        <f t="shared" si="0"/>
        <v>-1.0000000000000009E-3</v>
      </c>
      <c r="AB54" s="129">
        <f t="shared" si="1"/>
        <v>-1.0999999999999996E-2</v>
      </c>
    </row>
    <row r="55" spans="9:28" x14ac:dyDescent="0.25">
      <c r="I55" s="18">
        <f>'Discount Details'!B54</f>
        <v>10440</v>
      </c>
      <c r="J55" s="3" t="str">
        <f>'Discount Details'!C54</f>
        <v>Wahkiakum County PUD</v>
      </c>
      <c r="K55" s="2">
        <f>'Discount Details'!D54</f>
        <v>4.3866102754667757</v>
      </c>
      <c r="L55" s="2">
        <f>'Discount Details'!E54</f>
        <v>10.503875968992247</v>
      </c>
      <c r="M55" s="124" cm="1">
        <f t="array" ref="M55">LOOKUP(2, 1/((K55 &gt;= $C$8:$C$20) * (K55 &lt;= $D$8:$D$20)), $B$8:$B$20)</f>
        <v>5.5E-2</v>
      </c>
      <c r="N55" s="124" cm="1">
        <f t="array" ref="N55">LOOKUP(2, 1/((L55 &gt;= $E$8:$E$20) * (L55 &lt;= $F$8:$F$20)), $B$8:$B$20)</f>
        <v>0.01</v>
      </c>
      <c r="O55" s="124">
        <f>'Discount Details'!I54</f>
        <v>0</v>
      </c>
      <c r="P55" s="125">
        <f t="shared" si="4"/>
        <v>6.5000000000000002E-2</v>
      </c>
      <c r="Q55" s="126">
        <f>$P55*'Discount Details'!Q54</f>
        <v>100143.99266784315</v>
      </c>
      <c r="R55" s="125">
        <f t="shared" si="5"/>
        <v>6.5000000000000002E-2</v>
      </c>
      <c r="S55" s="126">
        <f>$R55*'Discount Details'!Q54</f>
        <v>100143.99266784315</v>
      </c>
      <c r="T55" s="127">
        <f t="shared" si="6"/>
        <v>0</v>
      </c>
      <c r="V55" s="128">
        <f>'Discount Details'!U54</f>
        <v>88912.45872094197</v>
      </c>
      <c r="W55" s="17">
        <f t="shared" si="7"/>
        <v>11231.533946901181</v>
      </c>
      <c r="X55" s="17">
        <f t="shared" si="8"/>
        <v>11231.533946901181</v>
      </c>
      <c r="Y55" s="119"/>
      <c r="Z55" s="3">
        <f>VLOOKUP($I55, 'Discount Details'!$B$6:$N$58, 13, FALSE)</f>
        <v>5.7709999999999997E-2</v>
      </c>
      <c r="AA55" s="3">
        <f t="shared" si="0"/>
        <v>7.2900000000000048E-3</v>
      </c>
      <c r="AB55" s="129">
        <f t="shared" si="1"/>
        <v>7.2900000000000048E-3</v>
      </c>
    </row>
    <row r="56" spans="9:28" x14ac:dyDescent="0.25">
      <c r="I56" s="18">
        <f>'Discount Details'!B55</f>
        <v>10442</v>
      </c>
      <c r="J56" s="3" t="str">
        <f>'Discount Details'!C55</f>
        <v>Wasco Electric Coop.</v>
      </c>
      <c r="K56" s="2">
        <f>'Discount Details'!D55</f>
        <v>3.8363763744308907</v>
      </c>
      <c r="L56" s="2">
        <f>'Discount Details'!E55</f>
        <v>2.9354037267080746</v>
      </c>
      <c r="M56" s="124" cm="1">
        <f t="array" ref="M56">LOOKUP(2, 1/((K56 &gt;= $C$8:$C$20) * (K56 &lt;= $D$8:$D$20)), $B$8:$B$20)</f>
        <v>5.5E-2</v>
      </c>
      <c r="N56" s="124" cm="1">
        <f t="array" ref="N56">LOOKUP(2, 1/((L56 &gt;= $E$8:$E$20) * (L56 &lt;= $F$8:$F$20)), $B$8:$B$20)</f>
        <v>0.05</v>
      </c>
      <c r="O56" s="124">
        <f>'Discount Details'!I55</f>
        <v>5.0000000000000001E-3</v>
      </c>
      <c r="P56" s="125">
        <f t="shared" si="4"/>
        <v>0.11000000000000001</v>
      </c>
      <c r="Q56" s="126">
        <f>$P56*'Discount Details'!Q55</f>
        <v>453970.14842157398</v>
      </c>
      <c r="R56" s="125">
        <f t="shared" si="5"/>
        <v>0.08</v>
      </c>
      <c r="S56" s="126">
        <f>$R56*'Discount Details'!Q55</f>
        <v>330160.10794296284</v>
      </c>
      <c r="T56" s="127">
        <f t="shared" si="6"/>
        <v>123810.04047861113</v>
      </c>
      <c r="V56" s="128">
        <f>'Discount Details'!U55</f>
        <v>288890.09445009253</v>
      </c>
      <c r="W56" s="17">
        <f t="shared" si="7"/>
        <v>165080.05397148145</v>
      </c>
      <c r="X56" s="17">
        <f t="shared" si="8"/>
        <v>41270.013492870319</v>
      </c>
      <c r="Y56" s="119"/>
      <c r="Z56" s="3">
        <f>VLOOKUP($I56, 'Discount Details'!$B$6:$N$58, 13, FALSE)</f>
        <v>7.0000000000000007E-2</v>
      </c>
      <c r="AA56" s="3">
        <f t="shared" si="0"/>
        <v>4.0000000000000008E-2</v>
      </c>
      <c r="AB56" s="129">
        <f t="shared" si="1"/>
        <v>9.999999999999995E-3</v>
      </c>
    </row>
    <row r="57" spans="9:28" x14ac:dyDescent="0.25">
      <c r="I57" s="18">
        <f>'Discount Details'!B56</f>
        <v>10446</v>
      </c>
      <c r="J57" s="3" t="str">
        <f>'Discount Details'!C56</f>
        <v>Wells Rural Electric Co.</v>
      </c>
      <c r="K57" s="2">
        <f>'Discount Details'!D56</f>
        <v>19.721392520785308</v>
      </c>
      <c r="L57" s="2">
        <f>'Discount Details'!E56</f>
        <v>3.1468373493975905</v>
      </c>
      <c r="M57" s="124" cm="1">
        <f t="array" ref="M57">LOOKUP(2, 1/((K57 &gt;= $C$8:$C$20) * (K57 &lt;= $D$8:$D$20)), $B$8:$B$20)</f>
        <v>0.03</v>
      </c>
      <c r="N57" s="124" cm="1">
        <f t="array" ref="N57">LOOKUP(2, 1/((L57 &gt;= $E$8:$E$20) * (L57 &lt;= $F$8:$F$20)), $B$8:$B$20)</f>
        <v>4.4999999999999998E-2</v>
      </c>
      <c r="O57" s="124">
        <f>'Discount Details'!I56</f>
        <v>0</v>
      </c>
      <c r="P57" s="125">
        <f t="shared" si="4"/>
        <v>7.4999999999999997E-2</v>
      </c>
      <c r="Q57" s="126">
        <f>$P57*'Discount Details'!Q56</f>
        <v>2148235.4096089089</v>
      </c>
      <c r="R57" s="125">
        <f t="shared" si="5"/>
        <v>7.4999999999999997E-2</v>
      </c>
      <c r="S57" s="126">
        <f>$R57*'Discount Details'!Q56</f>
        <v>2148235.4096089089</v>
      </c>
      <c r="T57" s="127">
        <f t="shared" si="6"/>
        <v>0</v>
      </c>
      <c r="V57" s="128">
        <f>'Discount Details'!U56</f>
        <v>1885864.258248674</v>
      </c>
      <c r="W57" s="17">
        <f t="shared" si="7"/>
        <v>262371.15136023494</v>
      </c>
      <c r="X57" s="17">
        <f t="shared" si="8"/>
        <v>262371.15136023494</v>
      </c>
      <c r="Y57" s="119"/>
      <c r="Z57" s="3">
        <f>VLOOKUP($I57, 'Discount Details'!$B$6:$N$58, 13, FALSE)</f>
        <v>6.5839999999999996E-2</v>
      </c>
      <c r="AA57" s="3">
        <f t="shared" si="0"/>
        <v>9.1600000000000015E-3</v>
      </c>
      <c r="AB57" s="129">
        <f t="shared" si="1"/>
        <v>9.1600000000000015E-3</v>
      </c>
    </row>
    <row r="58" spans="9:28" x14ac:dyDescent="0.25">
      <c r="I58" s="18">
        <f>'Discount Details'!B57</f>
        <v>10448</v>
      </c>
      <c r="J58" s="3" t="str">
        <f>'Discount Details'!C57</f>
        <v>West Oregon Electric</v>
      </c>
      <c r="K58" s="2">
        <f>'Discount Details'!D57</f>
        <v>2.3434311984862117</v>
      </c>
      <c r="L58" s="2">
        <f>'Discount Details'!E57</f>
        <v>7.1359374999999998</v>
      </c>
      <c r="M58" s="124" cm="1">
        <f t="array" ref="M58">LOOKUP(2, 1/((K58 &gt;= $C$8:$C$20) * (K58 &lt;= $D$8:$D$20)), $B$8:$B$20)</f>
        <v>0.06</v>
      </c>
      <c r="N58" s="124" cm="1">
        <f t="array" ref="N58">LOOKUP(2, 1/((L58 &gt;= $E$8:$E$20) * (L58 &lt;= $F$8:$F$20)), $B$8:$B$20)</f>
        <v>2.5000000000000001E-2</v>
      </c>
      <c r="O58" s="124">
        <f>'Discount Details'!I57</f>
        <v>0</v>
      </c>
      <c r="P58" s="125">
        <f t="shared" si="4"/>
        <v>8.4999999999999992E-2</v>
      </c>
      <c r="Q58" s="126">
        <f>$P58*'Discount Details'!Q57</f>
        <v>225523.14705121506</v>
      </c>
      <c r="R58" s="125">
        <f t="shared" si="5"/>
        <v>0.08</v>
      </c>
      <c r="S58" s="126">
        <f>$R58*'Discount Details'!Q57</f>
        <v>212257.07957761417</v>
      </c>
      <c r="T58" s="127">
        <f t="shared" si="6"/>
        <v>13266.06747360088</v>
      </c>
      <c r="V58" s="128">
        <f>'Discount Details'!U57</f>
        <v>185724.94463041241</v>
      </c>
      <c r="W58" s="17">
        <f t="shared" si="7"/>
        <v>39798.202420802641</v>
      </c>
      <c r="X58" s="17">
        <f t="shared" si="8"/>
        <v>26532.134947201761</v>
      </c>
      <c r="Y58" s="119"/>
      <c r="Z58" s="3">
        <f>VLOOKUP($I58, 'Discount Details'!$B$6:$N$58, 13, FALSE)</f>
        <v>7.0000000000000007E-2</v>
      </c>
      <c r="AA58" s="3">
        <f t="shared" si="0"/>
        <v>1.4999999999999986E-2</v>
      </c>
      <c r="AB58" s="129">
        <f t="shared" si="1"/>
        <v>9.999999999999995E-3</v>
      </c>
    </row>
    <row r="59" spans="9:28" ht="15.75" thickBot="1" x14ac:dyDescent="0.3">
      <c r="I59" s="18">
        <f>'Discount Details'!B58</f>
        <v>10502</v>
      </c>
      <c r="J59" s="3" t="str">
        <f>'Discount Details'!C58</f>
        <v>Yakama Power</v>
      </c>
      <c r="K59" s="2">
        <f>'Discount Details'!D58</f>
        <v>3.6895777077855287</v>
      </c>
      <c r="L59" s="2">
        <f>'Discount Details'!E58</f>
        <v>4.2549857549857553</v>
      </c>
      <c r="M59" s="124" cm="1">
        <f t="array" ref="M59">LOOKUP(2, 1/((K59 &gt;= $C$8:$C$20) * (K59 &lt;= $D$8:$D$20)), $B$8:$B$20)</f>
        <v>5.5E-2</v>
      </c>
      <c r="N59" s="124" cm="1">
        <f t="array" ref="N59">LOOKUP(2, 1/((L59 &gt;= $E$8:$E$20) * (L59 &lt;= $F$8:$F$20)), $B$8:$B$20)</f>
        <v>0.04</v>
      </c>
      <c r="O59" s="124">
        <f>'Discount Details'!I58</f>
        <v>0</v>
      </c>
      <c r="P59" s="151">
        <f t="shared" si="4"/>
        <v>9.5000000000000001E-2</v>
      </c>
      <c r="Q59" s="152">
        <f>$P59*'Discount Details'!Q58</f>
        <v>555034.55682498217</v>
      </c>
      <c r="R59" s="151">
        <f t="shared" si="5"/>
        <v>0.08</v>
      </c>
      <c r="S59" s="152">
        <f>$R59*'Discount Details'!Q58</f>
        <v>467397.52153682709</v>
      </c>
      <c r="T59" s="127">
        <f t="shared" si="6"/>
        <v>87637.035288155079</v>
      </c>
      <c r="V59" s="153">
        <f>'Discount Details'!U58</f>
        <v>408972.83134472376</v>
      </c>
      <c r="W59" s="154">
        <f t="shared" si="7"/>
        <v>146061.72548025841</v>
      </c>
      <c r="X59" s="154">
        <f t="shared" si="8"/>
        <v>58424.690192103328</v>
      </c>
      <c r="Y59" s="155"/>
      <c r="Z59" s="156">
        <f>VLOOKUP($I59, 'Discount Details'!$B$6:$N$58, 13, FALSE)</f>
        <v>7.0000000000000007E-2</v>
      </c>
      <c r="AA59" s="156">
        <f t="shared" si="0"/>
        <v>2.4999999999999994E-2</v>
      </c>
      <c r="AB59" s="157">
        <f t="shared" si="1"/>
        <v>9.999999999999995E-3</v>
      </c>
    </row>
    <row r="60" spans="9:28" ht="15.75" thickBot="1" x14ac:dyDescent="0.3">
      <c r="V60" s="10"/>
    </row>
    <row r="61" spans="9:28" ht="75" x14ac:dyDescent="0.25">
      <c r="I61" s="158" t="s">
        <v>304</v>
      </c>
      <c r="J61" s="159"/>
      <c r="K61" s="160" t="s">
        <v>278</v>
      </c>
      <c r="L61" s="160" t="s">
        <v>54</v>
      </c>
      <c r="M61" s="159" t="s">
        <v>279</v>
      </c>
      <c r="N61" s="159" t="s">
        <v>280</v>
      </c>
      <c r="O61" s="160" t="s">
        <v>281</v>
      </c>
      <c r="P61" s="161" t="s">
        <v>282</v>
      </c>
      <c r="Q61" s="162" t="s">
        <v>283</v>
      </c>
      <c r="R61" s="163" t="s">
        <v>284</v>
      </c>
      <c r="S61" s="164" t="s">
        <v>101</v>
      </c>
      <c r="T61" s="160" t="s">
        <v>285</v>
      </c>
      <c r="U61" s="159"/>
      <c r="V61" s="160" t="s">
        <v>286</v>
      </c>
      <c r="W61" s="160" t="s">
        <v>287</v>
      </c>
      <c r="X61" s="160" t="s">
        <v>288</v>
      </c>
      <c r="Y61" s="165"/>
      <c r="Z61" s="160" t="s">
        <v>289</v>
      </c>
      <c r="AA61" s="160" t="s">
        <v>290</v>
      </c>
      <c r="AB61" s="166" t="s">
        <v>291</v>
      </c>
    </row>
    <row r="62" spans="9:28" x14ac:dyDescent="0.25">
      <c r="I62" s="144"/>
      <c r="J62" s="167" t="s">
        <v>305</v>
      </c>
      <c r="K62" s="213">
        <f>AVERAGE(K7:K59)</f>
        <v>9.2952949317803117</v>
      </c>
      <c r="L62" s="213">
        <f>AVERAGE(L7:L59)</f>
        <v>6.8134844372564309</v>
      </c>
      <c r="M62" s="169">
        <f>AVERAGE(M7:M59)</f>
        <v>4.7358490566037748E-2</v>
      </c>
      <c r="N62" s="169">
        <f>AVERAGE(N7:N59)</f>
        <v>2.8584905660377361E-2</v>
      </c>
      <c r="O62" s="169">
        <f t="shared" ref="O62:AB62" si="11">AVERAGE(O7:O59)</f>
        <v>5.6603773584905663E-4</v>
      </c>
      <c r="P62" s="169">
        <f t="shared" si="11"/>
        <v>7.6509433962264145E-2</v>
      </c>
      <c r="Q62" s="170">
        <f t="shared" si="11"/>
        <v>741477.71115269058</v>
      </c>
      <c r="R62" s="169">
        <f t="shared" si="11"/>
        <v>7.0094339622641555E-2</v>
      </c>
      <c r="S62" s="170">
        <f t="shared" si="11"/>
        <v>704569.5765361198</v>
      </c>
      <c r="T62" s="170">
        <f t="shared" si="11"/>
        <v>36908.134616571027</v>
      </c>
      <c r="U62" s="170"/>
      <c r="V62" s="170">
        <f t="shared" si="11"/>
        <v>686366.90751911479</v>
      </c>
      <c r="W62" s="170">
        <f t="shared" si="11"/>
        <v>55110.803633575961</v>
      </c>
      <c r="X62" s="170">
        <f t="shared" si="11"/>
        <v>18202.669017004933</v>
      </c>
      <c r="Y62" s="170" t="e">
        <f t="shared" si="11"/>
        <v>#DIV/0!</v>
      </c>
      <c r="Z62" s="169">
        <f t="shared" si="11"/>
        <v>6.8551320754716968E-2</v>
      </c>
      <c r="AA62" s="169">
        <f t="shared" si="11"/>
        <v>7.958113207547168E-3</v>
      </c>
      <c r="AB62" s="171">
        <f t="shared" si="11"/>
        <v>1.5430188679245289E-3</v>
      </c>
    </row>
    <row r="63" spans="9:28" x14ac:dyDescent="0.25">
      <c r="I63" s="144"/>
      <c r="J63" s="167" t="s">
        <v>306</v>
      </c>
      <c r="K63" s="2">
        <f>MEDIAN(K7:K59)</f>
        <v>6.6361522140519336</v>
      </c>
      <c r="L63" s="2">
        <f>MEDIAN(L7:L59)</f>
        <v>6.9582919563058594</v>
      </c>
      <c r="M63" s="172">
        <f>MEDIAN(M7:M59)</f>
        <v>0.05</v>
      </c>
      <c r="N63" s="172">
        <f>MEDIAN(N7:N59)</f>
        <v>0.03</v>
      </c>
      <c r="O63" s="172">
        <f t="shared" ref="O63:AB63" si="12">MEDIAN(O7:O59)</f>
        <v>0</v>
      </c>
      <c r="P63" s="172">
        <f t="shared" si="12"/>
        <v>0.08</v>
      </c>
      <c r="Q63" s="173">
        <f t="shared" si="12"/>
        <v>554688.14840527298</v>
      </c>
      <c r="R63" s="172">
        <f t="shared" si="12"/>
        <v>0.08</v>
      </c>
      <c r="S63" s="173">
        <f t="shared" si="12"/>
        <v>473816.03579977213</v>
      </c>
      <c r="T63" s="173">
        <f t="shared" si="12"/>
        <v>0</v>
      </c>
      <c r="U63" s="173"/>
      <c r="V63" s="173">
        <f t="shared" si="12"/>
        <v>453673.5717940309</v>
      </c>
      <c r="W63" s="173">
        <f t="shared" si="12"/>
        <v>40392.185856809228</v>
      </c>
      <c r="X63" s="173">
        <f t="shared" si="12"/>
        <v>11231.533946901181</v>
      </c>
      <c r="Y63" s="173" t="e">
        <f t="shared" si="12"/>
        <v>#NUM!</v>
      </c>
      <c r="Z63" s="172">
        <f t="shared" si="12"/>
        <v>7.0000000000000007E-2</v>
      </c>
      <c r="AA63" s="172">
        <f t="shared" si="12"/>
        <v>8.4800000000000014E-3</v>
      </c>
      <c r="AB63" s="174">
        <f t="shared" si="12"/>
        <v>2.4500000000000077E-3</v>
      </c>
    </row>
    <row r="64" spans="9:28" x14ac:dyDescent="0.25">
      <c r="I64" s="144"/>
      <c r="J64" t="s">
        <v>307</v>
      </c>
      <c r="K64" s="2">
        <f>PERCENTILE(K7:K59,0.1)</f>
        <v>3.7189374411146012</v>
      </c>
      <c r="L64" s="2">
        <f>PERCENTILE(L7:L59,0.1)</f>
        <v>2.9776904512459779</v>
      </c>
      <c r="M64" s="172">
        <f>PERCENTILE(M7:M59,0.1)</f>
        <v>3.1E-2</v>
      </c>
      <c r="N64" s="172">
        <f>PERCENTILE(N7:N59,0.1)</f>
        <v>0.01</v>
      </c>
      <c r="O64" s="172">
        <f t="shared" ref="O64:AB64" si="13">PERCENTILE(O7:O59,0.1)</f>
        <v>0</v>
      </c>
      <c r="P64" s="172">
        <f t="shared" si="13"/>
        <v>4.3000000000000003E-2</v>
      </c>
      <c r="Q64" s="173">
        <f t="shared" si="13"/>
        <v>125957.84947864624</v>
      </c>
      <c r="R64" s="172">
        <f t="shared" si="13"/>
        <v>4.3000000000000003E-2</v>
      </c>
      <c r="S64" s="173">
        <f t="shared" si="13"/>
        <v>109119.94782418836</v>
      </c>
      <c r="T64" s="173">
        <f t="shared" si="13"/>
        <v>0</v>
      </c>
      <c r="U64" s="173"/>
      <c r="V64" s="173">
        <f t="shared" si="13"/>
        <v>99289.439273418509</v>
      </c>
      <c r="W64" s="173">
        <f t="shared" si="13"/>
        <v>-26349.793571871804</v>
      </c>
      <c r="X64" s="173">
        <f t="shared" si="13"/>
        <v>-50270.556775383513</v>
      </c>
      <c r="Y64" s="173" t="e">
        <f t="shared" si="13"/>
        <v>#NUM!</v>
      </c>
      <c r="Z64" s="172">
        <f t="shared" si="13"/>
        <v>0.05</v>
      </c>
      <c r="AA64" s="172">
        <f t="shared" si="13"/>
        <v>-5.069999999999986E-3</v>
      </c>
      <c r="AB64" s="174">
        <f t="shared" si="13"/>
        <v>-8.7119999999999975E-3</v>
      </c>
    </row>
    <row r="65" spans="9:28" ht="15.75" thickBot="1" x14ac:dyDescent="0.3">
      <c r="I65" s="175"/>
      <c r="J65" s="176" t="s">
        <v>308</v>
      </c>
      <c r="K65" s="214">
        <f>PERCENTILE(K7:K59,0.9)</f>
        <v>17.791426694322514</v>
      </c>
      <c r="L65" s="214">
        <f>PERCENTILE(L7:L59,0.9)</f>
        <v>10.822593493493494</v>
      </c>
      <c r="M65" s="177">
        <f>PERCENTILE(M7:M59,0.9)</f>
        <v>5.5E-2</v>
      </c>
      <c r="N65" s="177">
        <f>PERCENTILE(N7:N59,0.9)</f>
        <v>4.9000000000000023E-2</v>
      </c>
      <c r="O65" s="177">
        <f t="shared" ref="O65:AB65" si="14">PERCENTILE(O7:O59,0.9)</f>
        <v>4.0000000000000218E-3</v>
      </c>
      <c r="P65" s="177">
        <f t="shared" si="14"/>
        <v>0.1</v>
      </c>
      <c r="Q65" s="178">
        <f t="shared" si="14"/>
        <v>1563942.7683095583</v>
      </c>
      <c r="R65" s="177">
        <f t="shared" si="14"/>
        <v>0.08</v>
      </c>
      <c r="S65" s="178">
        <f t="shared" si="14"/>
        <v>1489139.2672174273</v>
      </c>
      <c r="T65" s="178">
        <f t="shared" si="14"/>
        <v>147771.30921137554</v>
      </c>
      <c r="U65" s="178"/>
      <c r="V65" s="178">
        <f t="shared" si="14"/>
        <v>1518546.5747372317</v>
      </c>
      <c r="W65" s="178">
        <f t="shared" si="14"/>
        <v>185109.83995273168</v>
      </c>
      <c r="X65" s="178">
        <f t="shared" si="14"/>
        <v>126664.08658200261</v>
      </c>
      <c r="Y65" s="178" t="e">
        <f t="shared" si="14"/>
        <v>#NUM!</v>
      </c>
      <c r="Z65" s="177">
        <f t="shared" si="14"/>
        <v>8.5622000000000004E-2</v>
      </c>
      <c r="AA65" s="177">
        <f t="shared" si="14"/>
        <v>2.4837999999999999E-2</v>
      </c>
      <c r="AB65" s="179">
        <f t="shared" si="14"/>
        <v>9.999999999999995E-3</v>
      </c>
    </row>
  </sheetData>
  <conditionalFormatting sqref="AB7:AB59">
    <cfRule type="cellIs" dxfId="9" priority="1" operator="lessThan">
      <formula>0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1025CB-86B0-4C16-86B9-852B70B21BA0}">
  <sheetPr>
    <tabColor theme="9" tint="0.79998168889431442"/>
  </sheetPr>
  <dimension ref="B1:AB65"/>
  <sheetViews>
    <sheetView workbookViewId="0">
      <selection activeCell="G32" sqref="G32"/>
    </sheetView>
  </sheetViews>
  <sheetFormatPr defaultRowHeight="15" x14ac:dyDescent="0.25"/>
  <cols>
    <col min="2" max="2" width="10.85546875" customWidth="1"/>
    <col min="9" max="9" width="8.5703125" bestFit="1" customWidth="1"/>
    <col min="10" max="10" width="24.140625" bestFit="1" customWidth="1"/>
    <col min="11" max="11" width="12.85546875" customWidth="1"/>
    <col min="12" max="12" width="11.85546875" bestFit="1" customWidth="1"/>
    <col min="15" max="15" width="11.7109375" customWidth="1"/>
    <col min="17" max="17" width="12.42578125" bestFit="1" customWidth="1"/>
    <col min="19" max="19" width="11.7109375" bestFit="1" customWidth="1"/>
    <col min="20" max="20" width="9.7109375" bestFit="1" customWidth="1"/>
    <col min="22" max="22" width="11.5703125" customWidth="1"/>
    <col min="23" max="23" width="9.7109375" bestFit="1" customWidth="1"/>
    <col min="24" max="24" width="9.7109375" customWidth="1"/>
    <col min="25" max="25" width="0.42578125" customWidth="1"/>
    <col min="26" max="26" width="9.5703125" customWidth="1"/>
    <col min="27" max="27" width="10" customWidth="1"/>
    <col min="28" max="28" width="10.42578125" customWidth="1"/>
  </cols>
  <sheetData>
    <row r="1" spans="2:28" ht="15.75" thickBot="1" x14ac:dyDescent="0.3">
      <c r="V1" s="10"/>
    </row>
    <row r="2" spans="2:28" ht="15.75" thickBot="1" x14ac:dyDescent="0.3">
      <c r="R2" s="100" t="s">
        <v>102</v>
      </c>
      <c r="S2" s="101">
        <v>7.0000000000000007E-2</v>
      </c>
      <c r="V2" s="10"/>
    </row>
    <row r="3" spans="2:28" x14ac:dyDescent="0.25">
      <c r="R3" s="102"/>
      <c r="S3" s="103"/>
      <c r="V3" s="104">
        <f>SUM(V5:V59)</f>
        <v>36377446.098513082</v>
      </c>
      <c r="W3" s="105"/>
      <c r="X3" s="105"/>
      <c r="Y3" s="105"/>
      <c r="Z3" s="105"/>
      <c r="AA3" s="105"/>
      <c r="AB3" s="106"/>
    </row>
    <row r="4" spans="2:28" ht="15.75" thickBot="1" x14ac:dyDescent="0.3">
      <c r="R4" s="102"/>
      <c r="S4" s="103"/>
      <c r="V4" s="107"/>
      <c r="W4" s="108"/>
      <c r="X4" s="108"/>
      <c r="Y4" s="108"/>
      <c r="Z4" s="108"/>
      <c r="AA4" s="108"/>
      <c r="AB4" s="109"/>
    </row>
    <row r="5" spans="2:28" x14ac:dyDescent="0.25">
      <c r="P5" s="110"/>
      <c r="Q5" s="111">
        <f>SUM(Q7:Q59)</f>
        <v>44981928.619753726</v>
      </c>
      <c r="R5" s="102"/>
      <c r="S5" s="112">
        <f>SUM(S7:S59)</f>
        <v>36317676.586632743</v>
      </c>
      <c r="V5" s="113" t="s">
        <v>276</v>
      </c>
      <c r="W5" s="108"/>
      <c r="X5" s="108"/>
      <c r="Y5" s="108"/>
      <c r="Z5" s="108"/>
      <c r="AA5" s="108"/>
      <c r="AB5" s="109"/>
    </row>
    <row r="6" spans="2:28" ht="75" x14ac:dyDescent="0.25">
      <c r="B6" s="114" t="s">
        <v>277</v>
      </c>
      <c r="I6" t="s">
        <v>59</v>
      </c>
      <c r="J6" t="s">
        <v>60</v>
      </c>
      <c r="K6" s="10" t="s">
        <v>278</v>
      </c>
      <c r="L6" s="10" t="s">
        <v>54</v>
      </c>
      <c r="M6" t="s">
        <v>279</v>
      </c>
      <c r="N6" t="s">
        <v>280</v>
      </c>
      <c r="O6" s="10" t="s">
        <v>281</v>
      </c>
      <c r="P6" s="115" t="s">
        <v>282</v>
      </c>
      <c r="Q6" s="116" t="s">
        <v>283</v>
      </c>
      <c r="R6" s="117" t="s">
        <v>284</v>
      </c>
      <c r="S6" s="103" t="s">
        <v>101</v>
      </c>
      <c r="T6" s="10" t="s">
        <v>285</v>
      </c>
      <c r="V6" s="118" t="s">
        <v>286</v>
      </c>
      <c r="W6" s="10" t="s">
        <v>287</v>
      </c>
      <c r="X6" s="10" t="s">
        <v>288</v>
      </c>
      <c r="Y6" s="119"/>
      <c r="Z6" s="10" t="s">
        <v>289</v>
      </c>
      <c r="AA6" s="10" t="s">
        <v>290</v>
      </c>
      <c r="AB6" s="120" t="s">
        <v>291</v>
      </c>
    </row>
    <row r="7" spans="2:28" ht="30" x14ac:dyDescent="0.25">
      <c r="B7" s="121" t="s">
        <v>292</v>
      </c>
      <c r="C7" s="122" t="s">
        <v>293</v>
      </c>
      <c r="D7" s="122" t="s">
        <v>294</v>
      </c>
      <c r="E7" s="123" t="s">
        <v>295</v>
      </c>
      <c r="F7" s="123" t="s">
        <v>296</v>
      </c>
      <c r="I7" s="18">
        <f>'Discount Details'!B6</f>
        <v>10005</v>
      </c>
      <c r="J7" s="3" t="str">
        <f>'Discount Details'!C6</f>
        <v>Alder Mutual Light</v>
      </c>
      <c r="K7" s="2">
        <f>'Discount Details'!D6</f>
        <v>46.76785057839863</v>
      </c>
      <c r="L7" s="2">
        <f>'Discount Details'!E6</f>
        <v>7.789479078586619</v>
      </c>
      <c r="M7" s="124" cm="1">
        <f t="array" ref="M7">LOOKUP(2, 1/((K7 &gt;= $C$8:$C$20) * (K7 &lt;= $D$8:$D$20)), $B$8:$B$20)</f>
        <v>0</v>
      </c>
      <c r="N7" s="124" cm="1">
        <f t="array" ref="N7">LOOKUP(2, 1/((L7 &gt;= $E$8:$E$20) * (L7 &lt;= $F$8:$F$20)), $B$8:$B$20)</f>
        <v>0.03</v>
      </c>
      <c r="O7" s="3">
        <f>'Discount Details'!I6</f>
        <v>0</v>
      </c>
      <c r="P7" s="125">
        <f>M7+N7+O7</f>
        <v>0.03</v>
      </c>
      <c r="Q7" s="126">
        <f>P7*'Discount Details'!Q6</f>
        <v>5256.5917889240545</v>
      </c>
      <c r="R7" s="125">
        <f>MIN(P7, $S$2)</f>
        <v>0.03</v>
      </c>
      <c r="S7" s="126">
        <f>R7*'Discount Details'!Q6</f>
        <v>5256.5917889240545</v>
      </c>
      <c r="T7" s="127">
        <f t="shared" ref="T7:T59" si="0">Q7-S7</f>
        <v>0</v>
      </c>
      <c r="V7" s="128">
        <f>'Discount Details'!U6</f>
        <v>4348.9536067031677</v>
      </c>
      <c r="W7" s="17">
        <f>Q7-V7</f>
        <v>907.63818222088685</v>
      </c>
      <c r="X7" s="17">
        <f>S7-V7</f>
        <v>907.63818222088685</v>
      </c>
      <c r="Y7" s="119"/>
      <c r="Z7" s="3">
        <f>'Discount Details'!N6</f>
        <v>2.4819999999999998E-2</v>
      </c>
      <c r="AA7" s="3">
        <f t="shared" ref="AA7:AA59" si="1">P7-Z7</f>
        <v>5.1800000000000006E-3</v>
      </c>
      <c r="AB7" s="129">
        <f t="shared" ref="AB7:AB59" si="2">R7-Z7</f>
        <v>5.1800000000000006E-3</v>
      </c>
    </row>
    <row r="8" spans="2:28" x14ac:dyDescent="0.25">
      <c r="B8" s="130">
        <v>0</v>
      </c>
      <c r="C8" s="131">
        <f t="shared" ref="C8:C17" si="3">D9</f>
        <v>36</v>
      </c>
      <c r="D8" s="131">
        <v>100</v>
      </c>
      <c r="E8" s="132">
        <f t="shared" ref="E8:E17" si="4">F9</f>
        <v>12</v>
      </c>
      <c r="F8" s="132"/>
      <c r="I8" s="18">
        <f>'Discount Details'!B7</f>
        <v>10025</v>
      </c>
      <c r="J8" s="3" t="str">
        <f>'Discount Details'!C7</f>
        <v>Benton Rural Elect. Assoc.</v>
      </c>
      <c r="K8" s="2">
        <f>'Discount Details'!D7</f>
        <v>7.4648574608518521</v>
      </c>
      <c r="L8" s="2">
        <f>'Discount Details'!E7</f>
        <v>8.8016666666666659</v>
      </c>
      <c r="M8" s="124" cm="1">
        <f t="array" ref="M8">LOOKUP(2, 1/((K8 &gt;= $C$8:$C$20) * (K8 &lt;= $D$8:$D$20)), $B$8:$B$20)</f>
        <v>5.5E-2</v>
      </c>
      <c r="N8" s="124" cm="1">
        <f t="array" ref="N8">LOOKUP(2, 1/((L8 &gt;= $E$8:$E$20) * (L8 &lt;= $F$8:$F$20)), $B$8:$B$20)</f>
        <v>2.5000000000000001E-2</v>
      </c>
      <c r="O8" s="3">
        <f>'Discount Details'!I7</f>
        <v>0</v>
      </c>
      <c r="P8" s="125">
        <f t="shared" ref="P8:P59" si="5">M8+N8+O8</f>
        <v>0.08</v>
      </c>
      <c r="Q8" s="126">
        <f>P8*'Discount Details'!Q7</f>
        <v>1479771.7346498263</v>
      </c>
      <c r="R8" s="125">
        <f t="shared" ref="R8:R59" si="6">MIN(P8, $S$2)</f>
        <v>7.0000000000000007E-2</v>
      </c>
      <c r="S8" s="126">
        <f>R8*'Discount Details'!Q7</f>
        <v>1294800.2678185981</v>
      </c>
      <c r="T8" s="127">
        <f t="shared" si="0"/>
        <v>184971.46683122823</v>
      </c>
      <c r="V8" s="128">
        <f>'Discount Details'!U7</f>
        <v>1105389.4857834203</v>
      </c>
      <c r="W8" s="17">
        <f t="shared" ref="W8:W59" si="7">Q8-V8</f>
        <v>374382.24886640604</v>
      </c>
      <c r="X8" s="17">
        <f t="shared" ref="X8:X59" si="8">S8-V8</f>
        <v>189410.78203517781</v>
      </c>
      <c r="Y8" s="119"/>
      <c r="Z8" s="3">
        <f>'Discount Details'!N7</f>
        <v>5.9760000000000001E-2</v>
      </c>
      <c r="AA8" s="3">
        <f t="shared" si="1"/>
        <v>2.0240000000000001E-2</v>
      </c>
      <c r="AB8" s="129">
        <f t="shared" si="2"/>
        <v>1.0240000000000006E-2</v>
      </c>
    </row>
    <row r="9" spans="2:28" x14ac:dyDescent="0.25">
      <c r="B9" s="133">
        <v>5.0000000000000001E-3</v>
      </c>
      <c r="C9" s="131">
        <f t="shared" si="3"/>
        <v>34.130000000000003</v>
      </c>
      <c r="D9" s="131">
        <v>36</v>
      </c>
      <c r="E9" s="132">
        <f t="shared" si="4"/>
        <v>11.38</v>
      </c>
      <c r="F9" s="132">
        <v>12</v>
      </c>
      <c r="I9" s="18">
        <f>'Discount Details'!B8</f>
        <v>10027</v>
      </c>
      <c r="J9" s="3" t="str">
        <f>'Discount Details'!C8</f>
        <v>Big Bend Electric Coop.</v>
      </c>
      <c r="K9" s="2">
        <f>'Discount Details'!D8</f>
        <v>10.062277544986841</v>
      </c>
      <c r="L9" s="2">
        <f>'Discount Details'!E8</f>
        <v>4.0188911704312114</v>
      </c>
      <c r="M9" s="124" cm="1">
        <f t="array" ref="M9">LOOKUP(2, 1/((K9 &gt;= $C$8:$C$20) * (K9 &lt;= $D$8:$D$20)), $B$8:$B$20)</f>
        <v>0.05</v>
      </c>
      <c r="N9" s="124" cm="1">
        <f t="array" ref="N9">LOOKUP(2, 1/((L9 &gt;= $E$8:$E$20) * (L9 &lt;= $F$8:$F$20)), $B$8:$B$20)</f>
        <v>0.05</v>
      </c>
      <c r="O9" s="3">
        <f>'Discount Details'!I8</f>
        <v>0</v>
      </c>
      <c r="P9" s="125">
        <f t="shared" si="5"/>
        <v>0.1</v>
      </c>
      <c r="Q9" s="126">
        <f>P9*'Discount Details'!Q8</f>
        <v>1870087.5273032726</v>
      </c>
      <c r="R9" s="125">
        <f t="shared" si="6"/>
        <v>7.0000000000000007E-2</v>
      </c>
      <c r="S9" s="126">
        <f>R9*'Discount Details'!Q8</f>
        <v>1309061.2691122908</v>
      </c>
      <c r="T9" s="127">
        <f t="shared" si="0"/>
        <v>561026.25819098181</v>
      </c>
      <c r="V9" s="128">
        <f>'Discount Details'!U8</f>
        <v>1450252.8774236876</v>
      </c>
      <c r="W9" s="17">
        <f t="shared" si="7"/>
        <v>419834.64987958502</v>
      </c>
      <c r="X9" s="17">
        <f t="shared" si="8"/>
        <v>-141191.60831139679</v>
      </c>
      <c r="Y9" s="119"/>
      <c r="Z9" s="3">
        <f>'Discount Details'!N8</f>
        <v>7.7549999999999994E-2</v>
      </c>
      <c r="AA9" s="3">
        <f t="shared" si="1"/>
        <v>2.2450000000000012E-2</v>
      </c>
      <c r="AB9" s="129">
        <f t="shared" si="2"/>
        <v>-7.5499999999999873E-3</v>
      </c>
    </row>
    <row r="10" spans="2:28" x14ac:dyDescent="0.25">
      <c r="B10" s="133">
        <v>0.01</v>
      </c>
      <c r="C10" s="131">
        <f t="shared" si="3"/>
        <v>32.14</v>
      </c>
      <c r="D10" s="131">
        <v>34.130000000000003</v>
      </c>
      <c r="E10" s="132">
        <f t="shared" si="4"/>
        <v>10.71</v>
      </c>
      <c r="F10" s="132">
        <v>11.38</v>
      </c>
      <c r="I10" s="18">
        <f>'Discount Details'!B9</f>
        <v>10029</v>
      </c>
      <c r="J10" s="3" t="str">
        <f>'Discount Details'!C9</f>
        <v>Blachly-Lane Electric</v>
      </c>
      <c r="K10" s="2">
        <f>'Discount Details'!D9</f>
        <v>6.7839019265419633</v>
      </c>
      <c r="L10" s="2">
        <f>'Discount Details'!E9</f>
        <v>7.3747494989979963</v>
      </c>
      <c r="M10" s="124" cm="1">
        <f t="array" ref="M10">LOOKUP(2, 1/((K10 &gt;= $C$8:$C$20) * (K10 &lt;= $D$8:$D$20)), $B$8:$B$20)</f>
        <v>5.5E-2</v>
      </c>
      <c r="N10" s="124" cm="1">
        <f t="array" ref="N10">LOOKUP(2, 1/((L10 &gt;= $E$8:$E$20) * (L10 &lt;= $F$8:$F$20)), $B$8:$B$20)</f>
        <v>3.5000000000000003E-2</v>
      </c>
      <c r="O10" s="3">
        <f>'Discount Details'!I9</f>
        <v>0</v>
      </c>
      <c r="P10" s="125">
        <f t="shared" si="5"/>
        <v>0.09</v>
      </c>
      <c r="Q10" s="126">
        <f>P10*'Discount Details'!Q9</f>
        <v>510446.57409004599</v>
      </c>
      <c r="R10" s="125">
        <f t="shared" si="6"/>
        <v>7.0000000000000007E-2</v>
      </c>
      <c r="S10" s="126">
        <f>R10*'Discount Details'!Q9</f>
        <v>397014.00207003579</v>
      </c>
      <c r="T10" s="127">
        <f t="shared" si="0"/>
        <v>113432.57202001021</v>
      </c>
      <c r="V10" s="128">
        <f>'Discount Details'!U9</f>
        <v>453673.5717940309</v>
      </c>
      <c r="W10" s="17">
        <f t="shared" si="7"/>
        <v>56773.002296015096</v>
      </c>
      <c r="X10" s="17">
        <f t="shared" si="8"/>
        <v>-56659.569723995111</v>
      </c>
      <c r="Y10" s="119"/>
      <c r="Z10" s="3">
        <f>'Discount Details'!N9</f>
        <v>7.9990000000000006E-2</v>
      </c>
      <c r="AA10" s="3">
        <f t="shared" si="1"/>
        <v>1.0009999999999991E-2</v>
      </c>
      <c r="AB10" s="129">
        <f t="shared" si="2"/>
        <v>-9.9899999999999989E-3</v>
      </c>
    </row>
    <row r="11" spans="2:28" x14ac:dyDescent="0.25">
      <c r="B11" s="133">
        <v>1.4999999999999999E-2</v>
      </c>
      <c r="C11" s="131">
        <f t="shared" si="3"/>
        <v>30.03</v>
      </c>
      <c r="D11" s="131">
        <v>32.14</v>
      </c>
      <c r="E11" s="132">
        <f t="shared" si="4"/>
        <v>10.01</v>
      </c>
      <c r="F11" s="132">
        <v>10.71</v>
      </c>
      <c r="I11" s="18">
        <f>'Discount Details'!B10</f>
        <v>10065</v>
      </c>
      <c r="J11" s="3" t="str">
        <f>'Discount Details'!C10</f>
        <v>City of Cascade Locks</v>
      </c>
      <c r="K11" s="2">
        <f>'Discount Details'!D10</f>
        <v>15.707838574355518</v>
      </c>
      <c r="L11" s="2">
        <f>'Discount Details'!E10</f>
        <v>11.082191780821917</v>
      </c>
      <c r="M11" s="124" cm="1">
        <f t="array" ref="M11">LOOKUP(2, 1/((K11 &gt;= $C$8:$C$20) * (K11 &lt;= $D$8:$D$20)), $B$8:$B$20)</f>
        <v>4.4999999999999998E-2</v>
      </c>
      <c r="N11" s="124" cm="1">
        <f t="array" ref="N11">LOOKUP(2, 1/((L11 &gt;= $E$8:$E$20) * (L11 &lt;= $F$8:$F$20)), $B$8:$B$20)</f>
        <v>0.01</v>
      </c>
      <c r="O11" s="3">
        <f>'Discount Details'!I10</f>
        <v>0</v>
      </c>
      <c r="P11" s="125">
        <f t="shared" si="5"/>
        <v>5.5E-2</v>
      </c>
      <c r="Q11" s="126">
        <f>P11*'Discount Details'!Q10</f>
        <v>38705.09882680796</v>
      </c>
      <c r="R11" s="125">
        <f t="shared" si="6"/>
        <v>5.5E-2</v>
      </c>
      <c r="S11" s="126">
        <f>R11*'Discount Details'!Q10</f>
        <v>38705.09882680796</v>
      </c>
      <c r="T11" s="127">
        <f t="shared" si="0"/>
        <v>0</v>
      </c>
      <c r="V11" s="128">
        <f>'Discount Details'!U10</f>
        <v>46692.42376652197</v>
      </c>
      <c r="W11" s="17">
        <f t="shared" si="7"/>
        <v>-7987.3249397140098</v>
      </c>
      <c r="X11" s="17">
        <f t="shared" si="8"/>
        <v>-7987.3249397140098</v>
      </c>
      <c r="Y11" s="119"/>
      <c r="Z11" s="3">
        <f>'Discount Details'!N10</f>
        <v>6.6350000000000006E-2</v>
      </c>
      <c r="AA11" s="3">
        <f t="shared" si="1"/>
        <v>-1.1350000000000006E-2</v>
      </c>
      <c r="AB11" s="129">
        <f t="shared" si="2"/>
        <v>-1.1350000000000006E-2</v>
      </c>
    </row>
    <row r="12" spans="2:28" x14ac:dyDescent="0.25">
      <c r="B12" s="133">
        <v>0.02</v>
      </c>
      <c r="C12" s="131">
        <f t="shared" si="3"/>
        <v>27.77</v>
      </c>
      <c r="D12" s="131">
        <v>30.03</v>
      </c>
      <c r="E12" s="132">
        <f t="shared" si="4"/>
        <v>9.25</v>
      </c>
      <c r="F12" s="132">
        <v>10.01</v>
      </c>
      <c r="I12" s="18">
        <f>'Discount Details'!B11</f>
        <v>10046</v>
      </c>
      <c r="J12" s="3" t="str">
        <f>'Discount Details'!C11</f>
        <v>Central Electric</v>
      </c>
      <c r="K12" s="2">
        <f>'Discount Details'!D11</f>
        <v>5.1512492911482184</v>
      </c>
      <c r="L12" s="2">
        <f>'Discount Details'!E11</f>
        <v>7.6824012314007186</v>
      </c>
      <c r="M12" s="124" cm="1">
        <f t="array" ref="M12">LOOKUP(2, 1/((K12 &gt;= $C$8:$C$20) * (K12 &lt;= $D$8:$D$20)), $B$8:$B$20)</f>
        <v>5.5E-2</v>
      </c>
      <c r="N12" s="124" cm="1">
        <f t="array" ref="N12">LOOKUP(2, 1/((L12 &gt;= $E$8:$E$20) * (L12 &lt;= $F$8:$F$20)), $B$8:$B$20)</f>
        <v>0.03</v>
      </c>
      <c r="O12" s="3">
        <f>'Discount Details'!I11</f>
        <v>0</v>
      </c>
      <c r="P12" s="125">
        <f t="shared" si="5"/>
        <v>8.4999999999999992E-2</v>
      </c>
      <c r="Q12" s="126">
        <f>P12*'Discount Details'!Q11</f>
        <v>2239971.5109288665</v>
      </c>
      <c r="R12" s="125">
        <f t="shared" si="6"/>
        <v>7.0000000000000007E-2</v>
      </c>
      <c r="S12" s="126">
        <f>R12*'Discount Details'!Q11</f>
        <v>1844682.4207649489</v>
      </c>
      <c r="T12" s="127">
        <f t="shared" si="0"/>
        <v>395289.09016391751</v>
      </c>
      <c r="V12" s="128">
        <f>'Discount Details'!U11</f>
        <v>2069206.6239780542</v>
      </c>
      <c r="W12" s="17">
        <f t="shared" si="7"/>
        <v>170764.8869508123</v>
      </c>
      <c r="X12" s="17">
        <f t="shared" si="8"/>
        <v>-224524.20321310521</v>
      </c>
      <c r="Y12" s="119"/>
      <c r="Z12" s="3">
        <f>'Discount Details'!N11</f>
        <v>7.8520000000000006E-2</v>
      </c>
      <c r="AA12" s="3">
        <f t="shared" si="1"/>
        <v>6.4799999999999858E-3</v>
      </c>
      <c r="AB12" s="129">
        <f t="shared" si="2"/>
        <v>-8.5199999999999998E-3</v>
      </c>
    </row>
    <row r="13" spans="2:28" x14ac:dyDescent="0.25">
      <c r="B13" s="133">
        <v>2.5000000000000001E-2</v>
      </c>
      <c r="C13" s="131">
        <f t="shared" si="3"/>
        <v>25.34</v>
      </c>
      <c r="D13" s="131">
        <v>27.77</v>
      </c>
      <c r="E13" s="132">
        <f t="shared" si="4"/>
        <v>8.4499999999999993</v>
      </c>
      <c r="F13" s="132">
        <v>9.25</v>
      </c>
      <c r="I13" s="18">
        <f>'Discount Details'!B12</f>
        <v>10101</v>
      </c>
      <c r="J13" s="3" t="str">
        <f>'Discount Details'!C12</f>
        <v>Clallam County PUD</v>
      </c>
      <c r="K13" s="2">
        <f>'Discount Details'!D12</f>
        <v>4.7041187774613018</v>
      </c>
      <c r="L13" s="2">
        <f>'Discount Details'!E12</f>
        <v>11.395987328405491</v>
      </c>
      <c r="M13" s="124" cm="1">
        <f t="array" ref="M13">LOOKUP(2, 1/((K13 &gt;= $C$8:$C$20) * (K13 &lt;= $D$8:$D$20)), $B$8:$B$20)</f>
        <v>0.06</v>
      </c>
      <c r="N13" s="124" cm="1">
        <f t="array" ref="N13">LOOKUP(2, 1/((L13 &gt;= $E$8:$E$20) * (L13 &lt;= $F$8:$F$20)), $B$8:$B$20)</f>
        <v>5.0000000000000001E-3</v>
      </c>
      <c r="O13" s="3">
        <f>'Discount Details'!I12</f>
        <v>0</v>
      </c>
      <c r="P13" s="125">
        <f t="shared" si="5"/>
        <v>6.5000000000000002E-2</v>
      </c>
      <c r="Q13" s="126">
        <f>P13*'Discount Details'!Q12</f>
        <v>1583200.9361097186</v>
      </c>
      <c r="R13" s="125">
        <f t="shared" si="6"/>
        <v>6.5000000000000002E-2</v>
      </c>
      <c r="S13" s="126">
        <f>R13*'Discount Details'!Q12</f>
        <v>1583200.9361097186</v>
      </c>
      <c r="T13" s="127">
        <f t="shared" si="0"/>
        <v>0</v>
      </c>
      <c r="V13" s="128">
        <f>'Discount Details'!U12</f>
        <v>1240985.9645352333</v>
      </c>
      <c r="W13" s="17">
        <f t="shared" si="7"/>
        <v>342214.9715744853</v>
      </c>
      <c r="X13" s="17">
        <f t="shared" si="8"/>
        <v>342214.9715744853</v>
      </c>
      <c r="Y13" s="119"/>
      <c r="Z13" s="3">
        <f>'Discount Details'!N12</f>
        <v>5.0950000000000002E-2</v>
      </c>
      <c r="AA13" s="3">
        <f t="shared" si="1"/>
        <v>1.405E-2</v>
      </c>
      <c r="AB13" s="129">
        <f t="shared" si="2"/>
        <v>1.405E-2</v>
      </c>
    </row>
    <row r="14" spans="2:28" x14ac:dyDescent="0.25">
      <c r="B14" s="133">
        <v>0.03</v>
      </c>
      <c r="C14" s="131">
        <f t="shared" si="3"/>
        <v>22.71</v>
      </c>
      <c r="D14" s="131">
        <v>25.34</v>
      </c>
      <c r="E14" s="132">
        <f t="shared" si="4"/>
        <v>7.57</v>
      </c>
      <c r="F14" s="132">
        <v>8.4499999999999993</v>
      </c>
      <c r="I14" s="18">
        <f>'Discount Details'!B13</f>
        <v>10106</v>
      </c>
      <c r="J14" s="3" t="str">
        <f>'Discount Details'!C13</f>
        <v>Clearwater Power</v>
      </c>
      <c r="K14" s="2">
        <f>'Discount Details'!D13</f>
        <v>3.8719234339899864</v>
      </c>
      <c r="L14" s="2">
        <f>'Discount Details'!E13</f>
        <v>3.6789926681542875</v>
      </c>
      <c r="M14" s="124" cm="1">
        <f t="array" ref="M14">LOOKUP(2, 1/((K14 &gt;= $C$8:$C$20) * (K14 &lt;= $D$8:$D$20)), $B$8:$B$20)</f>
        <v>0.06</v>
      </c>
      <c r="N14" s="124" cm="1">
        <f t="array" ref="N14">LOOKUP(2, 1/((L14 &gt;= $E$8:$E$20) * (L14 &lt;= $F$8:$F$20)), $B$8:$B$20)</f>
        <v>0.05</v>
      </c>
      <c r="O14" s="3">
        <f>'Discount Details'!I13</f>
        <v>0</v>
      </c>
      <c r="P14" s="125">
        <f t="shared" si="5"/>
        <v>0.11</v>
      </c>
      <c r="Q14" s="126">
        <f>P14*'Discount Details'!Q13</f>
        <v>845688.94517011521</v>
      </c>
      <c r="R14" s="125">
        <f t="shared" si="6"/>
        <v>7.0000000000000007E-2</v>
      </c>
      <c r="S14" s="126">
        <f>R14*'Discount Details'!Q13</f>
        <v>538165.69238098245</v>
      </c>
      <c r="T14" s="127">
        <f t="shared" si="0"/>
        <v>307523.25278913276</v>
      </c>
      <c r="V14" s="128">
        <f>'Discount Details'!U13</f>
        <v>543854.8725575814</v>
      </c>
      <c r="W14" s="17">
        <f t="shared" si="7"/>
        <v>301834.07261253381</v>
      </c>
      <c r="X14" s="17">
        <f t="shared" si="8"/>
        <v>-5689.1801765989512</v>
      </c>
      <c r="Y14" s="119"/>
      <c r="Z14" s="3">
        <f>'Discount Details'!N13</f>
        <v>7.0739999999999997E-2</v>
      </c>
      <c r="AA14" s="3">
        <f t="shared" si="1"/>
        <v>3.9260000000000003E-2</v>
      </c>
      <c r="AB14" s="129">
        <f t="shared" si="2"/>
        <v>-7.3999999999999067E-4</v>
      </c>
    </row>
    <row r="15" spans="2:28" x14ac:dyDescent="0.25">
      <c r="B15" s="133">
        <v>3.5000000000000003E-2</v>
      </c>
      <c r="C15" s="131">
        <f t="shared" si="3"/>
        <v>19.86</v>
      </c>
      <c r="D15" s="131">
        <v>22.71</v>
      </c>
      <c r="E15" s="132">
        <f t="shared" si="4"/>
        <v>6.62</v>
      </c>
      <c r="F15" s="132">
        <v>7.57</v>
      </c>
      <c r="I15" s="18">
        <f>'Discount Details'!B14</f>
        <v>10109</v>
      </c>
      <c r="J15" s="3" t="str">
        <f>'Discount Details'!C14</f>
        <v>Columbia Basin Coop.</v>
      </c>
      <c r="K15" s="2">
        <f>'Discount Details'!D14</f>
        <v>6.9927994569388687</v>
      </c>
      <c r="L15" s="2">
        <f>'Discount Details'!E14</f>
        <v>3.2062600321027288</v>
      </c>
      <c r="M15" s="124" cm="1">
        <f t="array" ref="M15">LOOKUP(2, 1/((K15 &gt;= $C$8:$C$20) * (K15 &lt;= $D$8:$D$20)), $B$8:$B$20)</f>
        <v>5.5E-2</v>
      </c>
      <c r="N15" s="124" cm="1">
        <f t="array" ref="N15">LOOKUP(2, 1/((L15 &gt;= $E$8:$E$20) * (L15 &lt;= $F$8:$F$20)), $B$8:$B$20)</f>
        <v>0.05</v>
      </c>
      <c r="O15" s="3">
        <f>'Discount Details'!I14</f>
        <v>0</v>
      </c>
      <c r="P15" s="125">
        <f t="shared" si="5"/>
        <v>0.10500000000000001</v>
      </c>
      <c r="Q15" s="126">
        <f>P15*'Discount Details'!Q14</f>
        <v>409648.87082182278</v>
      </c>
      <c r="R15" s="125">
        <f t="shared" si="6"/>
        <v>7.0000000000000007E-2</v>
      </c>
      <c r="S15" s="126">
        <f>R15*'Discount Details'!Q14</f>
        <v>273099.24721454852</v>
      </c>
      <c r="T15" s="127">
        <f t="shared" si="0"/>
        <v>136549.62360727426</v>
      </c>
      <c r="V15" s="128">
        <f>'Discount Details'!U14</f>
        <v>334312.49276878091</v>
      </c>
      <c r="W15" s="17">
        <f t="shared" si="7"/>
        <v>75336.378053041873</v>
      </c>
      <c r="X15" s="17">
        <f t="shared" si="8"/>
        <v>-61213.245554232388</v>
      </c>
      <c r="Y15" s="119"/>
      <c r="Z15" s="3">
        <f>'Discount Details'!N14</f>
        <v>8.5690000000000002E-2</v>
      </c>
      <c r="AA15" s="3">
        <f t="shared" si="1"/>
        <v>1.9310000000000008E-2</v>
      </c>
      <c r="AB15" s="129">
        <f t="shared" si="2"/>
        <v>-1.5689999999999996E-2</v>
      </c>
    </row>
    <row r="16" spans="2:28" x14ac:dyDescent="0.25">
      <c r="B16" s="133">
        <v>0.04</v>
      </c>
      <c r="C16" s="131">
        <f t="shared" si="3"/>
        <v>16.739999999999998</v>
      </c>
      <c r="D16" s="131">
        <v>19.86</v>
      </c>
      <c r="E16" s="132">
        <f t="shared" si="4"/>
        <v>5.58</v>
      </c>
      <c r="F16" s="132">
        <v>6.62</v>
      </c>
      <c r="I16" s="18">
        <f>'Discount Details'!B15</f>
        <v>10111</v>
      </c>
      <c r="J16" s="3" t="str">
        <f>'Discount Details'!C15</f>
        <v>Columbia Power Coop.</v>
      </c>
      <c r="K16" s="2">
        <f>'Discount Details'!D15</f>
        <v>1.4332885844081409</v>
      </c>
      <c r="L16" s="2">
        <f>'Discount Details'!E15</f>
        <v>1.881453154875717</v>
      </c>
      <c r="M16" s="124" cm="1">
        <f t="array" ref="M16">LOOKUP(2, 1/((K16 &gt;= $C$8:$C$20) * (K16 &lt;= $D$8:$D$20)), $B$8:$B$20)</f>
        <v>0.06</v>
      </c>
      <c r="N16" s="124" cm="1">
        <f t="array" ref="N16">LOOKUP(2, 1/((L16 &gt;= $E$8:$E$20) * (L16 &lt;= $F$8:$F$20)), $B$8:$B$20)</f>
        <v>5.5E-2</v>
      </c>
      <c r="O16" s="3">
        <f>'Discount Details'!I15</f>
        <v>5.0000000000000001E-3</v>
      </c>
      <c r="P16" s="125">
        <f t="shared" si="5"/>
        <v>0.12</v>
      </c>
      <c r="Q16" s="126">
        <f>P16*'Discount Details'!Q15</f>
        <v>121191.36973591549</v>
      </c>
      <c r="R16" s="125">
        <f t="shared" si="6"/>
        <v>7.0000000000000007E-2</v>
      </c>
      <c r="S16" s="126">
        <f>R16*'Discount Details'!Q15</f>
        <v>70694.96567928404</v>
      </c>
      <c r="T16" s="127">
        <f t="shared" si="0"/>
        <v>50496.404056631451</v>
      </c>
      <c r="V16" s="128">
        <f>'Discount Details'!U15</f>
        <v>70694.96567928404</v>
      </c>
      <c r="W16" s="17">
        <f t="shared" si="7"/>
        <v>50496.404056631451</v>
      </c>
      <c r="X16" s="17">
        <f t="shared" si="8"/>
        <v>0</v>
      </c>
      <c r="Y16" s="119"/>
      <c r="Z16" s="3">
        <f>'Discount Details'!N15</f>
        <v>7.0000000000000007E-2</v>
      </c>
      <c r="AA16" s="3">
        <f t="shared" si="1"/>
        <v>4.9999999999999989E-2</v>
      </c>
      <c r="AB16" s="129">
        <f t="shared" si="2"/>
        <v>0</v>
      </c>
    </row>
    <row r="17" spans="2:28" x14ac:dyDescent="0.25">
      <c r="B17" s="133">
        <v>4.4999999999999998E-2</v>
      </c>
      <c r="C17" s="131">
        <f t="shared" si="3"/>
        <v>13.3</v>
      </c>
      <c r="D17" s="131">
        <v>16.739999999999998</v>
      </c>
      <c r="E17" s="132">
        <f t="shared" si="4"/>
        <v>4.43</v>
      </c>
      <c r="F17" s="132">
        <v>5.58</v>
      </c>
      <c r="I17" s="18">
        <f>'Discount Details'!B16</f>
        <v>10113</v>
      </c>
      <c r="J17" s="3" t="str">
        <f>'Discount Details'!C16</f>
        <v>Columbia REA</v>
      </c>
      <c r="K17" s="2">
        <f>'Discount Details'!D16</f>
        <v>4.0008804413695858</v>
      </c>
      <c r="L17" s="2">
        <f>'Discount Details'!E16</f>
        <v>4.5633187772925767</v>
      </c>
      <c r="M17" s="124" cm="1">
        <f t="array" ref="M17">LOOKUP(2, 1/((K17 &gt;= $C$8:$C$20) * (K17 &lt;= $D$8:$D$20)), $B$8:$B$20)</f>
        <v>0.06</v>
      </c>
      <c r="N17" s="124" cm="1">
        <f t="array" ref="N17">LOOKUP(2, 1/((L17 &gt;= $E$8:$E$20) * (L17 &lt;= $F$8:$F$20)), $B$8:$B$20)</f>
        <v>4.4999999999999998E-2</v>
      </c>
      <c r="O17" s="3">
        <f>'Discount Details'!I16</f>
        <v>0</v>
      </c>
      <c r="P17" s="125">
        <f t="shared" si="5"/>
        <v>0.105</v>
      </c>
      <c r="Q17" s="126">
        <f>P17*'Discount Details'!Q16</f>
        <v>1173931.6077850726</v>
      </c>
      <c r="R17" s="125">
        <f t="shared" si="6"/>
        <v>7.0000000000000007E-2</v>
      </c>
      <c r="S17" s="126">
        <f>R17*'Discount Details'!Q16</f>
        <v>782621.07185671513</v>
      </c>
      <c r="T17" s="127">
        <f t="shared" si="0"/>
        <v>391310.53592835751</v>
      </c>
      <c r="V17" s="128">
        <f>'Discount Details'!U16</f>
        <v>903703.73197397543</v>
      </c>
      <c r="W17" s="17">
        <f t="shared" si="7"/>
        <v>270227.87581109721</v>
      </c>
      <c r="X17" s="17">
        <f t="shared" si="8"/>
        <v>-121082.6601172603</v>
      </c>
      <c r="Y17" s="119"/>
      <c r="Z17" s="3">
        <f>'Discount Details'!N16</f>
        <v>8.0829999999999999E-2</v>
      </c>
      <c r="AA17" s="3">
        <f t="shared" si="1"/>
        <v>2.4169999999999997E-2</v>
      </c>
      <c r="AB17" s="129">
        <f t="shared" si="2"/>
        <v>-1.0829999999999992E-2</v>
      </c>
    </row>
    <row r="18" spans="2:28" x14ac:dyDescent="0.25">
      <c r="B18" s="134">
        <v>0.05</v>
      </c>
      <c r="C18" s="135">
        <f>D19</f>
        <v>9.43</v>
      </c>
      <c r="D18" s="135">
        <v>13.3</v>
      </c>
      <c r="E18" s="136">
        <f>F19</f>
        <v>3.14</v>
      </c>
      <c r="F18" s="136">
        <v>4.43</v>
      </c>
      <c r="I18" s="18">
        <f>'Discount Details'!B17</f>
        <v>10118</v>
      </c>
      <c r="J18" s="3" t="str">
        <f>'Discount Details'!C17</f>
        <v>Consumers Power</v>
      </c>
      <c r="K18" s="2">
        <f>'Discount Details'!D17</f>
        <v>3.8670976591631625</v>
      </c>
      <c r="L18" s="2">
        <f>'Discount Details'!E17</f>
        <v>7.6554208974778906</v>
      </c>
      <c r="M18" s="124" cm="1">
        <f t="array" ref="M18">LOOKUP(2, 1/((K18 &gt;= $C$8:$C$20) * (K18 &lt;= $D$8:$D$20)), $B$8:$B$20)</f>
        <v>0.06</v>
      </c>
      <c r="N18" s="124" cm="1">
        <f t="array" ref="N18">LOOKUP(2, 1/((L18 &gt;= $E$8:$E$20) * (L18 &lt;= $F$8:$F$20)), $B$8:$B$20)</f>
        <v>0.03</v>
      </c>
      <c r="O18" s="3">
        <f>'Discount Details'!I17</f>
        <v>0</v>
      </c>
      <c r="P18" s="125">
        <f t="shared" si="5"/>
        <v>0.09</v>
      </c>
      <c r="Q18" s="126">
        <f>P18*'Discount Details'!Q17</f>
        <v>1323456.5685799778</v>
      </c>
      <c r="R18" s="125">
        <f t="shared" si="6"/>
        <v>7.0000000000000007E-2</v>
      </c>
      <c r="S18" s="126">
        <f>R18*'Discount Details'!Q17</f>
        <v>1029355.1088955385</v>
      </c>
      <c r="T18" s="127">
        <f t="shared" si="0"/>
        <v>294101.45968443935</v>
      </c>
      <c r="V18" s="128">
        <f>'Discount Details'!U17</f>
        <v>1029943.3118149072</v>
      </c>
      <c r="W18" s="17">
        <f t="shared" si="7"/>
        <v>293513.2567650706</v>
      </c>
      <c r="X18" s="17">
        <f t="shared" si="8"/>
        <v>-588.20291936874855</v>
      </c>
      <c r="Y18" s="119"/>
      <c r="Z18" s="3">
        <f>'Discount Details'!N17</f>
        <v>7.0040000000000005E-2</v>
      </c>
      <c r="AA18" s="3">
        <f t="shared" si="1"/>
        <v>1.9959999999999992E-2</v>
      </c>
      <c r="AB18" s="129">
        <f t="shared" si="2"/>
        <v>-3.999999999999837E-5</v>
      </c>
    </row>
    <row r="19" spans="2:28" x14ac:dyDescent="0.25">
      <c r="B19" s="137">
        <v>5.5E-2</v>
      </c>
      <c r="C19" s="138">
        <f>D20</f>
        <v>5.05</v>
      </c>
      <c r="D19" s="138">
        <v>9.43</v>
      </c>
      <c r="E19" s="139">
        <f>F20</f>
        <v>1.68</v>
      </c>
      <c r="F19" s="139">
        <v>3.14</v>
      </c>
      <c r="I19" s="18">
        <f>'Discount Details'!B18</f>
        <v>10121</v>
      </c>
      <c r="J19" s="3" t="str">
        <f>'Discount Details'!C18</f>
        <v>Coos-Curry Electric</v>
      </c>
      <c r="K19" s="2">
        <f>'Discount Details'!D18</f>
        <v>3.8803511487049573</v>
      </c>
      <c r="L19" s="2">
        <f>'Discount Details'!E18</f>
        <v>9.1088861076345431</v>
      </c>
      <c r="M19" s="124" cm="1">
        <f t="array" ref="M19">LOOKUP(2, 1/((K19 &gt;= $C$8:$C$20) * (K19 &lt;= $D$8:$D$20)), $B$8:$B$20)</f>
        <v>0.06</v>
      </c>
      <c r="N19" s="124" cm="1">
        <f t="array" ref="N19">LOOKUP(2, 1/((L19 &gt;= $E$8:$E$20) * (L19 &lt;= $F$8:$F$20)), $B$8:$B$20)</f>
        <v>2.5000000000000001E-2</v>
      </c>
      <c r="O19" s="3">
        <f>'Discount Details'!I18</f>
        <v>0</v>
      </c>
      <c r="P19" s="125">
        <f t="shared" si="5"/>
        <v>8.4999999999999992E-2</v>
      </c>
      <c r="Q19" s="126">
        <f>P19*'Discount Details'!Q18</f>
        <v>1080813.1564272877</v>
      </c>
      <c r="R19" s="125">
        <f t="shared" si="6"/>
        <v>7.0000000000000007E-2</v>
      </c>
      <c r="S19" s="126">
        <f>R19*'Discount Details'!Q18</f>
        <v>890081.42294011952</v>
      </c>
      <c r="T19" s="127">
        <f t="shared" si="0"/>
        <v>190731.73348716821</v>
      </c>
      <c r="V19" s="128">
        <f>'Discount Details'!U18</f>
        <v>762926.93394867377</v>
      </c>
      <c r="W19" s="17">
        <f t="shared" si="7"/>
        <v>317886.22247861396</v>
      </c>
      <c r="X19" s="17">
        <f t="shared" si="8"/>
        <v>127154.48899144575</v>
      </c>
      <c r="Y19" s="119"/>
      <c r="Z19" s="3">
        <f>'Discount Details'!N18</f>
        <v>0.06</v>
      </c>
      <c r="AA19" s="3">
        <f t="shared" si="1"/>
        <v>2.4999999999999994E-2</v>
      </c>
      <c r="AB19" s="129">
        <f t="shared" si="2"/>
        <v>1.0000000000000009E-2</v>
      </c>
    </row>
    <row r="20" spans="2:28" x14ac:dyDescent="0.25">
      <c r="B20" s="137">
        <v>0.06</v>
      </c>
      <c r="C20" s="138">
        <v>0</v>
      </c>
      <c r="D20" s="138">
        <v>5.05</v>
      </c>
      <c r="E20" s="139">
        <v>0</v>
      </c>
      <c r="F20" s="139">
        <v>1.68</v>
      </c>
      <c r="I20" s="18">
        <f>'Discount Details'!B19</f>
        <v>10136</v>
      </c>
      <c r="J20" s="3" t="str">
        <f>'Discount Details'!C19</f>
        <v>Douglas Electric Coop.</v>
      </c>
      <c r="K20" s="2">
        <f>'Discount Details'!D19</f>
        <v>3.5610411913232052</v>
      </c>
      <c r="L20" s="2">
        <f>'Discount Details'!E19</f>
        <v>6.5276569297700435</v>
      </c>
      <c r="M20" s="124" cm="1">
        <f t="array" ref="M20">LOOKUP(2, 1/((K20 &gt;= $C$8:$C$20) * (K20 &lt;= $D$8:$D$20)), $B$8:$B$20)</f>
        <v>0.06</v>
      </c>
      <c r="N20" s="124" cm="1">
        <f t="array" ref="N20">LOOKUP(2, 1/((L20 &gt;= $E$8:$E$20) * (L20 &lt;= $F$8:$F$20)), $B$8:$B$20)</f>
        <v>0.04</v>
      </c>
      <c r="O20" s="3">
        <f>'Discount Details'!I19</f>
        <v>0</v>
      </c>
      <c r="P20" s="125">
        <f t="shared" si="5"/>
        <v>0.1</v>
      </c>
      <c r="Q20" s="126">
        <f>P20*'Discount Details'!Q19</f>
        <v>592270.04474971525</v>
      </c>
      <c r="R20" s="125">
        <f t="shared" si="6"/>
        <v>7.0000000000000007E-2</v>
      </c>
      <c r="S20" s="126">
        <f>R20*'Discount Details'!Q19</f>
        <v>414589.03132480069</v>
      </c>
      <c r="T20" s="127">
        <f t="shared" si="0"/>
        <v>177681.01342491456</v>
      </c>
      <c r="V20" s="128">
        <f>'Discount Details'!U19</f>
        <v>414589.03132480069</v>
      </c>
      <c r="W20" s="17">
        <f t="shared" si="7"/>
        <v>177681.01342491456</v>
      </c>
      <c r="X20" s="17">
        <f t="shared" si="8"/>
        <v>0</v>
      </c>
      <c r="Y20" s="119"/>
      <c r="Z20" s="3">
        <f>'Discount Details'!N19</f>
        <v>7.0000000000000007E-2</v>
      </c>
      <c r="AA20" s="3">
        <f t="shared" si="1"/>
        <v>0.03</v>
      </c>
      <c r="AB20" s="129">
        <f t="shared" si="2"/>
        <v>0</v>
      </c>
    </row>
    <row r="21" spans="2:28" x14ac:dyDescent="0.25">
      <c r="I21" s="18">
        <f>'Discount Details'!B20</f>
        <v>10142</v>
      </c>
      <c r="J21" s="3" t="str">
        <f>'Discount Details'!C20</f>
        <v>East End Mutual Elect.</v>
      </c>
      <c r="K21" s="2">
        <f>'Discount Details'!D20</f>
        <v>43.306109887457382</v>
      </c>
      <c r="L21" s="2">
        <f>'Discount Details'!E20</f>
        <v>5.65625</v>
      </c>
      <c r="M21" s="124" cm="1">
        <f t="array" ref="M21">LOOKUP(2, 1/((K21 &gt;= $C$8:$C$20) * (K21 &lt;= $D$8:$D$20)), $B$8:$B$20)</f>
        <v>0</v>
      </c>
      <c r="N21" s="124" cm="1">
        <f t="array" ref="N21">LOOKUP(2, 1/((L21 &gt;= $E$8:$E$20) * (L21 &lt;= $F$8:$F$20)), $B$8:$B$20)</f>
        <v>0.04</v>
      </c>
      <c r="O21" s="3">
        <f>'Discount Details'!I20</f>
        <v>0</v>
      </c>
      <c r="P21" s="125">
        <f t="shared" si="5"/>
        <v>0.04</v>
      </c>
      <c r="Q21" s="126">
        <f>P21*'Discount Details'!Q20</f>
        <v>34670.100692304746</v>
      </c>
      <c r="R21" s="125">
        <f t="shared" si="6"/>
        <v>0.04</v>
      </c>
      <c r="S21" s="126">
        <f>R21*'Discount Details'!Q20</f>
        <v>34670.100692304746</v>
      </c>
      <c r="T21" s="127">
        <f t="shared" si="0"/>
        <v>0</v>
      </c>
      <c r="V21" s="128">
        <f>'Discount Details'!U20</f>
        <v>32069.843140381887</v>
      </c>
      <c r="W21" s="17">
        <f t="shared" si="7"/>
        <v>2600.2575519228594</v>
      </c>
      <c r="X21" s="17">
        <f t="shared" si="8"/>
        <v>2600.2575519228594</v>
      </c>
      <c r="Y21" s="119"/>
      <c r="Z21" s="3">
        <f>'Discount Details'!N20</f>
        <v>3.6999999999999998E-2</v>
      </c>
      <c r="AA21" s="3">
        <f t="shared" si="1"/>
        <v>3.0000000000000027E-3</v>
      </c>
      <c r="AB21" s="129">
        <f t="shared" si="2"/>
        <v>3.0000000000000027E-3</v>
      </c>
    </row>
    <row r="22" spans="2:28" ht="15.75" thickBot="1" x14ac:dyDescent="0.3">
      <c r="B22" s="140" t="s">
        <v>297</v>
      </c>
      <c r="I22" s="18">
        <f>'Discount Details'!B21</f>
        <v>10157</v>
      </c>
      <c r="J22" s="3" t="str">
        <f>'Discount Details'!C21</f>
        <v>Emerald PUD</v>
      </c>
      <c r="K22" s="2">
        <f>'Discount Details'!D21</f>
        <v>6.3865724197442235</v>
      </c>
      <c r="L22" s="2">
        <f>'Discount Details'!E21</f>
        <v>10.6455</v>
      </c>
      <c r="M22" s="124" cm="1">
        <f t="array" ref="M22">LOOKUP(2, 1/((K22 &gt;= $C$8:$C$20) * (K22 &lt;= $D$8:$D$20)), $B$8:$B$20)</f>
        <v>5.5E-2</v>
      </c>
      <c r="N22" s="124" cm="1">
        <f t="array" ref="N22">LOOKUP(2, 1/((L22 &gt;= $E$8:$E$20) * (L22 &lt;= $F$8:$F$20)), $B$8:$B$20)</f>
        <v>1.4999999999999999E-2</v>
      </c>
      <c r="O22" s="3">
        <f>'Discount Details'!I21</f>
        <v>0</v>
      </c>
      <c r="P22" s="125">
        <f t="shared" si="5"/>
        <v>7.0000000000000007E-2</v>
      </c>
      <c r="Q22" s="126">
        <f>P22*'Discount Details'!Q21</f>
        <v>1038646.0338839651</v>
      </c>
      <c r="R22" s="125">
        <f t="shared" si="6"/>
        <v>7.0000000000000007E-2</v>
      </c>
      <c r="S22" s="126">
        <f>R22*'Discount Details'!Q21</f>
        <v>1038646.0338839651</v>
      </c>
      <c r="T22" s="127">
        <f t="shared" si="0"/>
        <v>0</v>
      </c>
      <c r="V22" s="128">
        <f>'Discount Details'!U21</f>
        <v>894570.99118377501</v>
      </c>
      <c r="W22" s="17">
        <f t="shared" si="7"/>
        <v>144075.0427001901</v>
      </c>
      <c r="X22" s="17">
        <f t="shared" si="8"/>
        <v>144075.0427001901</v>
      </c>
      <c r="Y22" s="119"/>
      <c r="Z22" s="3">
        <f>'Discount Details'!N21</f>
        <v>6.0290000000000003E-2</v>
      </c>
      <c r="AA22" s="3">
        <f t="shared" si="1"/>
        <v>9.7100000000000034E-3</v>
      </c>
      <c r="AB22" s="129">
        <f t="shared" si="2"/>
        <v>9.7100000000000034E-3</v>
      </c>
    </row>
    <row r="23" spans="2:28" x14ac:dyDescent="0.25">
      <c r="B23" s="141" t="s">
        <v>298</v>
      </c>
      <c r="C23" s="142"/>
      <c r="D23" s="143"/>
      <c r="I23" s="18">
        <f>'Discount Details'!B22</f>
        <v>10173</v>
      </c>
      <c r="J23" s="3" t="str">
        <f>'Discount Details'!C22</f>
        <v>Fall River Electric Coop.</v>
      </c>
      <c r="K23" s="2">
        <f>'Discount Details'!D22</f>
        <v>6.1317435322721074</v>
      </c>
      <c r="L23" s="2">
        <f>'Discount Details'!E22</f>
        <v>6.1473341473341474</v>
      </c>
      <c r="M23" s="124" cm="1">
        <f t="array" ref="M23">LOOKUP(2, 1/((K23 &gt;= $C$8:$C$20) * (K23 &lt;= $D$8:$D$20)), $B$8:$B$20)</f>
        <v>5.5E-2</v>
      </c>
      <c r="N23" s="124" cm="1">
        <f t="array" ref="N23">LOOKUP(2, 1/((L23 &gt;= $E$8:$E$20) * (L23 &lt;= $F$8:$F$20)), $B$8:$B$20)</f>
        <v>0.04</v>
      </c>
      <c r="O23" s="3">
        <f>'Discount Details'!I22</f>
        <v>0</v>
      </c>
      <c r="P23" s="125">
        <f t="shared" si="5"/>
        <v>9.5000000000000001E-2</v>
      </c>
      <c r="Q23" s="126">
        <f>P23*'Discount Details'!Q22</f>
        <v>1013315.8159834065</v>
      </c>
      <c r="R23" s="125">
        <f t="shared" si="6"/>
        <v>7.0000000000000007E-2</v>
      </c>
      <c r="S23" s="126">
        <f>R23*'Discount Details'!Q22</f>
        <v>746653.75914566801</v>
      </c>
      <c r="T23" s="127">
        <f t="shared" si="0"/>
        <v>266662.05683773849</v>
      </c>
      <c r="V23" s="128">
        <f>'Discount Details'!U22</f>
        <v>904304.36714813882</v>
      </c>
      <c r="W23" s="17">
        <f t="shared" si="7"/>
        <v>109011.44883526769</v>
      </c>
      <c r="X23" s="17">
        <f t="shared" si="8"/>
        <v>-157650.60800247081</v>
      </c>
      <c r="Y23" s="119"/>
      <c r="Z23" s="3">
        <f>'Discount Details'!N22</f>
        <v>8.4779999999999994E-2</v>
      </c>
      <c r="AA23" s="3">
        <f t="shared" si="1"/>
        <v>1.0220000000000007E-2</v>
      </c>
      <c r="AB23" s="129">
        <f t="shared" si="2"/>
        <v>-1.4779999999999988E-2</v>
      </c>
    </row>
    <row r="24" spans="2:28" x14ac:dyDescent="0.25">
      <c r="B24" s="144" t="s">
        <v>309</v>
      </c>
      <c r="D24" s="145"/>
      <c r="I24" s="18">
        <f>'Discount Details'!B23</f>
        <v>10177</v>
      </c>
      <c r="J24" s="3" t="str">
        <f>'Discount Details'!C23</f>
        <v>Ferry County PUD</v>
      </c>
      <c r="K24" s="2">
        <f>'Discount Details'!D23</f>
        <v>7.4405757948174234</v>
      </c>
      <c r="L24" s="2">
        <f>'Discount Details'!E23</f>
        <v>5.6565809379727687</v>
      </c>
      <c r="M24" s="124" cm="1">
        <f t="array" ref="M24">LOOKUP(2, 1/((K24 &gt;= $C$8:$C$20) * (K24 &lt;= $D$8:$D$20)), $B$8:$B$20)</f>
        <v>5.5E-2</v>
      </c>
      <c r="N24" s="124" cm="1">
        <f t="array" ref="N24">LOOKUP(2, 1/((L24 &gt;= $E$8:$E$20) * (L24 &lt;= $F$8:$F$20)), $B$8:$B$20)</f>
        <v>0.04</v>
      </c>
      <c r="O24" s="3">
        <f>'Discount Details'!I23</f>
        <v>0</v>
      </c>
      <c r="P24" s="125">
        <f t="shared" si="5"/>
        <v>9.5000000000000001E-2</v>
      </c>
      <c r="Q24" s="126">
        <f>P24*'Discount Details'!Q23</f>
        <v>255817.17709312509</v>
      </c>
      <c r="R24" s="125">
        <f t="shared" si="6"/>
        <v>7.0000000000000007E-2</v>
      </c>
      <c r="S24" s="126">
        <f>R24*'Discount Details'!Q23</f>
        <v>188496.86733177639</v>
      </c>
      <c r="T24" s="127">
        <f t="shared" si="0"/>
        <v>67320.309761348704</v>
      </c>
      <c r="V24" s="128">
        <f>'Discount Details'!U23</f>
        <v>188496.86733177639</v>
      </c>
      <c r="W24" s="17">
        <f t="shared" si="7"/>
        <v>67320.309761348704</v>
      </c>
      <c r="X24" s="17">
        <f t="shared" si="8"/>
        <v>0</v>
      </c>
      <c r="Y24" s="119"/>
      <c r="Z24" s="3">
        <f>'Discount Details'!N23</f>
        <v>7.0000000000000007E-2</v>
      </c>
      <c r="AA24" s="3">
        <f t="shared" si="1"/>
        <v>2.4999999999999994E-2</v>
      </c>
      <c r="AB24" s="129">
        <f t="shared" si="2"/>
        <v>0</v>
      </c>
    </row>
    <row r="25" spans="2:28" x14ac:dyDescent="0.25">
      <c r="B25" s="144"/>
      <c r="D25" s="145"/>
      <c r="I25" s="18">
        <f>'Discount Details'!B24</f>
        <v>10186</v>
      </c>
      <c r="J25" s="3" t="str">
        <f>'Discount Details'!C24</f>
        <v>Glacier Electric Coop.</v>
      </c>
      <c r="K25" s="2">
        <f>'Discount Details'!D24</f>
        <v>5.449060172259526</v>
      </c>
      <c r="L25" s="2">
        <f>'Discount Details'!E24</f>
        <v>5.3452945159106298</v>
      </c>
      <c r="M25" s="124" cm="1">
        <f t="array" ref="M25">LOOKUP(2, 1/((K25 &gt;= $C$8:$C$20) * (K25 &lt;= $D$8:$D$20)), $B$8:$B$20)</f>
        <v>5.5E-2</v>
      </c>
      <c r="N25" s="124" cm="1">
        <f t="array" ref="N25">LOOKUP(2, 1/((L25 &gt;= $E$8:$E$20) * (L25 &lt;= $F$8:$F$20)), $B$8:$B$20)</f>
        <v>4.4999999999999998E-2</v>
      </c>
      <c r="O25" s="3">
        <f>'Discount Details'!I24</f>
        <v>0</v>
      </c>
      <c r="P25" s="125">
        <f t="shared" si="5"/>
        <v>0.1</v>
      </c>
      <c r="Q25" s="126">
        <f>P25*'Discount Details'!Q24</f>
        <v>554794.98284546449</v>
      </c>
      <c r="R25" s="125">
        <f t="shared" si="6"/>
        <v>7.0000000000000007E-2</v>
      </c>
      <c r="S25" s="126">
        <f>R25*'Discount Details'!Q24</f>
        <v>388356.48799182515</v>
      </c>
      <c r="T25" s="127">
        <f t="shared" si="0"/>
        <v>166438.49485363933</v>
      </c>
      <c r="V25" s="128">
        <f>'Discount Details'!U24</f>
        <v>388356.48799182515</v>
      </c>
      <c r="W25" s="17">
        <f t="shared" si="7"/>
        <v>166438.49485363933</v>
      </c>
      <c r="X25" s="17">
        <f t="shared" si="8"/>
        <v>0</v>
      </c>
      <c r="Y25" s="119"/>
      <c r="Z25" s="3">
        <f>'Discount Details'!N24</f>
        <v>7.0000000000000007E-2</v>
      </c>
      <c r="AA25" s="3">
        <f t="shared" si="1"/>
        <v>0.03</v>
      </c>
      <c r="AB25" s="129">
        <f t="shared" si="2"/>
        <v>0</v>
      </c>
    </row>
    <row r="26" spans="2:28" x14ac:dyDescent="0.25">
      <c r="B26" s="144"/>
      <c r="D26" s="145"/>
      <c r="I26" s="18">
        <f>'Discount Details'!B25</f>
        <v>10197</v>
      </c>
      <c r="J26" s="3" t="str">
        <f>'Discount Details'!C25</f>
        <v>Harney Electric Coop.</v>
      </c>
      <c r="K26" s="2">
        <f>'Discount Details'!D25</f>
        <v>11.633690732223757</v>
      </c>
      <c r="L26" s="2">
        <f>'Discount Details'!E25</f>
        <v>1.3809160305343511</v>
      </c>
      <c r="M26" s="124" cm="1">
        <f t="array" ref="M26">LOOKUP(2, 1/((K26 &gt;= $C$8:$C$20) * (K26 &lt;= $D$8:$D$20)), $B$8:$B$20)</f>
        <v>0.05</v>
      </c>
      <c r="N26" s="124" cm="1">
        <f t="array" ref="N26">LOOKUP(2, 1/((L26 &gt;= $E$8:$E$20) * (L26 &lt;= $F$8:$F$20)), $B$8:$B$20)</f>
        <v>0.06</v>
      </c>
      <c r="O26" s="3">
        <f>'Discount Details'!I25</f>
        <v>5.0000000000000001E-3</v>
      </c>
      <c r="P26" s="125">
        <f t="shared" si="5"/>
        <v>0.115</v>
      </c>
      <c r="Q26" s="126">
        <f>P26*'Discount Details'!Q25</f>
        <v>794768.06455579924</v>
      </c>
      <c r="R26" s="125">
        <f t="shared" si="6"/>
        <v>7.0000000000000007E-2</v>
      </c>
      <c r="S26" s="126">
        <f>R26*'Discount Details'!Q25</f>
        <v>483771.86538179085</v>
      </c>
      <c r="T26" s="127">
        <f t="shared" si="0"/>
        <v>310996.19917400839</v>
      </c>
      <c r="V26" s="128">
        <f>'Discount Details'!U25</f>
        <v>600291.7746723193</v>
      </c>
      <c r="W26" s="17">
        <f t="shared" si="7"/>
        <v>194476.28988347994</v>
      </c>
      <c r="X26" s="17">
        <f t="shared" si="8"/>
        <v>-116519.90929052845</v>
      </c>
      <c r="Y26" s="119"/>
      <c r="Z26" s="3">
        <f>'Discount Details'!N25</f>
        <v>8.6860000000000007E-2</v>
      </c>
      <c r="AA26" s="3">
        <f t="shared" si="1"/>
        <v>2.8139999999999998E-2</v>
      </c>
      <c r="AB26" s="129">
        <f t="shared" si="2"/>
        <v>-1.686E-2</v>
      </c>
    </row>
    <row r="27" spans="2:28" x14ac:dyDescent="0.25">
      <c r="B27" s="146" t="s">
        <v>301</v>
      </c>
      <c r="C27" s="147"/>
      <c r="D27" s="145"/>
      <c r="I27" s="18">
        <f>'Discount Details'!B26</f>
        <v>10203</v>
      </c>
      <c r="J27" s="3" t="str">
        <f>'Discount Details'!C26</f>
        <v>Idaho County L&amp;P Coop.</v>
      </c>
      <c r="K27" s="2">
        <f>'Discount Details'!D26</f>
        <v>5.3504833956253055</v>
      </c>
      <c r="L27" s="2">
        <f>'Discount Details'!E26</f>
        <v>3.9656729900632341</v>
      </c>
      <c r="M27" s="124" cm="1">
        <f t="array" ref="M27">LOOKUP(2, 1/((K27 &gt;= $C$8:$C$20) * (K27 &lt;= $D$8:$D$20)), $B$8:$B$20)</f>
        <v>5.5E-2</v>
      </c>
      <c r="N27" s="124" cm="1">
        <f t="array" ref="N27">LOOKUP(2, 1/((L27 &gt;= $E$8:$E$20) * (L27 &lt;= $F$8:$F$20)), $B$8:$B$20)</f>
        <v>0.05</v>
      </c>
      <c r="O27" s="3">
        <f>'Discount Details'!I26</f>
        <v>0</v>
      </c>
      <c r="P27" s="125">
        <f t="shared" si="5"/>
        <v>0.10500000000000001</v>
      </c>
      <c r="Q27" s="126">
        <f>P27*'Discount Details'!Q26</f>
        <v>211564.20750033669</v>
      </c>
      <c r="R27" s="125">
        <f t="shared" si="6"/>
        <v>7.0000000000000007E-2</v>
      </c>
      <c r="S27" s="126">
        <f>R27*'Discount Details'!Q26</f>
        <v>141042.80500022447</v>
      </c>
      <c r="T27" s="127">
        <f t="shared" si="0"/>
        <v>70521.402500112221</v>
      </c>
      <c r="V27" s="128">
        <f>'Discount Details'!U26</f>
        <v>152749.35781524307</v>
      </c>
      <c r="W27" s="17">
        <f t="shared" si="7"/>
        <v>58814.849685093621</v>
      </c>
      <c r="X27" s="17">
        <f t="shared" si="8"/>
        <v>-11706.5528150186</v>
      </c>
      <c r="Y27" s="119"/>
      <c r="Z27" s="3">
        <f>'Discount Details'!N26</f>
        <v>7.5810000000000002E-2</v>
      </c>
      <c r="AA27" s="3">
        <f t="shared" si="1"/>
        <v>2.9190000000000008E-2</v>
      </c>
      <c r="AB27" s="129">
        <f t="shared" si="2"/>
        <v>-5.8099999999999957E-3</v>
      </c>
    </row>
    <row r="28" spans="2:28" x14ac:dyDescent="0.25">
      <c r="B28" s="144" t="s">
        <v>309</v>
      </c>
      <c r="D28" s="145"/>
      <c r="I28" s="18">
        <f>'Discount Details'!B27</f>
        <v>10209</v>
      </c>
      <c r="J28" s="3" t="str">
        <f>'Discount Details'!C27</f>
        <v>Inland Power &amp; Light</v>
      </c>
      <c r="K28" s="2">
        <f>'Discount Details'!D27</f>
        <v>6.8150435356494796</v>
      </c>
      <c r="L28" s="2">
        <f>'Discount Details'!E27</f>
        <v>5.9793733681462138</v>
      </c>
      <c r="M28" s="124" cm="1">
        <f t="array" ref="M28">LOOKUP(2, 1/((K28 &gt;= $C$8:$C$20) * (K28 &lt;= $D$8:$D$20)), $B$8:$B$20)</f>
        <v>5.5E-2</v>
      </c>
      <c r="N28" s="124" cm="1">
        <f t="array" ref="N28">LOOKUP(2, 1/((L28 &gt;= $E$8:$E$20) * (L28 &lt;= $F$8:$F$20)), $B$8:$B$20)</f>
        <v>0.04</v>
      </c>
      <c r="O28" s="3">
        <f>'Discount Details'!I27</f>
        <v>0</v>
      </c>
      <c r="P28" s="125">
        <f t="shared" si="5"/>
        <v>9.5000000000000001E-2</v>
      </c>
      <c r="Q28" s="126">
        <f>P28*'Discount Details'!Q27</f>
        <v>3273435.5630148314</v>
      </c>
      <c r="R28" s="125">
        <f t="shared" si="6"/>
        <v>7.0000000000000007E-2</v>
      </c>
      <c r="S28" s="126">
        <f>R28*'Discount Details'!Q27</f>
        <v>2412005.1516951392</v>
      </c>
      <c r="T28" s="127">
        <f t="shared" si="0"/>
        <v>861430.41131969215</v>
      </c>
      <c r="V28" s="128">
        <f>'Discount Details'!U27</f>
        <v>2940923.4242454297</v>
      </c>
      <c r="W28" s="17">
        <f t="shared" si="7"/>
        <v>332512.1387694017</v>
      </c>
      <c r="X28" s="17">
        <f t="shared" si="8"/>
        <v>-528918.27255029045</v>
      </c>
      <c r="Y28" s="119"/>
      <c r="Z28" s="3">
        <f>'Discount Details'!N27</f>
        <v>8.5349999999999995E-2</v>
      </c>
      <c r="AA28" s="3">
        <f t="shared" si="1"/>
        <v>9.6500000000000058E-3</v>
      </c>
      <c r="AB28" s="129">
        <f t="shared" si="2"/>
        <v>-1.5349999999999989E-2</v>
      </c>
    </row>
    <row r="29" spans="2:28" x14ac:dyDescent="0.25">
      <c r="B29" s="144"/>
      <c r="D29" s="145"/>
      <c r="I29" s="18">
        <f>'Discount Details'!B28</f>
        <v>10230</v>
      </c>
      <c r="J29" s="3" t="str">
        <f>'Discount Details'!C28</f>
        <v>Kittitas County PUD</v>
      </c>
      <c r="K29" s="2">
        <f>'Discount Details'!D28</f>
        <v>2.9392365864834651</v>
      </c>
      <c r="L29" s="2">
        <f>'Discount Details'!E28</f>
        <v>6.5855263157894735</v>
      </c>
      <c r="M29" s="124" cm="1">
        <f t="array" ref="M29">LOOKUP(2, 1/((K29 &gt;= $C$8:$C$20) * (K29 &lt;= $D$8:$D$20)), $B$8:$B$20)</f>
        <v>0.06</v>
      </c>
      <c r="N29" s="124" cm="1">
        <f t="array" ref="N29">LOOKUP(2, 1/((L29 &gt;= $E$8:$E$20) * (L29 &lt;= $F$8:$F$20)), $B$8:$B$20)</f>
        <v>0.04</v>
      </c>
      <c r="O29" s="3">
        <f>'Discount Details'!I28</f>
        <v>0</v>
      </c>
      <c r="P29" s="125">
        <f t="shared" si="5"/>
        <v>0.1</v>
      </c>
      <c r="Q29" s="126">
        <f>P29*'Discount Details'!Q28</f>
        <v>332706.23409858719</v>
      </c>
      <c r="R29" s="125">
        <f t="shared" si="6"/>
        <v>7.0000000000000007E-2</v>
      </c>
      <c r="S29" s="126">
        <f>R29*'Discount Details'!Q28</f>
        <v>232894.36386901102</v>
      </c>
      <c r="T29" s="127">
        <f t="shared" si="0"/>
        <v>99811.870229576161</v>
      </c>
      <c r="V29" s="128">
        <f>'Discount Details'!U28</f>
        <v>296175.08959456231</v>
      </c>
      <c r="W29" s="17">
        <f t="shared" si="7"/>
        <v>36531.14450402488</v>
      </c>
      <c r="X29" s="17">
        <f t="shared" si="8"/>
        <v>-63280.725725551281</v>
      </c>
      <c r="Y29" s="119"/>
      <c r="Z29" s="3">
        <f>'Discount Details'!N28</f>
        <v>8.9020000000000002E-2</v>
      </c>
      <c r="AA29" s="3">
        <f t="shared" si="1"/>
        <v>1.0980000000000004E-2</v>
      </c>
      <c r="AB29" s="129">
        <f t="shared" si="2"/>
        <v>-1.9019999999999995E-2</v>
      </c>
    </row>
    <row r="30" spans="2:28" x14ac:dyDescent="0.25">
      <c r="B30" s="144"/>
      <c r="D30" s="145"/>
      <c r="I30" s="18">
        <f>'Discount Details'!B29</f>
        <v>10231</v>
      </c>
      <c r="J30" s="3" t="str">
        <f>'Discount Details'!C29</f>
        <v>Klickitat</v>
      </c>
      <c r="K30" s="2">
        <f>'Discount Details'!D29</f>
        <v>4.3258258646456653</v>
      </c>
      <c r="L30" s="2">
        <f>'Discount Details'!E29</f>
        <v>6.9582919563058594</v>
      </c>
      <c r="M30" s="124" cm="1">
        <f t="array" ref="M30">LOOKUP(2, 1/((K30 &gt;= $C$8:$C$20) * (K30 &lt;= $D$8:$D$20)), $B$8:$B$20)</f>
        <v>0.06</v>
      </c>
      <c r="N30" s="124" cm="1">
        <f t="array" ref="N30">LOOKUP(2, 1/((L30 &gt;= $E$8:$E$20) * (L30 &lt;= $F$8:$F$20)), $B$8:$B$20)</f>
        <v>3.5000000000000003E-2</v>
      </c>
      <c r="O30" s="3">
        <f>'Discount Details'!I29</f>
        <v>0</v>
      </c>
      <c r="P30" s="125">
        <f t="shared" si="5"/>
        <v>9.5000000000000001E-2</v>
      </c>
      <c r="Q30" s="126">
        <f>P30*'Discount Details'!Q29</f>
        <v>1116473.0067154407</v>
      </c>
      <c r="R30" s="125">
        <f t="shared" si="6"/>
        <v>7.0000000000000007E-2</v>
      </c>
      <c r="S30" s="126">
        <f>R30*'Discount Details'!Q29</f>
        <v>822664.32073769311</v>
      </c>
      <c r="T30" s="127">
        <f t="shared" si="0"/>
        <v>293808.68597774755</v>
      </c>
      <c r="V30" s="128">
        <f>'Discount Details'!U29</f>
        <v>1276422.4553617262</v>
      </c>
      <c r="W30" s="17">
        <f t="shared" si="7"/>
        <v>-159949.44864628557</v>
      </c>
      <c r="X30" s="17">
        <f t="shared" si="8"/>
        <v>-453758.13462403312</v>
      </c>
      <c r="Y30" s="119"/>
      <c r="Z30" s="3">
        <f>'Discount Details'!N29</f>
        <v>0.10861</v>
      </c>
      <c r="AA30" s="3">
        <f t="shared" si="1"/>
        <v>-1.3609999999999997E-2</v>
      </c>
      <c r="AB30" s="129">
        <f t="shared" si="2"/>
        <v>-3.8609999999999992E-2</v>
      </c>
    </row>
    <row r="31" spans="2:28" ht="15.75" thickBot="1" x14ac:dyDescent="0.3">
      <c r="B31" s="148" t="s">
        <v>303</v>
      </c>
      <c r="C31" s="149"/>
      <c r="D31" s="150"/>
      <c r="I31" s="18">
        <f>'Discount Details'!B30</f>
        <v>10236</v>
      </c>
      <c r="J31" s="3" t="str">
        <f>'Discount Details'!C30</f>
        <v>Lane Electric Coop</v>
      </c>
      <c r="K31" s="2">
        <f>'Discount Details'!D30</f>
        <v>4.0913991689133429</v>
      </c>
      <c r="L31" s="2">
        <f>'Discount Details'!E30</f>
        <v>8.3797202797202797</v>
      </c>
      <c r="M31" s="124" cm="1">
        <f t="array" ref="M31">LOOKUP(2, 1/((K31 &gt;= $C$8:$C$20) * (K31 &lt;= $D$8:$D$20)), $B$8:$B$20)</f>
        <v>0.06</v>
      </c>
      <c r="N31" s="124" cm="1">
        <f t="array" ref="N31">LOOKUP(2, 1/((L31 &gt;= $E$8:$E$20) * (L31 &lt;= $F$8:$F$20)), $B$8:$B$20)</f>
        <v>0.03</v>
      </c>
      <c r="O31" s="3">
        <f>'Discount Details'!I30</f>
        <v>0</v>
      </c>
      <c r="P31" s="125">
        <f t="shared" si="5"/>
        <v>0.09</v>
      </c>
      <c r="Q31" s="126">
        <f>P31*'Discount Details'!Q30</f>
        <v>813458.43686641427</v>
      </c>
      <c r="R31" s="125">
        <f t="shared" si="6"/>
        <v>7.0000000000000007E-2</v>
      </c>
      <c r="S31" s="126">
        <f>R31*'Discount Details'!Q30</f>
        <v>632689.89534054452</v>
      </c>
      <c r="T31" s="127">
        <f t="shared" si="0"/>
        <v>180768.54152586975</v>
      </c>
      <c r="V31" s="128">
        <f>'Discount Details'!U30</f>
        <v>587497.759959077</v>
      </c>
      <c r="W31" s="17">
        <f t="shared" si="7"/>
        <v>225960.67690733727</v>
      </c>
      <c r="X31" s="17">
        <f t="shared" si="8"/>
        <v>45192.135381467524</v>
      </c>
      <c r="Y31" s="119"/>
      <c r="Z31" s="3">
        <f>'Discount Details'!N30</f>
        <v>6.5000000000000002E-2</v>
      </c>
      <c r="AA31" s="3">
        <f t="shared" si="1"/>
        <v>2.4999999999999994E-2</v>
      </c>
      <c r="AB31" s="129">
        <f t="shared" si="2"/>
        <v>5.0000000000000044E-3</v>
      </c>
    </row>
    <row r="32" spans="2:28" x14ac:dyDescent="0.25">
      <c r="I32" s="18">
        <f>'Discount Details'!B31</f>
        <v>10237</v>
      </c>
      <c r="J32" s="3" t="str">
        <f>'Discount Details'!C31</f>
        <v>Lewis County PUD</v>
      </c>
      <c r="K32" s="2">
        <f>'Discount Details'!D31</f>
        <v>7.4627253381951926</v>
      </c>
      <c r="L32" s="2">
        <f>'Discount Details'!E31</f>
        <v>10.866866866866866</v>
      </c>
      <c r="M32" s="124" cm="1">
        <f t="array" ref="M32">LOOKUP(2, 1/((K32 &gt;= $C$8:$C$20) * (K32 &lt;= $D$8:$D$20)), $B$8:$B$20)</f>
        <v>5.5E-2</v>
      </c>
      <c r="N32" s="124" cm="1">
        <f t="array" ref="N32">LOOKUP(2, 1/((L32 &gt;= $E$8:$E$20) * (L32 &lt;= $F$8:$F$20)), $B$8:$B$20)</f>
        <v>0.01</v>
      </c>
      <c r="O32" s="3">
        <f>'Discount Details'!I31</f>
        <v>0</v>
      </c>
      <c r="P32" s="125">
        <f t="shared" si="5"/>
        <v>6.5000000000000002E-2</v>
      </c>
      <c r="Q32" s="126">
        <f>P32*'Discount Details'!Q31</f>
        <v>2166130.64104308</v>
      </c>
      <c r="R32" s="125">
        <f t="shared" si="6"/>
        <v>6.5000000000000002E-2</v>
      </c>
      <c r="S32" s="126">
        <f>R32*'Discount Details'!Q31</f>
        <v>2166130.64104308</v>
      </c>
      <c r="T32" s="127">
        <f t="shared" si="0"/>
        <v>0</v>
      </c>
      <c r="V32" s="128">
        <f>'Discount Details'!U31</f>
        <v>1535619.9990656173</v>
      </c>
      <c r="W32" s="17">
        <f t="shared" si="7"/>
        <v>630510.64197746268</v>
      </c>
      <c r="X32" s="17">
        <f t="shared" si="8"/>
        <v>630510.64197746268</v>
      </c>
      <c r="Y32" s="119"/>
      <c r="Z32" s="3">
        <f>'Discount Details'!N31</f>
        <v>4.6080000000000003E-2</v>
      </c>
      <c r="AA32" s="3">
        <f t="shared" si="1"/>
        <v>1.8919999999999999E-2</v>
      </c>
      <c r="AB32" s="129">
        <f t="shared" si="2"/>
        <v>1.8919999999999999E-2</v>
      </c>
    </row>
    <row r="33" spans="2:28" x14ac:dyDescent="0.25">
      <c r="I33" s="18">
        <f>'Discount Details'!B32</f>
        <v>10239</v>
      </c>
      <c r="J33" s="3" t="str">
        <f>'Discount Details'!C32</f>
        <v>Lincoln Electric</v>
      </c>
      <c r="K33" s="2">
        <f>'Discount Details'!D32</f>
        <v>5.9728030849935081</v>
      </c>
      <c r="L33" s="2">
        <f>'Discount Details'!E32</f>
        <v>6.624113475177305</v>
      </c>
      <c r="M33" s="124" cm="1">
        <f t="array" ref="M33">LOOKUP(2, 1/((K33 &gt;= $C$8:$C$20) * (K33 &lt;= $D$8:$D$20)), $B$8:$B$20)</f>
        <v>5.5E-2</v>
      </c>
      <c r="N33" s="124" cm="1">
        <f t="array" ref="N33">LOOKUP(2, 1/((L33 &gt;= $E$8:$E$20) * (L33 &lt;= $F$8:$F$20)), $B$8:$B$20)</f>
        <v>3.5000000000000003E-2</v>
      </c>
      <c r="O33" s="3">
        <f>'Discount Details'!I32</f>
        <v>0</v>
      </c>
      <c r="P33" s="125">
        <f t="shared" si="5"/>
        <v>0.09</v>
      </c>
      <c r="Q33" s="126">
        <f>P33*'Discount Details'!Q32</f>
        <v>405676.08440412208</v>
      </c>
      <c r="R33" s="125">
        <f t="shared" si="6"/>
        <v>7.0000000000000007E-2</v>
      </c>
      <c r="S33" s="126">
        <f>R33*'Discount Details'!Q32</f>
        <v>315525.84342542832</v>
      </c>
      <c r="T33" s="127">
        <f t="shared" si="0"/>
        <v>90150.240978693764</v>
      </c>
      <c r="V33" s="128">
        <f>'Discount Details'!U32</f>
        <v>340091.78409212234</v>
      </c>
      <c r="W33" s="17">
        <f t="shared" si="7"/>
        <v>65584.300311999745</v>
      </c>
      <c r="X33" s="17">
        <f t="shared" si="8"/>
        <v>-24565.940666694019</v>
      </c>
      <c r="Y33" s="119"/>
      <c r="Z33" s="3">
        <f>'Discount Details'!N32</f>
        <v>7.5450000000000003E-2</v>
      </c>
      <c r="AA33" s="3">
        <f t="shared" si="1"/>
        <v>1.4549999999999993E-2</v>
      </c>
      <c r="AB33" s="129">
        <f t="shared" si="2"/>
        <v>-5.4499999999999965E-3</v>
      </c>
    </row>
    <row r="34" spans="2:28" x14ac:dyDescent="0.25">
      <c r="I34" s="18">
        <f>'Discount Details'!B33</f>
        <v>10242</v>
      </c>
      <c r="J34" s="3" t="str">
        <f>'Discount Details'!C33</f>
        <v>Lost River Electric</v>
      </c>
      <c r="K34" s="2">
        <f>'Discount Details'!D33</f>
        <v>10.79441301197366</v>
      </c>
      <c r="L34" s="2">
        <f>'Discount Details'!E33</f>
        <v>2.5</v>
      </c>
      <c r="M34" s="124" cm="1">
        <f t="array" ref="M34">LOOKUP(2, 1/((K34 &gt;= $C$8:$C$20) * (K34 &lt;= $D$8:$D$20)), $B$8:$B$20)</f>
        <v>0.05</v>
      </c>
      <c r="N34" s="124" cm="1">
        <f t="array" ref="N34">LOOKUP(2, 1/((L34 &gt;= $E$8:$E$20) * (L34 &lt;= $F$8:$F$20)), $B$8:$B$20)</f>
        <v>5.5E-2</v>
      </c>
      <c r="O34" s="3">
        <f>'Discount Details'!I33</f>
        <v>5.0000000000000001E-3</v>
      </c>
      <c r="P34" s="125">
        <f t="shared" si="5"/>
        <v>0.11000000000000001</v>
      </c>
      <c r="Q34" s="126">
        <f>P34*'Discount Details'!Q33</f>
        <v>334524.07210413157</v>
      </c>
      <c r="R34" s="125">
        <f t="shared" si="6"/>
        <v>7.0000000000000007E-2</v>
      </c>
      <c r="S34" s="126">
        <f>R34*'Discount Details'!Q33</f>
        <v>212878.95497535644</v>
      </c>
      <c r="T34" s="127">
        <f t="shared" si="0"/>
        <v>121645.11712877513</v>
      </c>
      <c r="V34" s="128">
        <f>'Discount Details'!U33</f>
        <v>252596.08571790147</v>
      </c>
      <c r="W34" s="17">
        <f t="shared" si="7"/>
        <v>81927.986386230099</v>
      </c>
      <c r="X34" s="17">
        <f t="shared" si="8"/>
        <v>-39717.130742545036</v>
      </c>
      <c r="Y34" s="119"/>
      <c r="Z34" s="3">
        <f>'Discount Details'!N33</f>
        <v>8.3059999999999995E-2</v>
      </c>
      <c r="AA34" s="3">
        <f t="shared" si="1"/>
        <v>2.6940000000000019E-2</v>
      </c>
      <c r="AB34" s="129">
        <f t="shared" si="2"/>
        <v>-1.3059999999999988E-2</v>
      </c>
    </row>
    <row r="35" spans="2:28" x14ac:dyDescent="0.25">
      <c r="I35" s="18">
        <f>'Discount Details'!B34</f>
        <v>10244</v>
      </c>
      <c r="J35" s="3" t="str">
        <f>'Discount Details'!C34</f>
        <v>Lower Valley Energy</v>
      </c>
      <c r="K35" s="2">
        <f>'Discount Details'!D34</f>
        <v>11.055876405878353</v>
      </c>
      <c r="L35" s="2">
        <f>'Discount Details'!E34</f>
        <v>8.2903225806451619</v>
      </c>
      <c r="M35" s="124" cm="1">
        <f t="array" ref="M35">LOOKUP(2, 1/((K35 &gt;= $C$8:$C$20) * (K35 &lt;= $D$8:$D$20)), $B$8:$B$20)</f>
        <v>0.05</v>
      </c>
      <c r="N35" s="124" cm="1">
        <f t="array" ref="N35">LOOKUP(2, 1/((L35 &gt;= $E$8:$E$20) * (L35 &lt;= $F$8:$F$20)), $B$8:$B$20)</f>
        <v>0.03</v>
      </c>
      <c r="O35" s="3">
        <f>'Discount Details'!I34</f>
        <v>0</v>
      </c>
      <c r="P35" s="125">
        <f t="shared" si="5"/>
        <v>0.08</v>
      </c>
      <c r="Q35" s="126">
        <f>P35*'Discount Details'!Q34</f>
        <v>2264249.9451436414</v>
      </c>
      <c r="R35" s="125">
        <f t="shared" si="6"/>
        <v>7.0000000000000007E-2</v>
      </c>
      <c r="S35" s="126">
        <f>R35*'Discount Details'!Q34</f>
        <v>1981218.7020006864</v>
      </c>
      <c r="T35" s="127">
        <f t="shared" si="0"/>
        <v>283031.24314295501</v>
      </c>
      <c r="V35" s="128">
        <f>'Discount Details'!U34</f>
        <v>1808569.6436834836</v>
      </c>
      <c r="W35" s="17">
        <f t="shared" si="7"/>
        <v>455680.30146015785</v>
      </c>
      <c r="X35" s="17">
        <f t="shared" si="8"/>
        <v>172649.05831720284</v>
      </c>
      <c r="Y35" s="119"/>
      <c r="Z35" s="3">
        <f>'Discount Details'!N34</f>
        <v>6.3899999999999998E-2</v>
      </c>
      <c r="AA35" s="3">
        <f t="shared" si="1"/>
        <v>1.6100000000000003E-2</v>
      </c>
      <c r="AB35" s="129">
        <f t="shared" si="2"/>
        <v>6.1000000000000082E-3</v>
      </c>
    </row>
    <row r="36" spans="2:28" x14ac:dyDescent="0.25">
      <c r="B36" t="s">
        <v>365</v>
      </c>
      <c r="I36" s="18">
        <f>'Discount Details'!B35</f>
        <v>10256</v>
      </c>
      <c r="J36" s="3" t="str">
        <f>'Discount Details'!C35</f>
        <v>Midstate Electric Coop.</v>
      </c>
      <c r="K36" s="2">
        <f>'Discount Details'!D35</f>
        <v>6.6438138483271914</v>
      </c>
      <c r="L36" s="2">
        <f>'Discount Details'!E35</f>
        <v>7.6278985507246375</v>
      </c>
      <c r="M36" s="124" cm="1">
        <f t="array" ref="M36">LOOKUP(2, 1/((K36 &gt;= $C$8:$C$20) * (K36 &lt;= $D$8:$D$20)), $B$8:$B$20)</f>
        <v>5.5E-2</v>
      </c>
      <c r="N36" s="124" cm="1">
        <f t="array" ref="N36">LOOKUP(2, 1/((L36 &gt;= $E$8:$E$20) * (L36 &lt;= $F$8:$F$20)), $B$8:$B$20)</f>
        <v>0.03</v>
      </c>
      <c r="O36" s="3">
        <f>'Discount Details'!I35</f>
        <v>0</v>
      </c>
      <c r="P36" s="125">
        <f t="shared" si="5"/>
        <v>8.4999999999999992E-2</v>
      </c>
      <c r="Q36" s="126">
        <f>P36*'Discount Details'!Q35</f>
        <v>1270499.8132350636</v>
      </c>
      <c r="R36" s="125">
        <f t="shared" si="6"/>
        <v>7.0000000000000007E-2</v>
      </c>
      <c r="S36" s="126">
        <f>R36*'Discount Details'!Q35</f>
        <v>1046293.9638406408</v>
      </c>
      <c r="T36" s="127">
        <f t="shared" si="0"/>
        <v>224205.84939442272</v>
      </c>
      <c r="V36" s="128">
        <f>'Discount Details'!U35</f>
        <v>1197109.7651999558</v>
      </c>
      <c r="W36" s="17">
        <f t="shared" si="7"/>
        <v>73390.048035107786</v>
      </c>
      <c r="X36" s="17">
        <f t="shared" si="8"/>
        <v>-150815.80135931494</v>
      </c>
      <c r="Y36" s="119"/>
      <c r="Z36" s="3">
        <f>'Discount Details'!N35</f>
        <v>8.0089999999999995E-2</v>
      </c>
      <c r="AA36" s="3">
        <f t="shared" si="1"/>
        <v>4.9099999999999977E-3</v>
      </c>
      <c r="AB36" s="129">
        <f t="shared" si="2"/>
        <v>-1.0089999999999988E-2</v>
      </c>
    </row>
    <row r="37" spans="2:28" ht="30" x14ac:dyDescent="0.25">
      <c r="B37" s="280" t="s">
        <v>292</v>
      </c>
      <c r="C37" s="280" t="s">
        <v>293</v>
      </c>
      <c r="D37" s="280" t="s">
        <v>294</v>
      </c>
      <c r="E37" s="280" t="s">
        <v>295</v>
      </c>
      <c r="F37" s="280" t="s">
        <v>296</v>
      </c>
      <c r="I37" s="18">
        <f>'Discount Details'!B36</f>
        <v>10258</v>
      </c>
      <c r="J37" s="3" t="str">
        <f>'Discount Details'!C36</f>
        <v>Mission Valley Power</v>
      </c>
      <c r="K37" s="2">
        <f>'Discount Details'!D36</f>
        <v>10.012788594555188</v>
      </c>
      <c r="L37" s="2">
        <f>'Discount Details'!E36</f>
        <v>10.017282765242438</v>
      </c>
      <c r="M37" s="124" cm="1">
        <f t="array" ref="M37">LOOKUP(2, 1/((K37 &gt;= $C$8:$C$20) * (K37 &lt;= $D$8:$D$20)), $B$8:$B$20)</f>
        <v>0.05</v>
      </c>
      <c r="N37" s="124" cm="1">
        <f t="array" ref="N37">LOOKUP(2, 1/((L37 &gt;= $E$8:$E$20) * (L37 &lt;= $F$8:$F$20)), $B$8:$B$20)</f>
        <v>1.4999999999999999E-2</v>
      </c>
      <c r="O37" s="3">
        <f>'Discount Details'!I36</f>
        <v>0</v>
      </c>
      <c r="P37" s="125">
        <f t="shared" si="5"/>
        <v>6.5000000000000002E-2</v>
      </c>
      <c r="Q37" s="126">
        <f>P37*'Discount Details'!Q36</f>
        <v>824263.33523607545</v>
      </c>
      <c r="R37" s="125">
        <f t="shared" si="6"/>
        <v>6.5000000000000002E-2</v>
      </c>
      <c r="S37" s="126">
        <f>R37*'Discount Details'!Q36</f>
        <v>824263.33523607545</v>
      </c>
      <c r="T37" s="127">
        <f t="shared" si="0"/>
        <v>0</v>
      </c>
      <c r="V37" s="128">
        <f>'Discount Details'!U36</f>
        <v>688450.09953794675</v>
      </c>
      <c r="W37" s="17">
        <f t="shared" si="7"/>
        <v>135813.2356981287</v>
      </c>
      <c r="X37" s="17">
        <f t="shared" si="8"/>
        <v>135813.2356981287</v>
      </c>
      <c r="Y37" s="119"/>
      <c r="Z37" s="3">
        <f>'Discount Details'!N36</f>
        <v>5.4289999999999998E-2</v>
      </c>
      <c r="AA37" s="3">
        <f t="shared" si="1"/>
        <v>1.0710000000000004E-2</v>
      </c>
      <c r="AB37" s="129">
        <f t="shared" si="2"/>
        <v>1.0710000000000004E-2</v>
      </c>
    </row>
    <row r="38" spans="2:28" x14ac:dyDescent="0.25">
      <c r="B38" s="281">
        <v>0</v>
      </c>
      <c r="C38" s="282">
        <f t="shared" ref="C38:C47" si="9">D39</f>
        <v>35</v>
      </c>
      <c r="D38" s="282"/>
      <c r="E38" s="282">
        <f t="shared" ref="E38:E47" si="10">F39</f>
        <v>12</v>
      </c>
      <c r="F38" s="282"/>
      <c r="I38" s="18">
        <f>'Discount Details'!B37</f>
        <v>10259</v>
      </c>
      <c r="J38" s="3" t="str">
        <f>'Discount Details'!C37</f>
        <v>Missoula Electric Coop.</v>
      </c>
      <c r="K38" s="2">
        <f>'Discount Details'!D37</f>
        <v>4.7421049133703139</v>
      </c>
      <c r="L38" s="2">
        <f>'Discount Details'!E37</f>
        <v>7.9613861386138618</v>
      </c>
      <c r="M38" s="124" cm="1">
        <f t="array" ref="M38">LOOKUP(2, 1/((K38 &gt;= $C$8:$C$20) * (K38 &lt;= $D$8:$D$20)), $B$8:$B$20)</f>
        <v>0.06</v>
      </c>
      <c r="N38" s="124" cm="1">
        <f t="array" ref="N38">LOOKUP(2, 1/((L38 &gt;= $E$8:$E$20) * (L38 &lt;= $F$8:$F$20)), $B$8:$B$20)</f>
        <v>0.03</v>
      </c>
      <c r="O38" s="3">
        <f>'Discount Details'!I37</f>
        <v>0</v>
      </c>
      <c r="P38" s="125">
        <f t="shared" si="5"/>
        <v>0.09</v>
      </c>
      <c r="Q38" s="126">
        <f>P38*'Discount Details'!Q37</f>
        <v>790547.05145529239</v>
      </c>
      <c r="R38" s="125">
        <f t="shared" si="6"/>
        <v>7.0000000000000007E-2</v>
      </c>
      <c r="S38" s="126">
        <f>R38*'Discount Details'!Q37</f>
        <v>614869.92890967196</v>
      </c>
      <c r="T38" s="127">
        <f t="shared" si="0"/>
        <v>175677.12254562043</v>
      </c>
      <c r="V38" s="128">
        <f>'Discount Details'!U37</f>
        <v>708154.48098139639</v>
      </c>
      <c r="W38" s="17">
        <f t="shared" si="7"/>
        <v>82392.57047389599</v>
      </c>
      <c r="X38" s="17">
        <f t="shared" si="8"/>
        <v>-93284.552071724436</v>
      </c>
      <c r="Y38" s="119"/>
      <c r="Z38" s="3">
        <f>'Discount Details'!N37</f>
        <v>8.0619999999999997E-2</v>
      </c>
      <c r="AA38" s="3">
        <f t="shared" si="1"/>
        <v>9.3799999999999994E-3</v>
      </c>
      <c r="AB38" s="129">
        <f t="shared" si="2"/>
        <v>-1.0619999999999991E-2</v>
      </c>
    </row>
    <row r="39" spans="2:28" x14ac:dyDescent="0.25">
      <c r="B39" s="281">
        <v>5.0000000000000001E-3</v>
      </c>
      <c r="C39" s="282">
        <f t="shared" si="9"/>
        <v>31.5</v>
      </c>
      <c r="D39" s="282">
        <v>35</v>
      </c>
      <c r="E39" s="282">
        <f t="shared" si="10"/>
        <v>10.8</v>
      </c>
      <c r="F39" s="282">
        <v>12</v>
      </c>
      <c r="I39" s="18">
        <f>'Discount Details'!B38</f>
        <v>10273</v>
      </c>
      <c r="J39" s="3" t="str">
        <f>'Discount Details'!C38</f>
        <v>Nespelem Valley Electric</v>
      </c>
      <c r="K39" s="2">
        <f>'Discount Details'!D38</f>
        <v>11.554644154413026</v>
      </c>
      <c r="L39" s="2">
        <f>'Discount Details'!E38</f>
        <v>3.6318289786223277</v>
      </c>
      <c r="M39" s="124" cm="1">
        <f t="array" ref="M39">LOOKUP(2, 1/((K39 &gt;= $C$8:$C$20) * (K39 &lt;= $D$8:$D$20)), $B$8:$B$20)</f>
        <v>0.05</v>
      </c>
      <c r="N39" s="124" cm="1">
        <f t="array" ref="N39">LOOKUP(2, 1/((L39 &gt;= $E$8:$E$20) * (L39 &lt;= $F$8:$F$20)), $B$8:$B$20)</f>
        <v>0.05</v>
      </c>
      <c r="O39" s="3">
        <f>'Discount Details'!I38</f>
        <v>0</v>
      </c>
      <c r="P39" s="125">
        <f t="shared" si="5"/>
        <v>0.1</v>
      </c>
      <c r="Q39" s="126">
        <f>P39*'Discount Details'!Q38</f>
        <v>203215.01223580667</v>
      </c>
      <c r="R39" s="125">
        <f t="shared" si="6"/>
        <v>7.0000000000000007E-2</v>
      </c>
      <c r="S39" s="126">
        <f>R39*'Discount Details'!Q38</f>
        <v>142250.50856506467</v>
      </c>
      <c r="T39" s="127">
        <f t="shared" si="0"/>
        <v>60964.503670742008</v>
      </c>
      <c r="V39" s="128">
        <f>'Discount Details'!U38</f>
        <v>195553.80627451674</v>
      </c>
      <c r="W39" s="17">
        <f t="shared" si="7"/>
        <v>7661.205961289932</v>
      </c>
      <c r="X39" s="17">
        <f t="shared" si="8"/>
        <v>-53303.297709452076</v>
      </c>
      <c r="Y39" s="119"/>
      <c r="Z39" s="3">
        <f>'Discount Details'!N38</f>
        <v>9.6229999999999996E-2</v>
      </c>
      <c r="AA39" s="3">
        <f t="shared" si="1"/>
        <v>3.7700000000000095E-3</v>
      </c>
      <c r="AB39" s="129">
        <f t="shared" si="2"/>
        <v>-2.6229999999999989E-2</v>
      </c>
    </row>
    <row r="40" spans="2:28" x14ac:dyDescent="0.25">
      <c r="B40" s="281">
        <v>0.01</v>
      </c>
      <c r="C40" s="282">
        <f t="shared" si="9"/>
        <v>28</v>
      </c>
      <c r="D40" s="282">
        <v>31.5</v>
      </c>
      <c r="E40" s="282">
        <f t="shared" si="10"/>
        <v>9.6</v>
      </c>
      <c r="F40" s="282">
        <v>10.8</v>
      </c>
      <c r="I40" s="18">
        <f>'Discount Details'!B39</f>
        <v>10278</v>
      </c>
      <c r="J40" s="3" t="str">
        <f>'Discount Details'!C39</f>
        <v>Northern Lights</v>
      </c>
      <c r="K40" s="2">
        <f>'Discount Details'!D39</f>
        <v>5.0461081736048756</v>
      </c>
      <c r="L40" s="2">
        <f>'Discount Details'!E39</f>
        <v>7.8339124391938846</v>
      </c>
      <c r="M40" s="124" cm="1">
        <f t="array" ref="M40">LOOKUP(2, 1/((K40 &gt;= $C$8:$C$20) * (K40 &lt;= $D$8:$D$20)), $B$8:$B$20)</f>
        <v>0.06</v>
      </c>
      <c r="N40" s="124" cm="1">
        <f t="array" ref="N40">LOOKUP(2, 1/((L40 &gt;= $E$8:$E$20) * (L40 &lt;= $F$8:$F$20)), $B$8:$B$20)</f>
        <v>0.03</v>
      </c>
      <c r="O40" s="3">
        <f>'Discount Details'!I39</f>
        <v>0</v>
      </c>
      <c r="P40" s="125">
        <f t="shared" si="5"/>
        <v>0.09</v>
      </c>
      <c r="Q40" s="126">
        <f>P40*'Discount Details'!Q39</f>
        <v>1041053.1271487646</v>
      </c>
      <c r="R40" s="125">
        <f t="shared" si="6"/>
        <v>7.0000000000000007E-2</v>
      </c>
      <c r="S40" s="126">
        <f>R40*'Discount Details'!Q39</f>
        <v>809707.98778237251</v>
      </c>
      <c r="T40" s="127">
        <f t="shared" si="0"/>
        <v>231345.13936639205</v>
      </c>
      <c r="V40" s="128">
        <f>'Discount Details'!U39</f>
        <v>827290.21837421821</v>
      </c>
      <c r="W40" s="17">
        <f t="shared" si="7"/>
        <v>213762.90877454635</v>
      </c>
      <c r="X40" s="17">
        <f t="shared" si="8"/>
        <v>-17582.230591845699</v>
      </c>
      <c r="Y40" s="119"/>
      <c r="Z40" s="3">
        <f>'Discount Details'!N39</f>
        <v>7.152E-2</v>
      </c>
      <c r="AA40" s="3">
        <f t="shared" si="1"/>
        <v>1.8479999999999996E-2</v>
      </c>
      <c r="AB40" s="129">
        <f t="shared" si="2"/>
        <v>-1.5199999999999936E-3</v>
      </c>
    </row>
    <row r="41" spans="2:28" x14ac:dyDescent="0.25">
      <c r="B41" s="281">
        <v>1.4999999999999999E-2</v>
      </c>
      <c r="C41" s="282">
        <f t="shared" si="9"/>
        <v>24.5</v>
      </c>
      <c r="D41" s="282">
        <v>28</v>
      </c>
      <c r="E41" s="282">
        <f t="shared" si="10"/>
        <v>8.4</v>
      </c>
      <c r="F41" s="282">
        <v>9.6</v>
      </c>
      <c r="I41" s="18">
        <f>'Discount Details'!B40</f>
        <v>10284</v>
      </c>
      <c r="J41" s="3" t="str">
        <f>'Discount Details'!C40</f>
        <v>Ohop Mutual Light</v>
      </c>
      <c r="K41" s="2">
        <f>'Discount Details'!D40</f>
        <v>8.7650848429018282</v>
      </c>
      <c r="L41" s="2">
        <f>'Discount Details'!E40</f>
        <v>10.168122270742359</v>
      </c>
      <c r="M41" s="124" cm="1">
        <f t="array" ref="M41">LOOKUP(2, 1/((K41 &gt;= $C$8:$C$20) * (K41 &lt;= $D$8:$D$20)), $B$8:$B$20)</f>
        <v>5.5E-2</v>
      </c>
      <c r="N41" s="124" cm="1">
        <f t="array" ref="N41">LOOKUP(2, 1/((L41 &gt;= $E$8:$E$20) * (L41 &lt;= $F$8:$F$20)), $B$8:$B$20)</f>
        <v>1.4999999999999999E-2</v>
      </c>
      <c r="O41" s="3">
        <f>'Discount Details'!I40</f>
        <v>0</v>
      </c>
      <c r="P41" s="125">
        <f t="shared" si="5"/>
        <v>7.0000000000000007E-2</v>
      </c>
      <c r="Q41" s="126">
        <f>P41*'Discount Details'!Q40</f>
        <v>231317.09714246943</v>
      </c>
      <c r="R41" s="125">
        <f t="shared" si="6"/>
        <v>7.0000000000000007E-2</v>
      </c>
      <c r="S41" s="126">
        <f>R41*'Discount Details'!Q40</f>
        <v>231317.09714246943</v>
      </c>
      <c r="T41" s="127">
        <f t="shared" si="0"/>
        <v>0</v>
      </c>
      <c r="V41" s="128">
        <f>'Discount Details'!U40</f>
        <v>176461.89982011239</v>
      </c>
      <c r="W41" s="17">
        <f t="shared" si="7"/>
        <v>54855.197322357039</v>
      </c>
      <c r="X41" s="17">
        <f t="shared" si="8"/>
        <v>54855.197322357039</v>
      </c>
      <c r="Y41" s="119"/>
      <c r="Z41" s="3">
        <f>'Discount Details'!N40</f>
        <v>5.3400000000000003E-2</v>
      </c>
      <c r="AA41" s="3">
        <f t="shared" si="1"/>
        <v>1.6600000000000004E-2</v>
      </c>
      <c r="AB41" s="129">
        <f t="shared" si="2"/>
        <v>1.6600000000000004E-2</v>
      </c>
    </row>
    <row r="42" spans="2:28" x14ac:dyDescent="0.25">
      <c r="B42" s="281">
        <v>0.02</v>
      </c>
      <c r="C42" s="282">
        <f t="shared" si="9"/>
        <v>21</v>
      </c>
      <c r="D42" s="282">
        <v>24.5</v>
      </c>
      <c r="E42" s="282">
        <f t="shared" si="10"/>
        <v>7.2</v>
      </c>
      <c r="F42" s="282">
        <v>8.4</v>
      </c>
      <c r="I42" s="18">
        <f>'Discount Details'!B41</f>
        <v>10285</v>
      </c>
      <c r="J42" s="3" t="str">
        <f>'Discount Details'!C41</f>
        <v>Okanogan County</v>
      </c>
      <c r="K42" s="2">
        <f>'Discount Details'!D41</f>
        <v>6.8162112194036455</v>
      </c>
      <c r="L42" s="2">
        <f>'Discount Details'!E41</f>
        <v>8.0066079295154182</v>
      </c>
      <c r="M42" s="124" cm="1">
        <f t="array" ref="M42">LOOKUP(2, 1/((K42 &gt;= $C$8:$C$20) * (K42 &lt;= $D$8:$D$20)), $B$8:$B$20)</f>
        <v>5.5E-2</v>
      </c>
      <c r="N42" s="124" cm="1">
        <f t="array" ref="N42">LOOKUP(2, 1/((L42 &gt;= $E$8:$E$20) * (L42 &lt;= $F$8:$F$20)), $B$8:$B$20)</f>
        <v>0.03</v>
      </c>
      <c r="O42" s="3">
        <f>'Discount Details'!I41</f>
        <v>0</v>
      </c>
      <c r="P42" s="125">
        <f t="shared" si="5"/>
        <v>8.4999999999999992E-2</v>
      </c>
      <c r="Q42" s="126">
        <f>P42*'Discount Details'!Q41</f>
        <v>178666.53442337838</v>
      </c>
      <c r="R42" s="125">
        <f t="shared" si="6"/>
        <v>7.0000000000000007E-2</v>
      </c>
      <c r="S42" s="126">
        <f>R42*'Discount Details'!Q41</f>
        <v>147137.1459957234</v>
      </c>
      <c r="T42" s="127">
        <f t="shared" si="0"/>
        <v>31529.38842765498</v>
      </c>
      <c r="V42" s="128">
        <f>'Discount Details'!U41</f>
        <v>162859.80102498067</v>
      </c>
      <c r="W42" s="17">
        <f t="shared" si="7"/>
        <v>15806.733398397715</v>
      </c>
      <c r="X42" s="17">
        <f t="shared" si="8"/>
        <v>-15722.655029257265</v>
      </c>
      <c r="Y42" s="119"/>
      <c r="Z42" s="3">
        <f>'Discount Details'!N41</f>
        <v>7.7479999999999993E-2</v>
      </c>
      <c r="AA42" s="3">
        <f t="shared" si="1"/>
        <v>7.5199999999999989E-3</v>
      </c>
      <c r="AB42" s="129">
        <f t="shared" si="2"/>
        <v>-7.4799999999999867E-3</v>
      </c>
    </row>
    <row r="43" spans="2:28" x14ac:dyDescent="0.25">
      <c r="B43" s="281">
        <v>2.5000000000000001E-2</v>
      </c>
      <c r="C43" s="282">
        <f t="shared" si="9"/>
        <v>17.5</v>
      </c>
      <c r="D43" s="282">
        <v>21</v>
      </c>
      <c r="E43" s="282">
        <f t="shared" si="10"/>
        <v>6</v>
      </c>
      <c r="F43" s="282">
        <v>7.2</v>
      </c>
      <c r="I43" s="18">
        <f>'Discount Details'!B42</f>
        <v>10288</v>
      </c>
      <c r="J43" s="3" t="str">
        <f>'Discount Details'!C42</f>
        <v>Orcas Power &amp; Light</v>
      </c>
      <c r="K43" s="2">
        <f>'Discount Details'!D42</f>
        <v>2.3904525282375002</v>
      </c>
      <c r="L43" s="2">
        <f>'Discount Details'!E42</f>
        <v>10.620740740740741</v>
      </c>
      <c r="M43" s="124" cm="1">
        <f t="array" ref="M43">LOOKUP(2, 1/((K43 &gt;= $C$8:$C$20) * (K43 &lt;= $D$8:$D$20)), $B$8:$B$20)</f>
        <v>0.06</v>
      </c>
      <c r="N43" s="124" cm="1">
        <f t="array" ref="N43">LOOKUP(2, 1/((L43 &gt;= $E$8:$E$20) * (L43 &lt;= $F$8:$F$20)), $B$8:$B$20)</f>
        <v>1.4999999999999999E-2</v>
      </c>
      <c r="O43" s="3">
        <f>'Discount Details'!I42</f>
        <v>0</v>
      </c>
      <c r="P43" s="125">
        <f t="shared" si="5"/>
        <v>7.4999999999999997E-2</v>
      </c>
      <c r="Q43" s="126">
        <f>P43*'Discount Details'!Q42</f>
        <v>594308.7304342211</v>
      </c>
      <c r="R43" s="125">
        <f t="shared" si="6"/>
        <v>7.0000000000000007E-2</v>
      </c>
      <c r="S43" s="126">
        <f>R43*'Discount Details'!Q42</f>
        <v>554688.1484052731</v>
      </c>
      <c r="T43" s="127">
        <f t="shared" si="0"/>
        <v>39620.582028948003</v>
      </c>
      <c r="V43" s="128">
        <f>'Discount Details'!U42</f>
        <v>475446.98434737686</v>
      </c>
      <c r="W43" s="17">
        <f t="shared" si="7"/>
        <v>118861.74608684424</v>
      </c>
      <c r="X43" s="17">
        <f t="shared" si="8"/>
        <v>79241.16405789624</v>
      </c>
      <c r="Y43" s="119"/>
      <c r="Z43" s="3">
        <f>'Discount Details'!N42</f>
        <v>0.06</v>
      </c>
      <c r="AA43" s="3">
        <f t="shared" si="1"/>
        <v>1.4999999999999999E-2</v>
      </c>
      <c r="AB43" s="129">
        <f t="shared" si="2"/>
        <v>1.0000000000000009E-2</v>
      </c>
    </row>
    <row r="44" spans="2:28" x14ac:dyDescent="0.25">
      <c r="B44" s="281">
        <v>0.03</v>
      </c>
      <c r="C44" s="282">
        <f t="shared" si="9"/>
        <v>14</v>
      </c>
      <c r="D44" s="282">
        <v>17.5</v>
      </c>
      <c r="E44" s="282">
        <f t="shared" si="10"/>
        <v>4.8</v>
      </c>
      <c r="F44" s="282">
        <v>6</v>
      </c>
      <c r="I44" s="18">
        <f>'Discount Details'!B43</f>
        <v>10291</v>
      </c>
      <c r="J44" s="3" t="str">
        <f>'Discount Details'!C43</f>
        <v>Oregon Trail Electric Coop.</v>
      </c>
      <c r="K44" s="2">
        <f>'Discount Details'!D43</f>
        <v>6.840863816777528</v>
      </c>
      <c r="L44" s="2">
        <f>'Discount Details'!E43</f>
        <v>11.235882773409578</v>
      </c>
      <c r="M44" s="124" cm="1">
        <f t="array" ref="M44">LOOKUP(2, 1/((K44 &gt;= $C$8:$C$20) * (K44 &lt;= $D$8:$D$20)), $B$8:$B$20)</f>
        <v>5.5E-2</v>
      </c>
      <c r="N44" s="124" cm="1">
        <f t="array" ref="N44">LOOKUP(2, 1/((L44 &gt;= $E$8:$E$20) * (L44 &lt;= $F$8:$F$20)), $B$8:$B$20)</f>
        <v>0.01</v>
      </c>
      <c r="O44" s="3">
        <f>'Discount Details'!I43</f>
        <v>0</v>
      </c>
      <c r="P44" s="125">
        <f t="shared" si="5"/>
        <v>6.5000000000000002E-2</v>
      </c>
      <c r="Q44" s="126">
        <f>P44*'Discount Details'!Q43</f>
        <v>1621132.2002749937</v>
      </c>
      <c r="R44" s="125">
        <f t="shared" si="6"/>
        <v>6.5000000000000002E-2</v>
      </c>
      <c r="S44" s="126">
        <f>R44*'Discount Details'!Q43</f>
        <v>1621132.2002749937</v>
      </c>
      <c r="T44" s="127">
        <f t="shared" si="0"/>
        <v>0</v>
      </c>
      <c r="V44" s="128">
        <f>'Discount Details'!U43</f>
        <v>1247024.7694423029</v>
      </c>
      <c r="W44" s="17">
        <f t="shared" si="7"/>
        <v>374107.43083269079</v>
      </c>
      <c r="X44" s="17">
        <f t="shared" si="8"/>
        <v>374107.43083269079</v>
      </c>
      <c r="Y44" s="119"/>
      <c r="Z44" s="3">
        <f>'Discount Details'!N43</f>
        <v>0.05</v>
      </c>
      <c r="AA44" s="3">
        <f t="shared" si="1"/>
        <v>1.4999999999999999E-2</v>
      </c>
      <c r="AB44" s="129">
        <f t="shared" si="2"/>
        <v>1.4999999999999999E-2</v>
      </c>
    </row>
    <row r="45" spans="2:28" x14ac:dyDescent="0.25">
      <c r="B45" s="281">
        <v>3.5000000000000003E-2</v>
      </c>
      <c r="C45" s="282">
        <f t="shared" si="9"/>
        <v>10.5</v>
      </c>
      <c r="D45" s="282">
        <v>14</v>
      </c>
      <c r="E45" s="282">
        <f t="shared" si="10"/>
        <v>3.6</v>
      </c>
      <c r="F45" s="282">
        <v>4.8</v>
      </c>
      <c r="I45" s="18">
        <f>'Discount Details'!B44</f>
        <v>10331</v>
      </c>
      <c r="J45" s="3" t="str">
        <f>'Discount Details'!C44</f>
        <v>Raft River Electric</v>
      </c>
      <c r="K45" s="2">
        <f>'Discount Details'!D44</f>
        <v>7.0858544576333129</v>
      </c>
      <c r="L45" s="2">
        <f>'Discount Details'!E44</f>
        <v>2.5455868089233755</v>
      </c>
      <c r="M45" s="124" cm="1">
        <f t="array" ref="M45">LOOKUP(2, 1/((K45 &gt;= $C$8:$C$20) * (K45 &lt;= $D$8:$D$20)), $B$8:$B$20)</f>
        <v>5.5E-2</v>
      </c>
      <c r="N45" s="124" cm="1">
        <f t="array" ref="N45">LOOKUP(2, 1/((L45 &gt;= $E$8:$E$20) * (L45 &lt;= $F$8:$F$20)), $B$8:$B$20)</f>
        <v>5.5E-2</v>
      </c>
      <c r="O45" s="3">
        <f>'Discount Details'!I44</f>
        <v>5.0000000000000001E-3</v>
      </c>
      <c r="P45" s="125">
        <f t="shared" si="5"/>
        <v>0.115</v>
      </c>
      <c r="Q45" s="126">
        <f>P45*'Discount Details'!Q44</f>
        <v>1309208.7382199334</v>
      </c>
      <c r="R45" s="125">
        <f t="shared" si="6"/>
        <v>7.0000000000000007E-2</v>
      </c>
      <c r="S45" s="126">
        <f>R45*'Discount Details'!Q44</f>
        <v>796909.66674256814</v>
      </c>
      <c r="T45" s="127">
        <f t="shared" si="0"/>
        <v>512299.07147736521</v>
      </c>
      <c r="V45" s="128">
        <f>'Discount Details'!U44</f>
        <v>796909.66674256814</v>
      </c>
      <c r="W45" s="17">
        <f t="shared" si="7"/>
        <v>512299.07147736521</v>
      </c>
      <c r="X45" s="17">
        <f t="shared" si="8"/>
        <v>0</v>
      </c>
      <c r="Y45" s="119"/>
      <c r="Z45" s="3">
        <f>'Discount Details'!N44</f>
        <v>7.0000000000000007E-2</v>
      </c>
      <c r="AA45" s="3">
        <f t="shared" si="1"/>
        <v>4.4999999999999998E-2</v>
      </c>
      <c r="AB45" s="129">
        <f t="shared" si="2"/>
        <v>0</v>
      </c>
    </row>
    <row r="46" spans="2:28" x14ac:dyDescent="0.25">
      <c r="B46" s="281">
        <v>0.04</v>
      </c>
      <c r="C46" s="282">
        <f t="shared" si="9"/>
        <v>7</v>
      </c>
      <c r="D46" s="282">
        <v>10.5</v>
      </c>
      <c r="E46" s="282">
        <f t="shared" si="10"/>
        <v>2.4</v>
      </c>
      <c r="F46" s="282">
        <v>3.6</v>
      </c>
      <c r="I46" s="18">
        <f>'Discount Details'!B45</f>
        <v>10333</v>
      </c>
      <c r="J46" s="3" t="str">
        <f>'Discount Details'!C45</f>
        <v>Ravalli Electric Coop.</v>
      </c>
      <c r="K46" s="2">
        <f>'Discount Details'!D45</f>
        <v>5.3709514110013439</v>
      </c>
      <c r="L46" s="2">
        <f>'Discount Details'!E45</f>
        <v>8.7959489872468115</v>
      </c>
      <c r="M46" s="124" cm="1">
        <f t="array" ref="M46">LOOKUP(2, 1/((K46 &gt;= $C$8:$C$20) * (K46 &lt;= $D$8:$D$20)), $B$8:$B$20)</f>
        <v>5.5E-2</v>
      </c>
      <c r="N46" s="124" cm="1">
        <f t="array" ref="N46">LOOKUP(2, 1/((L46 &gt;= $E$8:$E$20) * (L46 &lt;= $F$8:$F$20)), $B$8:$B$20)</f>
        <v>2.5000000000000001E-2</v>
      </c>
      <c r="O46" s="3">
        <f>'Discount Details'!I45</f>
        <v>0</v>
      </c>
      <c r="P46" s="125">
        <f t="shared" si="5"/>
        <v>0.08</v>
      </c>
      <c r="Q46" s="126">
        <f>P46*'Discount Details'!Q45</f>
        <v>476889.81721901021</v>
      </c>
      <c r="R46" s="125">
        <f t="shared" si="6"/>
        <v>7.0000000000000007E-2</v>
      </c>
      <c r="S46" s="126">
        <f>R46*'Discount Details'!Q45</f>
        <v>417278.590066634</v>
      </c>
      <c r="T46" s="127">
        <f t="shared" si="0"/>
        <v>59611.227152376203</v>
      </c>
      <c r="V46" s="128">
        <f>'Discount Details'!U45</f>
        <v>421153.31983153842</v>
      </c>
      <c r="W46" s="17">
        <f t="shared" si="7"/>
        <v>55736.497387471783</v>
      </c>
      <c r="X46" s="17">
        <f t="shared" si="8"/>
        <v>-3874.7297649044194</v>
      </c>
      <c r="Y46" s="119"/>
      <c r="Z46" s="3">
        <f>'Discount Details'!N45</f>
        <v>7.0650000000000004E-2</v>
      </c>
      <c r="AA46" s="3">
        <f t="shared" si="1"/>
        <v>9.3499999999999972E-3</v>
      </c>
      <c r="AB46" s="129">
        <f t="shared" si="2"/>
        <v>-6.499999999999978E-4</v>
      </c>
    </row>
    <row r="47" spans="2:28" x14ac:dyDescent="0.25">
      <c r="B47" s="281">
        <v>4.4999999999999998E-2</v>
      </c>
      <c r="C47" s="282">
        <f t="shared" si="9"/>
        <v>3.5</v>
      </c>
      <c r="D47" s="282">
        <v>7</v>
      </c>
      <c r="E47" s="282">
        <f t="shared" si="10"/>
        <v>1.2</v>
      </c>
      <c r="F47" s="282">
        <v>2.4</v>
      </c>
      <c r="I47" s="18">
        <f>'Discount Details'!B46</f>
        <v>10338</v>
      </c>
      <c r="J47" s="3" t="str">
        <f>'Discount Details'!C46</f>
        <v>Riverside Electric Co.</v>
      </c>
      <c r="K47" s="2">
        <f>'Discount Details'!D46</f>
        <v>33.398768978475509</v>
      </c>
      <c r="L47" s="2">
        <f>'Discount Details'!E46</f>
        <v>6.8651685393258424</v>
      </c>
      <c r="M47" s="124" cm="1">
        <f t="array" ref="M47">LOOKUP(2, 1/((K47 &gt;= $C$8:$C$20) * (K47 &lt;= $D$8:$D$20)), $B$8:$B$20)</f>
        <v>0.01</v>
      </c>
      <c r="N47" s="124" cm="1">
        <f t="array" ref="N47">LOOKUP(2, 1/((L47 &gt;= $E$8:$E$20) * (L47 &lt;= $F$8:$F$20)), $B$8:$B$20)</f>
        <v>3.5000000000000003E-2</v>
      </c>
      <c r="O47" s="3">
        <f>'Discount Details'!I46</f>
        <v>0</v>
      </c>
      <c r="P47" s="125">
        <f t="shared" si="5"/>
        <v>4.5000000000000005E-2</v>
      </c>
      <c r="Q47" s="126">
        <f>P47*'Discount Details'!Q46</f>
        <v>32978.181143968206</v>
      </c>
      <c r="R47" s="125">
        <f t="shared" si="6"/>
        <v>4.5000000000000005E-2</v>
      </c>
      <c r="S47" s="126">
        <f>R47*'Discount Details'!Q46</f>
        <v>32978.181143968206</v>
      </c>
      <c r="T47" s="127">
        <f t="shared" si="0"/>
        <v>0</v>
      </c>
      <c r="V47" s="128">
        <f>'Discount Details'!U46</f>
        <v>25525.112205431389</v>
      </c>
      <c r="W47" s="17">
        <f t="shared" si="7"/>
        <v>7453.0689385368169</v>
      </c>
      <c r="X47" s="17">
        <f t="shared" si="8"/>
        <v>7453.0689385368169</v>
      </c>
      <c r="Y47" s="119"/>
      <c r="Z47" s="3">
        <f>'Discount Details'!N46</f>
        <v>3.483E-2</v>
      </c>
      <c r="AA47" s="3">
        <f t="shared" si="1"/>
        <v>1.0170000000000005E-2</v>
      </c>
      <c r="AB47" s="129">
        <f t="shared" si="2"/>
        <v>1.0170000000000005E-2</v>
      </c>
    </row>
    <row r="48" spans="2:28" x14ac:dyDescent="0.25">
      <c r="B48" s="281">
        <v>0.05</v>
      </c>
      <c r="C48" s="282">
        <v>0</v>
      </c>
      <c r="D48" s="282">
        <v>3.5</v>
      </c>
      <c r="E48" s="282">
        <v>0</v>
      </c>
      <c r="F48" s="282">
        <v>1.2</v>
      </c>
      <c r="I48" s="18">
        <f>'Discount Details'!B47</f>
        <v>10343</v>
      </c>
      <c r="J48" s="3" t="str">
        <f>'Discount Details'!C47</f>
        <v>Salmon River Electric</v>
      </c>
      <c r="K48" s="2">
        <f>'Discount Details'!D47</f>
        <v>8.3169331740750927</v>
      </c>
      <c r="L48" s="2">
        <f>'Discount Details'!E47</f>
        <v>4.1208791208791204</v>
      </c>
      <c r="M48" s="124" cm="1">
        <f t="array" ref="M48">LOOKUP(2, 1/((K48 &gt;= $C$8:$C$20) * (K48 &lt;= $D$8:$D$20)), $B$8:$B$20)</f>
        <v>5.5E-2</v>
      </c>
      <c r="N48" s="124" cm="1">
        <f t="array" ref="N48">LOOKUP(2, 1/((L48 &gt;= $E$8:$E$20) * (L48 &lt;= $F$8:$F$20)), $B$8:$B$20)</f>
        <v>0.05</v>
      </c>
      <c r="O48" s="3">
        <f>'Discount Details'!I47</f>
        <v>0</v>
      </c>
      <c r="P48" s="125">
        <f t="shared" si="5"/>
        <v>0.10500000000000001</v>
      </c>
      <c r="Q48" s="126">
        <f>P48*'Discount Details'!Q47</f>
        <v>366784.59610939655</v>
      </c>
      <c r="R48" s="125">
        <f t="shared" si="6"/>
        <v>7.0000000000000007E-2</v>
      </c>
      <c r="S48" s="126">
        <f>R48*'Discount Details'!Q47</f>
        <v>244523.06407293104</v>
      </c>
      <c r="T48" s="127">
        <f t="shared" si="0"/>
        <v>122261.53203646551</v>
      </c>
      <c r="V48" s="128">
        <f>'Discount Details'!U47</f>
        <v>244523.06407293104</v>
      </c>
      <c r="W48" s="17">
        <f t="shared" si="7"/>
        <v>122261.53203646551</v>
      </c>
      <c r="X48" s="17">
        <f t="shared" si="8"/>
        <v>0</v>
      </c>
      <c r="Y48" s="119"/>
      <c r="Z48" s="3">
        <f>'Discount Details'!N47</f>
        <v>7.0000000000000007E-2</v>
      </c>
      <c r="AA48" s="3">
        <f t="shared" si="1"/>
        <v>3.5000000000000003E-2</v>
      </c>
      <c r="AB48" s="129">
        <f t="shared" si="2"/>
        <v>0</v>
      </c>
    </row>
    <row r="49" spans="9:28" x14ac:dyDescent="0.25">
      <c r="I49" s="18">
        <f>'Discount Details'!B48</f>
        <v>10352</v>
      </c>
      <c r="J49" s="3" t="str">
        <f>'Discount Details'!C48</f>
        <v>Skamania County PUD</v>
      </c>
      <c r="K49" s="2">
        <f>'Discount Details'!D48</f>
        <v>4.1815387600976806</v>
      </c>
      <c r="L49" s="2">
        <f>'Discount Details'!E48</f>
        <v>11.924865831842576</v>
      </c>
      <c r="M49" s="124" cm="1">
        <f t="array" ref="M49">LOOKUP(2, 1/((K49 &gt;= $C$8:$C$20) * (K49 &lt;= $D$8:$D$20)), $B$8:$B$20)</f>
        <v>0.06</v>
      </c>
      <c r="N49" s="124" cm="1">
        <f t="array" ref="N49">LOOKUP(2, 1/((L49 &gt;= $E$8:$E$20) * (L49 &lt;= $F$8:$F$20)), $B$8:$B$20)</f>
        <v>5.0000000000000001E-3</v>
      </c>
      <c r="O49" s="3">
        <f>'Discount Details'!I48</f>
        <v>0</v>
      </c>
      <c r="P49" s="125">
        <f t="shared" si="5"/>
        <v>6.5000000000000002E-2</v>
      </c>
      <c r="Q49" s="126">
        <f>P49*'Discount Details'!Q48</f>
        <v>329566.66310919728</v>
      </c>
      <c r="R49" s="125">
        <f t="shared" si="6"/>
        <v>6.5000000000000002E-2</v>
      </c>
      <c r="S49" s="126">
        <f>R49*'Discount Details'!Q48</f>
        <v>329566.66310919728</v>
      </c>
      <c r="T49" s="127">
        <f t="shared" si="0"/>
        <v>0</v>
      </c>
      <c r="V49" s="128">
        <f>'Discount Details'!U48</f>
        <v>253512.8177763056</v>
      </c>
      <c r="W49" s="17">
        <f t="shared" si="7"/>
        <v>76053.84533289168</v>
      </c>
      <c r="X49" s="17">
        <f t="shared" si="8"/>
        <v>76053.84533289168</v>
      </c>
      <c r="Y49" s="119"/>
      <c r="Z49" s="3">
        <f>'Discount Details'!N48</f>
        <v>0.05</v>
      </c>
      <c r="AA49" s="3">
        <f t="shared" si="1"/>
        <v>1.4999999999999999E-2</v>
      </c>
      <c r="AB49" s="129">
        <f t="shared" si="2"/>
        <v>1.4999999999999999E-2</v>
      </c>
    </row>
    <row r="50" spans="9:28" x14ac:dyDescent="0.25">
      <c r="I50" s="18">
        <f>'Discount Details'!B49</f>
        <v>10360</v>
      </c>
      <c r="J50" s="3" t="str">
        <f>'Discount Details'!C49</f>
        <v>South Side Electric</v>
      </c>
      <c r="K50" s="2">
        <f>'Discount Details'!D49</f>
        <v>16.077496423494331</v>
      </c>
      <c r="L50" s="2">
        <f>'Discount Details'!E49</f>
        <v>5.8219178082191778</v>
      </c>
      <c r="M50" s="124" cm="1">
        <f t="array" ref="M50">LOOKUP(2, 1/((K50 &gt;= $C$8:$C$20) * (K50 &lt;= $D$8:$D$20)), $B$8:$B$20)</f>
        <v>4.4999999999999998E-2</v>
      </c>
      <c r="N50" s="124" cm="1">
        <f t="array" ref="N50">LOOKUP(2, 1/((L50 &gt;= $E$8:$E$20) * (L50 &lt;= $F$8:$F$20)), $B$8:$B$20)</f>
        <v>0.04</v>
      </c>
      <c r="O50" s="3">
        <f>'Discount Details'!I49</f>
        <v>0</v>
      </c>
      <c r="P50" s="125">
        <f t="shared" si="5"/>
        <v>8.4999999999999992E-2</v>
      </c>
      <c r="Q50" s="126">
        <f>P50*'Discount Details'!Q49</f>
        <v>176100.2902601911</v>
      </c>
      <c r="R50" s="125">
        <f t="shared" si="6"/>
        <v>7.0000000000000007E-2</v>
      </c>
      <c r="S50" s="126">
        <f>R50*'Discount Details'!Q49</f>
        <v>145023.76844956918</v>
      </c>
      <c r="T50" s="127">
        <f t="shared" si="0"/>
        <v>31076.521810621925</v>
      </c>
      <c r="V50" s="128">
        <f>'Discount Details'!U49</f>
        <v>140797.36148332461</v>
      </c>
      <c r="W50" s="17">
        <f t="shared" si="7"/>
        <v>35302.928776866494</v>
      </c>
      <c r="X50" s="17">
        <f t="shared" si="8"/>
        <v>4226.406966244569</v>
      </c>
      <c r="Y50" s="119"/>
      <c r="Z50" s="3">
        <f>'Discount Details'!N49</f>
        <v>6.7960000000000007E-2</v>
      </c>
      <c r="AA50" s="3">
        <f t="shared" si="1"/>
        <v>1.7039999999999986E-2</v>
      </c>
      <c r="AB50" s="129">
        <f t="shared" si="2"/>
        <v>2.0400000000000001E-3</v>
      </c>
    </row>
    <row r="51" spans="9:28" x14ac:dyDescent="0.25">
      <c r="I51" s="18">
        <f>'Discount Details'!B50</f>
        <v>10369</v>
      </c>
      <c r="J51" s="3" t="str">
        <f>'Discount Details'!C50</f>
        <v>Surprise Valley Electric</v>
      </c>
      <c r="K51" s="2">
        <f>'Discount Details'!D50</f>
        <v>4.7751031803324357</v>
      </c>
      <c r="L51" s="2">
        <f>'Discount Details'!E50</f>
        <v>2.9154746423927178</v>
      </c>
      <c r="M51" s="124" cm="1">
        <f t="array" ref="M51">LOOKUP(2, 1/((K51 &gt;= $C$8:$C$20) * (K51 &lt;= $D$8:$D$20)), $B$8:$B$20)</f>
        <v>0.06</v>
      </c>
      <c r="N51" s="124" cm="1">
        <f t="array" ref="N51">LOOKUP(2, 1/((L51 &gt;= $E$8:$E$20) * (L51 &lt;= $F$8:$F$20)), $B$8:$B$20)</f>
        <v>5.5E-2</v>
      </c>
      <c r="O51" s="3">
        <f>'Discount Details'!I50</f>
        <v>5.0000000000000001E-3</v>
      </c>
      <c r="P51" s="125">
        <f t="shared" si="5"/>
        <v>0.12</v>
      </c>
      <c r="Q51" s="126">
        <f>P51*'Discount Details'!Q50</f>
        <v>635406.13669989235</v>
      </c>
      <c r="R51" s="125">
        <f t="shared" si="6"/>
        <v>7.0000000000000007E-2</v>
      </c>
      <c r="S51" s="126">
        <f>R51*'Discount Details'!Q50</f>
        <v>370653.57974160387</v>
      </c>
      <c r="T51" s="127">
        <f t="shared" si="0"/>
        <v>264752.55695828848</v>
      </c>
      <c r="V51" s="128">
        <f>'Discount Details'!U50</f>
        <v>414549.55368528806</v>
      </c>
      <c r="W51" s="17">
        <f t="shared" si="7"/>
        <v>220856.58301460429</v>
      </c>
      <c r="X51" s="17">
        <f t="shared" si="8"/>
        <v>-43895.973943684192</v>
      </c>
      <c r="Y51" s="119"/>
      <c r="Z51" s="3">
        <f>'Discount Details'!N50</f>
        <v>7.8289999999999998E-2</v>
      </c>
      <c r="AA51" s="3">
        <f t="shared" si="1"/>
        <v>4.1709999999999997E-2</v>
      </c>
      <c r="AB51" s="129">
        <f t="shared" si="2"/>
        <v>-8.2899999999999918E-3</v>
      </c>
    </row>
    <row r="52" spans="9:28" x14ac:dyDescent="0.25">
      <c r="I52" s="18">
        <f>'Discount Details'!B51</f>
        <v>10388</v>
      </c>
      <c r="J52" s="3" t="str">
        <f>'Discount Details'!C51</f>
        <v>Umatilla Electric</v>
      </c>
      <c r="K52" s="2">
        <f>'Discount Details'!D51</f>
        <v>28.393428353844911</v>
      </c>
      <c r="L52" s="2">
        <f>'Discount Details'!E51</f>
        <v>7.3340847610459869</v>
      </c>
      <c r="M52" s="124" cm="1">
        <f t="array" ref="M52">LOOKUP(2, 1/((K52 &gt;= $C$8:$C$20) * (K52 &lt;= $D$8:$D$20)), $B$8:$B$20)</f>
        <v>0.02</v>
      </c>
      <c r="N52" s="124" cm="1">
        <f t="array" ref="N52">LOOKUP(2, 1/((L52 &gt;= $E$8:$E$20) * (L52 &lt;= $F$8:$F$20)), $B$8:$B$20)</f>
        <v>3.5000000000000003E-2</v>
      </c>
      <c r="O52" s="3">
        <f>'Discount Details'!I51</f>
        <v>0</v>
      </c>
      <c r="P52" s="125">
        <f t="shared" si="5"/>
        <v>5.5000000000000007E-2</v>
      </c>
      <c r="Q52" s="126">
        <f>P52*'Discount Details'!Q51</f>
        <v>1890375.3904045457</v>
      </c>
      <c r="R52" s="125">
        <f t="shared" si="6"/>
        <v>5.5000000000000007E-2</v>
      </c>
      <c r="S52" s="126">
        <f>R52*'Discount Details'!Q51</f>
        <v>1890375.3904045457</v>
      </c>
      <c r="T52" s="127">
        <f t="shared" si="0"/>
        <v>0</v>
      </c>
      <c r="V52" s="128">
        <f>'Discount Details'!U51</f>
        <v>2020295.7354178033</v>
      </c>
      <c r="W52" s="17">
        <f t="shared" si="7"/>
        <v>-129920.34501325758</v>
      </c>
      <c r="X52" s="17">
        <f t="shared" si="8"/>
        <v>-129920.34501325758</v>
      </c>
      <c r="Y52" s="119"/>
      <c r="Z52" s="3">
        <f>'Discount Details'!N51</f>
        <v>5.8779999999999999E-2</v>
      </c>
      <c r="AA52" s="3">
        <f t="shared" si="1"/>
        <v>-3.7799999999999917E-3</v>
      </c>
      <c r="AB52" s="129">
        <f t="shared" si="2"/>
        <v>-3.7799999999999917E-3</v>
      </c>
    </row>
    <row r="53" spans="9:28" x14ac:dyDescent="0.25">
      <c r="I53" s="18">
        <f>'Discount Details'!B52</f>
        <v>10391</v>
      </c>
      <c r="J53" s="3" t="str">
        <f>'Discount Details'!C52</f>
        <v>United</v>
      </c>
      <c r="K53" s="2">
        <f>'Discount Details'!D52</f>
        <v>18.21990926202955</v>
      </c>
      <c r="L53" s="2">
        <f>'Discount Details'!E52</f>
        <v>11.878088962108732</v>
      </c>
      <c r="M53" s="124" cm="1">
        <f t="array" ref="M53">LOOKUP(2, 1/((K53 &gt;= $C$8:$C$20) * (K53 &lt;= $D$8:$D$20)), $B$8:$B$20)</f>
        <v>0.04</v>
      </c>
      <c r="N53" s="124" cm="1">
        <f t="array" ref="N53">LOOKUP(2, 1/((L53 &gt;= $E$8:$E$20) * (L53 &lt;= $F$8:$F$20)), $B$8:$B$20)</f>
        <v>5.0000000000000001E-3</v>
      </c>
      <c r="O53" s="3">
        <f>'Discount Details'!I52</f>
        <v>0</v>
      </c>
      <c r="P53" s="125">
        <f t="shared" si="5"/>
        <v>4.4999999999999998E-2</v>
      </c>
      <c r="Q53" s="126">
        <f>P53*'Discount Details'!Q52</f>
        <v>416749.02649219875</v>
      </c>
      <c r="R53" s="125">
        <f t="shared" si="6"/>
        <v>4.4999999999999998E-2</v>
      </c>
      <c r="S53" s="126">
        <f>R53*'Discount Details'!Q52</f>
        <v>416749.02649219875</v>
      </c>
      <c r="T53" s="127">
        <f t="shared" si="0"/>
        <v>0</v>
      </c>
      <c r="V53" s="128">
        <f>'Discount Details'!U52</f>
        <v>352662.28730717622</v>
      </c>
      <c r="W53" s="17">
        <f t="shared" si="7"/>
        <v>64086.739185022539</v>
      </c>
      <c r="X53" s="17">
        <f t="shared" si="8"/>
        <v>64086.739185022539</v>
      </c>
      <c r="Y53" s="119"/>
      <c r="Z53" s="3">
        <f>'Discount Details'!N52</f>
        <v>3.8080000000000003E-2</v>
      </c>
      <c r="AA53" s="3">
        <f t="shared" si="1"/>
        <v>6.9199999999999956E-3</v>
      </c>
      <c r="AB53" s="129">
        <f t="shared" si="2"/>
        <v>6.9199999999999956E-3</v>
      </c>
    </row>
    <row r="54" spans="9:28" x14ac:dyDescent="0.25">
      <c r="I54" s="18">
        <f>'Discount Details'!B53</f>
        <v>10436</v>
      </c>
      <c r="J54" s="3" t="str">
        <f>'Discount Details'!C53</f>
        <v>Vigilante Electric Coop.</v>
      </c>
      <c r="K54" s="2">
        <f>'Discount Details'!D53</f>
        <v>6.6361522140519336</v>
      </c>
      <c r="L54" s="2">
        <f>'Discount Details'!E53</f>
        <v>4.0828380386329863</v>
      </c>
      <c r="M54" s="124" cm="1">
        <f t="array" ref="M54">LOOKUP(2, 1/((K54 &gt;= $C$8:$C$20) * (K54 &lt;= $D$8:$D$20)), $B$8:$B$20)</f>
        <v>5.5E-2</v>
      </c>
      <c r="N54" s="124" cm="1">
        <f t="array" ref="N54">LOOKUP(2, 1/((L54 &gt;= $E$8:$E$20) * (L54 &lt;= $F$8:$F$20)), $B$8:$B$20)</f>
        <v>0.05</v>
      </c>
      <c r="O54" s="3">
        <f>'Discount Details'!I53</f>
        <v>0</v>
      </c>
      <c r="P54" s="125">
        <f t="shared" si="5"/>
        <v>0.10500000000000001</v>
      </c>
      <c r="Q54" s="126">
        <f>P54*'Discount Details'!Q53</f>
        <v>624795.68727003317</v>
      </c>
      <c r="R54" s="125">
        <f t="shared" si="6"/>
        <v>7.0000000000000007E-2</v>
      </c>
      <c r="S54" s="126">
        <f>R54*'Discount Details'!Q53</f>
        <v>416530.45818002208</v>
      </c>
      <c r="T54" s="127">
        <f t="shared" si="0"/>
        <v>208265.2290900111</v>
      </c>
      <c r="V54" s="128">
        <f>'Discount Details'!U53</f>
        <v>541489.59563402866</v>
      </c>
      <c r="W54" s="17">
        <f t="shared" si="7"/>
        <v>83306.091636004508</v>
      </c>
      <c r="X54" s="17">
        <f t="shared" si="8"/>
        <v>-124959.13745400659</v>
      </c>
      <c r="Y54" s="119"/>
      <c r="Z54" s="3">
        <f>'Discount Details'!N53</f>
        <v>9.0999999999999998E-2</v>
      </c>
      <c r="AA54" s="3">
        <f t="shared" si="1"/>
        <v>1.4000000000000012E-2</v>
      </c>
      <c r="AB54" s="129">
        <f t="shared" si="2"/>
        <v>-2.0999999999999991E-2</v>
      </c>
    </row>
    <row r="55" spans="9:28" x14ac:dyDescent="0.25">
      <c r="I55" s="18">
        <f>'Discount Details'!B54</f>
        <v>10440</v>
      </c>
      <c r="J55" s="3" t="str">
        <f>'Discount Details'!C54</f>
        <v>Wahkiakum County PUD</v>
      </c>
      <c r="K55" s="2">
        <f>'Discount Details'!D54</f>
        <v>4.3866102754667757</v>
      </c>
      <c r="L55" s="2">
        <f>'Discount Details'!E54</f>
        <v>10.503875968992247</v>
      </c>
      <c r="M55" s="124" cm="1">
        <f t="array" ref="M55">LOOKUP(2, 1/((K55 &gt;= $C$8:$C$20) * (K55 &lt;= $D$8:$D$20)), $B$8:$B$20)</f>
        <v>0.06</v>
      </c>
      <c r="N55" s="124" cm="1">
        <f t="array" ref="N55">LOOKUP(2, 1/((L55 &gt;= $E$8:$E$20) * (L55 &lt;= $F$8:$F$20)), $B$8:$B$20)</f>
        <v>1.4999999999999999E-2</v>
      </c>
      <c r="O55" s="3">
        <f>'Discount Details'!I54</f>
        <v>0</v>
      </c>
      <c r="P55" s="125">
        <f t="shared" si="5"/>
        <v>7.4999999999999997E-2</v>
      </c>
      <c r="Q55" s="126">
        <f>P55*'Discount Details'!Q54</f>
        <v>115550.76077058824</v>
      </c>
      <c r="R55" s="125">
        <f t="shared" si="6"/>
        <v>7.0000000000000007E-2</v>
      </c>
      <c r="S55" s="126">
        <f>R55*'Discount Details'!Q54</f>
        <v>107847.37671921571</v>
      </c>
      <c r="T55" s="127">
        <f t="shared" si="0"/>
        <v>7703.3840513725299</v>
      </c>
      <c r="V55" s="128">
        <f>'Discount Details'!U54</f>
        <v>88912.45872094197</v>
      </c>
      <c r="W55" s="17">
        <f t="shared" si="7"/>
        <v>26638.30204964627</v>
      </c>
      <c r="X55" s="17">
        <f t="shared" si="8"/>
        <v>18934.917998273741</v>
      </c>
      <c r="Y55" s="119"/>
      <c r="Z55" s="3">
        <f>'Discount Details'!N54</f>
        <v>5.7709999999999997E-2</v>
      </c>
      <c r="AA55" s="3">
        <f t="shared" si="1"/>
        <v>1.729E-2</v>
      </c>
      <c r="AB55" s="129">
        <f t="shared" si="2"/>
        <v>1.2290000000000009E-2</v>
      </c>
    </row>
    <row r="56" spans="9:28" x14ac:dyDescent="0.25">
      <c r="I56" s="18">
        <f>'Discount Details'!B55</f>
        <v>10442</v>
      </c>
      <c r="J56" s="3" t="str">
        <f>'Discount Details'!C55</f>
        <v>Wasco Electric Coop.</v>
      </c>
      <c r="K56" s="2">
        <f>'Discount Details'!D55</f>
        <v>3.8363763744308907</v>
      </c>
      <c r="L56" s="2">
        <f>'Discount Details'!E55</f>
        <v>2.9354037267080746</v>
      </c>
      <c r="M56" s="124" cm="1">
        <f t="array" ref="M56">LOOKUP(2, 1/((K56 &gt;= $C$8:$C$20) * (K56 &lt;= $D$8:$D$20)), $B$8:$B$20)</f>
        <v>0.06</v>
      </c>
      <c r="N56" s="124" cm="1">
        <f t="array" ref="N56">LOOKUP(2, 1/((L56 &gt;= $E$8:$E$20) * (L56 &lt;= $F$8:$F$20)), $B$8:$B$20)</f>
        <v>5.5E-2</v>
      </c>
      <c r="O56" s="3">
        <f>'Discount Details'!I55</f>
        <v>5.0000000000000001E-3</v>
      </c>
      <c r="P56" s="125">
        <f>M56+N56+O56</f>
        <v>0.12</v>
      </c>
      <c r="Q56" s="126">
        <f>P56*'Discount Details'!Q55</f>
        <v>495240.16191444424</v>
      </c>
      <c r="R56" s="125">
        <f t="shared" si="6"/>
        <v>7.0000000000000007E-2</v>
      </c>
      <c r="S56" s="126">
        <f>R56*'Discount Details'!Q55</f>
        <v>288890.09445009253</v>
      </c>
      <c r="T56" s="127">
        <f t="shared" si="0"/>
        <v>206350.06746435171</v>
      </c>
      <c r="V56" s="128">
        <f>'Discount Details'!U55</f>
        <v>288890.09445009253</v>
      </c>
      <c r="W56" s="17">
        <f t="shared" si="7"/>
        <v>206350.06746435171</v>
      </c>
      <c r="X56" s="17">
        <f t="shared" si="8"/>
        <v>0</v>
      </c>
      <c r="Y56" s="119"/>
      <c r="Z56" s="3">
        <f>'Discount Details'!N55</f>
        <v>7.0000000000000007E-2</v>
      </c>
      <c r="AA56" s="3">
        <f t="shared" si="1"/>
        <v>4.9999999999999989E-2</v>
      </c>
      <c r="AB56" s="129">
        <f t="shared" si="2"/>
        <v>0</v>
      </c>
    </row>
    <row r="57" spans="9:28" x14ac:dyDescent="0.25">
      <c r="I57" s="18">
        <f>'Discount Details'!B56</f>
        <v>10446</v>
      </c>
      <c r="J57" s="3" t="str">
        <f>'Discount Details'!C56</f>
        <v>Wells Rural Electric Co.</v>
      </c>
      <c r="K57" s="2">
        <f>'Discount Details'!D56</f>
        <v>19.721392520785308</v>
      </c>
      <c r="L57" s="2">
        <f>'Discount Details'!E56</f>
        <v>3.1468373493975905</v>
      </c>
      <c r="M57" s="124" cm="1">
        <f t="array" ref="M57">LOOKUP(2, 1/((K57 &gt;= $C$8:$C$20) * (K57 &lt;= $D$8:$D$20)), $B$8:$B$20)</f>
        <v>0.04</v>
      </c>
      <c r="N57" s="124" cm="1">
        <f t="array" ref="N57">LOOKUP(2, 1/((L57 &gt;= $E$8:$E$20) * (L57 &lt;= $F$8:$F$20)), $B$8:$B$20)</f>
        <v>0.05</v>
      </c>
      <c r="O57" s="3">
        <f>'Discount Details'!I56</f>
        <v>0</v>
      </c>
      <c r="P57" s="125">
        <f t="shared" si="5"/>
        <v>0.09</v>
      </c>
      <c r="Q57" s="126">
        <f>P57*'Discount Details'!Q56</f>
        <v>2577882.4915306903</v>
      </c>
      <c r="R57" s="125">
        <f t="shared" si="6"/>
        <v>7.0000000000000007E-2</v>
      </c>
      <c r="S57" s="126">
        <f>R57*'Discount Details'!Q56</f>
        <v>2005019.7156349819</v>
      </c>
      <c r="T57" s="127">
        <f t="shared" si="0"/>
        <v>572862.77589570847</v>
      </c>
      <c r="V57" s="128">
        <f>'Discount Details'!U56</f>
        <v>1885864.258248674</v>
      </c>
      <c r="W57" s="17">
        <f t="shared" si="7"/>
        <v>692018.23328201636</v>
      </c>
      <c r="X57" s="17">
        <f t="shared" si="8"/>
        <v>119155.45738630788</v>
      </c>
      <c r="Y57" s="119"/>
      <c r="Z57" s="3">
        <f>'Discount Details'!N56</f>
        <v>6.5839999999999996E-2</v>
      </c>
      <c r="AA57" s="3">
        <f t="shared" si="1"/>
        <v>2.4160000000000001E-2</v>
      </c>
      <c r="AB57" s="129">
        <f t="shared" si="2"/>
        <v>4.1600000000000109E-3</v>
      </c>
    </row>
    <row r="58" spans="9:28" x14ac:dyDescent="0.25">
      <c r="I58" s="18">
        <f>'Discount Details'!B57</f>
        <v>10448</v>
      </c>
      <c r="J58" s="3" t="str">
        <f>'Discount Details'!C57</f>
        <v>West Oregon Electric</v>
      </c>
      <c r="K58" s="2">
        <f>'Discount Details'!D57</f>
        <v>2.3434311984862117</v>
      </c>
      <c r="L58" s="2">
        <f>'Discount Details'!E57</f>
        <v>7.1359374999999998</v>
      </c>
      <c r="M58" s="124" cm="1">
        <f t="array" ref="M58">LOOKUP(2, 1/((K58 &gt;= $C$8:$C$20) * (K58 &lt;= $D$8:$D$20)), $B$8:$B$20)</f>
        <v>0.06</v>
      </c>
      <c r="N58" s="124" cm="1">
        <f t="array" ref="N58">LOOKUP(2, 1/((L58 &gt;= $E$8:$E$20) * (L58 &lt;= $F$8:$F$20)), $B$8:$B$20)</f>
        <v>3.5000000000000003E-2</v>
      </c>
      <c r="O58" s="3">
        <f>'Discount Details'!I57</f>
        <v>0</v>
      </c>
      <c r="P58" s="125">
        <f t="shared" si="5"/>
        <v>9.5000000000000001E-2</v>
      </c>
      <c r="Q58" s="126">
        <f>P58*'Discount Details'!Q57</f>
        <v>252055.28199841685</v>
      </c>
      <c r="R58" s="125">
        <f t="shared" si="6"/>
        <v>7.0000000000000007E-2</v>
      </c>
      <c r="S58" s="126">
        <f>R58*'Discount Details'!Q57</f>
        <v>185724.94463041241</v>
      </c>
      <c r="T58" s="127">
        <f t="shared" si="0"/>
        <v>66330.337368004431</v>
      </c>
      <c r="V58" s="128">
        <f>'Discount Details'!U57</f>
        <v>185724.94463041241</v>
      </c>
      <c r="W58" s="17">
        <f t="shared" si="7"/>
        <v>66330.337368004431</v>
      </c>
      <c r="X58" s="17">
        <f t="shared" si="8"/>
        <v>0</v>
      </c>
      <c r="Y58" s="119"/>
      <c r="Z58" s="3">
        <f>'Discount Details'!N57</f>
        <v>7.0000000000000007E-2</v>
      </c>
      <c r="AA58" s="3">
        <f t="shared" si="1"/>
        <v>2.4999999999999994E-2</v>
      </c>
      <c r="AB58" s="129">
        <f t="shared" si="2"/>
        <v>0</v>
      </c>
    </row>
    <row r="59" spans="9:28" ht="15.75" thickBot="1" x14ac:dyDescent="0.3">
      <c r="I59" s="18">
        <f>'Discount Details'!B58</f>
        <v>10502</v>
      </c>
      <c r="J59" s="3" t="str">
        <f>'Discount Details'!C58</f>
        <v>Yakama Power</v>
      </c>
      <c r="K59" s="2">
        <f>'Discount Details'!D58</f>
        <v>3.6895777077855287</v>
      </c>
      <c r="L59" s="2">
        <f>'Discount Details'!E58</f>
        <v>4.2549857549857553</v>
      </c>
      <c r="M59" s="124" cm="1">
        <f t="array" ref="M59">LOOKUP(2, 1/((K59 &gt;= $C$8:$C$20) * (K59 &lt;= $D$8:$D$20)), $B$8:$B$20)</f>
        <v>0.06</v>
      </c>
      <c r="N59" s="124" cm="1">
        <f t="array" ref="N59">LOOKUP(2, 1/((L59 &gt;= $E$8:$E$20) * (L59 &lt;= $F$8:$F$20)), $B$8:$B$20)</f>
        <v>0.05</v>
      </c>
      <c r="O59" s="3">
        <f>'Discount Details'!I58</f>
        <v>0</v>
      </c>
      <c r="P59" s="151">
        <f t="shared" si="5"/>
        <v>0.11</v>
      </c>
      <c r="Q59" s="152">
        <f>P59*'Discount Details'!Q58</f>
        <v>642671.59211313725</v>
      </c>
      <c r="R59" s="151">
        <f t="shared" si="6"/>
        <v>7.0000000000000007E-2</v>
      </c>
      <c r="S59" s="152">
        <f>R59*'Discount Details'!Q58</f>
        <v>408972.83134472376</v>
      </c>
      <c r="T59" s="127">
        <f t="shared" si="0"/>
        <v>233698.76076841349</v>
      </c>
      <c r="V59" s="153">
        <f>'Discount Details'!U58</f>
        <v>408972.83134472376</v>
      </c>
      <c r="W59" s="154">
        <f t="shared" si="7"/>
        <v>233698.76076841349</v>
      </c>
      <c r="X59" s="154">
        <f t="shared" si="8"/>
        <v>0</v>
      </c>
      <c r="Y59" s="155"/>
      <c r="Z59" s="156">
        <f>'Discount Details'!N58</f>
        <v>7.0000000000000007E-2</v>
      </c>
      <c r="AA59" s="156">
        <f t="shared" si="1"/>
        <v>3.9999999999999994E-2</v>
      </c>
      <c r="AB59" s="157">
        <f t="shared" si="2"/>
        <v>0</v>
      </c>
    </row>
    <row r="60" spans="9:28" ht="15.75" thickBot="1" x14ac:dyDescent="0.3">
      <c r="V60" s="10"/>
    </row>
    <row r="61" spans="9:28" ht="75" x14ac:dyDescent="0.25">
      <c r="I61" s="158" t="s">
        <v>304</v>
      </c>
      <c r="J61" s="159"/>
      <c r="K61" s="160" t="s">
        <v>278</v>
      </c>
      <c r="L61" s="160" t="s">
        <v>54</v>
      </c>
      <c r="M61" s="159" t="s">
        <v>279</v>
      </c>
      <c r="N61" s="159" t="s">
        <v>280</v>
      </c>
      <c r="O61" s="160" t="s">
        <v>281</v>
      </c>
      <c r="P61" s="161" t="s">
        <v>282</v>
      </c>
      <c r="Q61" s="162" t="s">
        <v>283</v>
      </c>
      <c r="R61" s="163" t="s">
        <v>284</v>
      </c>
      <c r="S61" s="164" t="s">
        <v>101</v>
      </c>
      <c r="T61" s="160" t="s">
        <v>285</v>
      </c>
      <c r="U61" s="159"/>
      <c r="V61" s="160" t="s">
        <v>286</v>
      </c>
      <c r="W61" s="160" t="s">
        <v>287</v>
      </c>
      <c r="X61" s="160" t="s">
        <v>288</v>
      </c>
      <c r="Y61" s="165"/>
      <c r="Z61" s="160" t="s">
        <v>289</v>
      </c>
      <c r="AA61" s="160" t="s">
        <v>290</v>
      </c>
      <c r="AB61" s="166" t="s">
        <v>291</v>
      </c>
    </row>
    <row r="62" spans="9:28" x14ac:dyDescent="0.25">
      <c r="I62" s="144"/>
      <c r="J62" s="167" t="s">
        <v>305</v>
      </c>
      <c r="K62" s="168">
        <f>AVERAGE(K7:K59)</f>
        <v>9.2952949317803117</v>
      </c>
      <c r="L62" s="168">
        <f>AVERAGE(L7:L59)</f>
        <v>6.8134844372564309</v>
      </c>
      <c r="M62" s="169">
        <f>AVERAGE(M7:M59)</f>
        <v>5.1698113207547192E-2</v>
      </c>
      <c r="N62" s="169">
        <f>AVERAGE(N7:N59)</f>
        <v>3.4528301886792442E-2</v>
      </c>
      <c r="O62" s="169">
        <f t="shared" ref="O62:AB62" si="11">AVERAGE(O7:O59)</f>
        <v>5.6603773584905663E-4</v>
      </c>
      <c r="P62" s="169">
        <f t="shared" si="11"/>
        <v>8.6792452830188688E-2</v>
      </c>
      <c r="Q62" s="170">
        <f t="shared" si="11"/>
        <v>848715.63433497597</v>
      </c>
      <c r="R62" s="169">
        <f t="shared" si="11"/>
        <v>6.6698113207547136E-2</v>
      </c>
      <c r="S62" s="170">
        <f t="shared" si="11"/>
        <v>685239.1808798631</v>
      </c>
      <c r="T62" s="170">
        <f t="shared" si="11"/>
        <v>163476.45345511267</v>
      </c>
      <c r="U62" s="170"/>
      <c r="V62" s="170">
        <f t="shared" si="11"/>
        <v>686366.90751911479</v>
      </c>
      <c r="W62" s="170">
        <f t="shared" si="11"/>
        <v>162348.72681586124</v>
      </c>
      <c r="X62" s="170">
        <f t="shared" si="11"/>
        <v>-1127.7266392514071</v>
      </c>
      <c r="Y62" s="170" t="e">
        <f t="shared" si="11"/>
        <v>#DIV/0!</v>
      </c>
      <c r="Z62" s="169">
        <f t="shared" si="11"/>
        <v>6.8551320754716968E-2</v>
      </c>
      <c r="AA62" s="169">
        <f t="shared" si="11"/>
        <v>1.8241132075471695E-2</v>
      </c>
      <c r="AB62" s="171">
        <f t="shared" si="11"/>
        <v>-1.8532075471698072E-3</v>
      </c>
    </row>
    <row r="63" spans="9:28" x14ac:dyDescent="0.25">
      <c r="I63" s="144"/>
      <c r="J63" s="167" t="s">
        <v>306</v>
      </c>
      <c r="K63">
        <f>MEDIAN(K7:K59)</f>
        <v>6.6361522140519336</v>
      </c>
      <c r="L63">
        <f>MEDIAN(L7:L59)</f>
        <v>6.9582919563058594</v>
      </c>
      <c r="M63" s="172">
        <f>MEDIAN(M7:M59)</f>
        <v>5.5E-2</v>
      </c>
      <c r="N63" s="172">
        <f>MEDIAN(N7:N59)</f>
        <v>3.5000000000000003E-2</v>
      </c>
      <c r="O63" s="172">
        <f t="shared" ref="O63:AB63" si="12">MEDIAN(O7:O59)</f>
        <v>0</v>
      </c>
      <c r="P63" s="172">
        <f t="shared" si="12"/>
        <v>0.09</v>
      </c>
      <c r="Q63" s="173">
        <f t="shared" si="12"/>
        <v>624795.68727003317</v>
      </c>
      <c r="R63" s="172">
        <f t="shared" si="12"/>
        <v>7.0000000000000007E-2</v>
      </c>
      <c r="S63" s="173">
        <f t="shared" si="12"/>
        <v>416749.02649219875</v>
      </c>
      <c r="T63" s="173">
        <f t="shared" si="12"/>
        <v>121645.11712877513</v>
      </c>
      <c r="U63" s="173"/>
      <c r="V63" s="173">
        <f t="shared" si="12"/>
        <v>453673.5717940309</v>
      </c>
      <c r="W63" s="173">
        <f t="shared" si="12"/>
        <v>109011.44883526769</v>
      </c>
      <c r="X63" s="173">
        <f t="shared" si="12"/>
        <v>0</v>
      </c>
      <c r="Y63" s="173" t="e">
        <f t="shared" si="12"/>
        <v>#NUM!</v>
      </c>
      <c r="Z63" s="172">
        <f t="shared" si="12"/>
        <v>7.0000000000000007E-2</v>
      </c>
      <c r="AA63" s="172">
        <f t="shared" si="12"/>
        <v>1.6600000000000004E-2</v>
      </c>
      <c r="AB63" s="174">
        <f t="shared" si="12"/>
        <v>0</v>
      </c>
    </row>
    <row r="64" spans="9:28" x14ac:dyDescent="0.25">
      <c r="I64" s="144"/>
      <c r="J64" t="s">
        <v>307</v>
      </c>
      <c r="K64">
        <f>PERCENTILE(K7:K59,0.1)</f>
        <v>3.7189374411146012</v>
      </c>
      <c r="L64">
        <f>PERCENTILE(L7:L59,0.1)</f>
        <v>2.9776904512459779</v>
      </c>
      <c r="M64" s="172">
        <f>PERCENTILE(M7:M59,0.1)</f>
        <v>4.1000000000000002E-2</v>
      </c>
      <c r="N64" s="172">
        <f>PERCENTILE(N7:N59,0.1)</f>
        <v>1.1000000000000001E-2</v>
      </c>
      <c r="O64" s="172">
        <f t="shared" ref="O64:AB64" si="13">PERCENTILE(O7:O59,0.1)</f>
        <v>0</v>
      </c>
      <c r="P64" s="172">
        <f t="shared" si="13"/>
        <v>5.7000000000000009E-2</v>
      </c>
      <c r="Q64" s="173">
        <f t="shared" si="13"/>
        <v>132173.15384077062</v>
      </c>
      <c r="R64" s="172">
        <f t="shared" si="13"/>
        <v>5.7000000000000009E-2</v>
      </c>
      <c r="S64" s="173">
        <f t="shared" si="13"/>
        <v>114486.46237541747</v>
      </c>
      <c r="T64" s="173">
        <f t="shared" si="13"/>
        <v>0</v>
      </c>
      <c r="U64" s="173"/>
      <c r="V64" s="173">
        <f t="shared" si="13"/>
        <v>99289.439273418509</v>
      </c>
      <c r="W64" s="173">
        <f t="shared" si="13"/>
        <v>7494.6963430874403</v>
      </c>
      <c r="X64" s="173">
        <f t="shared" si="13"/>
        <v>-138937.35565176894</v>
      </c>
      <c r="Y64" s="173" t="e">
        <f t="shared" si="13"/>
        <v>#NUM!</v>
      </c>
      <c r="Z64" s="172">
        <f t="shared" si="13"/>
        <v>0.05</v>
      </c>
      <c r="AA64" s="172">
        <f t="shared" si="13"/>
        <v>4.9639999999999979E-3</v>
      </c>
      <c r="AB64" s="174">
        <f t="shared" si="13"/>
        <v>-1.5621999999999994E-2</v>
      </c>
    </row>
    <row r="65" spans="9:28" ht="15.75" thickBot="1" x14ac:dyDescent="0.3">
      <c r="I65" s="175"/>
      <c r="J65" s="176" t="s">
        <v>308</v>
      </c>
      <c r="K65" s="176">
        <f>PERCENTILE(K7:K59,0.9)</f>
        <v>17.791426694322514</v>
      </c>
      <c r="L65" s="176">
        <f>PERCENTILE(L7:L59,0.9)</f>
        <v>10.822593493493494</v>
      </c>
      <c r="M65" s="177">
        <f>PERCENTILE(M7:M59,0.9)</f>
        <v>0.06</v>
      </c>
      <c r="N65" s="177">
        <f>PERCENTILE(N7:N59,0.9)</f>
        <v>5.400000000000002E-2</v>
      </c>
      <c r="O65" s="177">
        <f t="shared" ref="O65:AB65" si="14">PERCENTILE(O7:O59,0.9)</f>
        <v>4.0000000000000218E-3</v>
      </c>
      <c r="P65" s="177">
        <f t="shared" si="14"/>
        <v>0.11000000000000001</v>
      </c>
      <c r="Q65" s="178">
        <f t="shared" si="14"/>
        <v>1886317.8177842912</v>
      </c>
      <c r="R65" s="177">
        <f t="shared" si="14"/>
        <v>7.0000000000000007E-2</v>
      </c>
      <c r="S65" s="178">
        <f t="shared" si="14"/>
        <v>1799972.3766669589</v>
      </c>
      <c r="T65" s="178">
        <f t="shared" si="14"/>
        <v>375247.66857748805</v>
      </c>
      <c r="U65" s="178"/>
      <c r="V65" s="178">
        <f t="shared" si="14"/>
        <v>1518546.5747372317</v>
      </c>
      <c r="W65" s="178">
        <f t="shared" si="14"/>
        <v>374327.28525966301</v>
      </c>
      <c r="X65" s="178">
        <f t="shared" si="14"/>
        <v>142422.68129977785</v>
      </c>
      <c r="Y65" s="178" t="e">
        <f t="shared" si="14"/>
        <v>#NUM!</v>
      </c>
      <c r="Z65" s="177">
        <f t="shared" si="14"/>
        <v>8.5622000000000004E-2</v>
      </c>
      <c r="AA65" s="177">
        <f t="shared" si="14"/>
        <v>3.8408000000000019E-2</v>
      </c>
      <c r="AB65" s="179">
        <f t="shared" si="14"/>
        <v>1.1974000000000016E-2</v>
      </c>
    </row>
  </sheetData>
  <conditionalFormatting sqref="O7:O59">
    <cfRule type="cellIs" dxfId="8" priority="2" operator="greaterThan">
      <formula>0.0025</formula>
    </cfRule>
  </conditionalFormatting>
  <conditionalFormatting sqref="AB7:AB59">
    <cfRule type="cellIs" dxfId="7" priority="1" operator="lessThan">
      <formula>0</formula>
    </cfRule>
  </conditionalFormatting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40FC04-1DCE-41B3-9F34-E58DEBB9FF17}">
  <sheetPr>
    <tabColor theme="8" tint="0.79998168889431442"/>
  </sheetPr>
  <dimension ref="B1:AD61"/>
  <sheetViews>
    <sheetView tabSelected="1" topLeftCell="J2" workbookViewId="0">
      <selection activeCell="AC13" sqref="AC13"/>
    </sheetView>
  </sheetViews>
  <sheetFormatPr defaultRowHeight="15" x14ac:dyDescent="0.25"/>
  <cols>
    <col min="2" max="2" width="6" bestFit="1" customWidth="1"/>
    <col min="3" max="3" width="24.5703125" bestFit="1" customWidth="1"/>
    <col min="4" max="4" width="14.5703125" customWidth="1"/>
    <col min="5" max="5" width="18.5703125" customWidth="1"/>
    <col min="6" max="6" width="14" bestFit="1" customWidth="1"/>
    <col min="7" max="7" width="17.5703125" customWidth="1"/>
    <col min="8" max="8" width="13.42578125" customWidth="1"/>
    <col min="9" max="9" width="23.85546875" customWidth="1"/>
    <col min="10" max="10" width="23.85546875" bestFit="1" customWidth="1"/>
    <col min="11" max="11" width="23.42578125" bestFit="1" customWidth="1"/>
    <col min="12" max="12" width="3.85546875" customWidth="1"/>
    <col min="13" max="13" width="17.7109375" customWidth="1"/>
    <col min="14" max="14" width="18.5703125" customWidth="1"/>
    <col min="15" max="15" width="19.85546875" customWidth="1"/>
    <col min="16" max="16" width="3.42578125" customWidth="1"/>
    <col min="17" max="17" width="23.5703125" bestFit="1" customWidth="1"/>
    <col min="18" max="20" width="14.5703125" customWidth="1"/>
    <col min="21" max="21" width="14.5703125" style="16" customWidth="1"/>
    <col min="22" max="22" width="10.140625" customWidth="1"/>
    <col min="23" max="26" width="14.5703125" customWidth="1"/>
    <col min="27" max="27" width="9.140625" customWidth="1"/>
    <col min="28" max="28" width="3.85546875" customWidth="1"/>
    <col min="29" max="29" width="17.5703125" bestFit="1" customWidth="1"/>
  </cols>
  <sheetData>
    <row r="1" spans="2:29" ht="26.25" x14ac:dyDescent="0.4">
      <c r="B1" s="1" t="s">
        <v>342</v>
      </c>
      <c r="M1" s="14"/>
      <c r="N1" s="14"/>
    </row>
    <row r="2" spans="2:29" ht="45" x14ac:dyDescent="0.25">
      <c r="B2" t="s">
        <v>62</v>
      </c>
      <c r="N2" s="220" t="s">
        <v>351</v>
      </c>
      <c r="O2" s="224" t="s">
        <v>352</v>
      </c>
      <c r="P2" s="217"/>
      <c r="Q2" s="217"/>
      <c r="R2" s="228" t="s">
        <v>361</v>
      </c>
      <c r="S2" s="229"/>
      <c r="T2" s="229"/>
      <c r="U2" s="230"/>
      <c r="V2" s="229"/>
      <c r="W2" s="246" t="s">
        <v>360</v>
      </c>
      <c r="X2" s="247"/>
      <c r="Y2" s="247"/>
      <c r="Z2" s="248"/>
      <c r="AA2" s="247"/>
    </row>
    <row r="3" spans="2:29" x14ac:dyDescent="0.25">
      <c r="I3" s="20"/>
      <c r="J3" s="20"/>
      <c r="K3" s="20"/>
      <c r="L3" s="20"/>
      <c r="N3" s="221">
        <v>0.09</v>
      </c>
      <c r="O3" s="225">
        <v>0.08</v>
      </c>
      <c r="P3" s="218"/>
      <c r="Q3" s="218"/>
      <c r="R3" s="235">
        <f>R59</f>
        <v>36373097.144906379</v>
      </c>
      <c r="S3" s="235">
        <f t="shared" ref="S3:U3" si="0">S59</f>
        <v>40854228.695914246</v>
      </c>
      <c r="T3" s="235">
        <f t="shared" si="0"/>
        <v>41042620.333870485</v>
      </c>
      <c r="U3" s="235">
        <f t="shared" si="0"/>
        <v>4481131.5510078669</v>
      </c>
      <c r="V3" s="231"/>
      <c r="W3" s="249">
        <f>W59</f>
        <v>36373097.144906379</v>
      </c>
      <c r="X3" s="249">
        <f t="shared" ref="X3:Z3" si="1">X59</f>
        <v>42411507.728461713</v>
      </c>
      <c r="Y3" s="249">
        <f t="shared" si="1"/>
        <v>42593676.097980984</v>
      </c>
      <c r="Z3" s="249">
        <f t="shared" si="1"/>
        <v>6220578.9530746145</v>
      </c>
      <c r="AA3" s="250"/>
    </row>
    <row r="4" spans="2:29" ht="15.75" thickBot="1" x14ac:dyDescent="0.3">
      <c r="N4" s="222"/>
      <c r="O4" s="226"/>
      <c r="R4" s="231"/>
      <c r="S4" s="231"/>
      <c r="T4" s="231"/>
      <c r="U4" s="231"/>
      <c r="V4" s="231"/>
      <c r="W4" s="250"/>
      <c r="X4" s="250"/>
      <c r="Y4" s="250"/>
      <c r="Z4" s="250"/>
      <c r="AA4" s="250"/>
    </row>
    <row r="5" spans="2:29" s="11" customFormat="1" ht="61.5" customHeight="1" x14ac:dyDescent="0.25">
      <c r="B5" s="11" t="s">
        <v>59</v>
      </c>
      <c r="C5" s="11" t="s">
        <v>60</v>
      </c>
      <c r="D5" s="11" t="s">
        <v>343</v>
      </c>
      <c r="E5" s="11" t="s">
        <v>344</v>
      </c>
      <c r="F5" s="11" t="s">
        <v>345</v>
      </c>
      <c r="G5" s="11" t="s">
        <v>346</v>
      </c>
      <c r="H5" s="11" t="s">
        <v>347</v>
      </c>
      <c r="I5" s="11" t="s">
        <v>355</v>
      </c>
      <c r="J5" s="11" t="s">
        <v>356</v>
      </c>
      <c r="K5" s="11" t="s">
        <v>357</v>
      </c>
      <c r="M5" s="11" t="s">
        <v>348</v>
      </c>
      <c r="N5" s="223" t="s">
        <v>349</v>
      </c>
      <c r="O5" s="227" t="s">
        <v>350</v>
      </c>
      <c r="R5" s="232" t="s">
        <v>354</v>
      </c>
      <c r="S5" s="233" t="s">
        <v>353</v>
      </c>
      <c r="T5" s="233" t="s">
        <v>358</v>
      </c>
      <c r="U5" s="234" t="s">
        <v>359</v>
      </c>
      <c r="V5" s="233" t="s">
        <v>275</v>
      </c>
      <c r="W5" s="251" t="s">
        <v>354</v>
      </c>
      <c r="X5" s="252" t="s">
        <v>353</v>
      </c>
      <c r="Y5" s="252" t="s">
        <v>358</v>
      </c>
      <c r="Z5" s="253" t="s">
        <v>359</v>
      </c>
      <c r="AA5" s="252" t="s">
        <v>275</v>
      </c>
      <c r="AC5" s="254" t="s">
        <v>362</v>
      </c>
    </row>
    <row r="6" spans="2:29" x14ac:dyDescent="0.25">
      <c r="B6" s="18">
        <f>'Discount Details'!B6</f>
        <v>10005</v>
      </c>
      <c r="C6" s="3" t="str">
        <f>'Discount Details'!C6</f>
        <v>Alder Mutual Light</v>
      </c>
      <c r="D6" s="93">
        <v>0</v>
      </c>
      <c r="E6" s="91">
        <f>IFERROR(VLOOKUP(B6,'FY 2028 RHWM Values'!B:H,7,FALSE), 0)</f>
        <v>0</v>
      </c>
      <c r="F6" s="92">
        <f>IFERROR(VLOOKUP(B6,'POC CHWM Calculation'!A$4:R$136,17,FALSE), 0)</f>
        <v>0</v>
      </c>
      <c r="G6" s="94">
        <f>MIN(E6,F6)*8760</f>
        <v>0</v>
      </c>
      <c r="H6" s="15">
        <f>'Discount Details'!S6</f>
        <v>36.4007315676538</v>
      </c>
      <c r="I6" s="19">
        <f>H6*D6</f>
        <v>0</v>
      </c>
      <c r="J6" s="19">
        <f>G6*H6</f>
        <v>0</v>
      </c>
      <c r="K6" s="215">
        <f>F6*H6*8760</f>
        <v>0</v>
      </c>
      <c r="L6" s="215"/>
      <c r="M6" s="216">
        <f>'Discount Details'!N6</f>
        <v>2.4819999999999998E-2</v>
      </c>
      <c r="N6" s="216">
        <f>IF($N$3=0,'LDD Alt 1'!P7,MIN('Scenario Summary'!$N$3,'LDD Alt 1'!P7))</f>
        <v>2.5000000000000001E-2</v>
      </c>
      <c r="O6" s="216">
        <f>IF($O$3=0, 'LDD Alt 2'!P7, MIN('LDD Alt 2'!P7, 'Scenario Summary'!$O$3))</f>
        <v>0.03</v>
      </c>
      <c r="P6" s="219"/>
      <c r="Q6" s="219" t="str">
        <f>C6</f>
        <v>Alder Mutual Light</v>
      </c>
      <c r="R6" s="180">
        <f t="shared" ref="R6:R37" si="2">M6*I6</f>
        <v>0</v>
      </c>
      <c r="S6" s="98">
        <f t="shared" ref="S6:S37" si="3">N6*J6</f>
        <v>0</v>
      </c>
      <c r="T6" s="98">
        <f t="shared" ref="T6:T37" si="4">N6*K6</f>
        <v>0</v>
      </c>
      <c r="U6" s="96"/>
      <c r="V6" s="95"/>
      <c r="W6" s="180">
        <f t="shared" ref="W6:W37" si="5">M6*I6</f>
        <v>0</v>
      </c>
      <c r="X6" s="98">
        <f t="shared" ref="X6:X37" si="6">O6*J6</f>
        <v>0</v>
      </c>
      <c r="Y6" s="98">
        <f t="shared" ref="Y6:Y37" si="7">O6*K6</f>
        <v>0</v>
      </c>
      <c r="Z6" s="97"/>
      <c r="AA6" s="95"/>
      <c r="AC6" s="255">
        <v>2123795.9462064984</v>
      </c>
    </row>
    <row r="7" spans="2:29" x14ac:dyDescent="0.25">
      <c r="B7" s="18">
        <f>'Discount Details'!B7</f>
        <v>10025</v>
      </c>
      <c r="C7" s="3" t="str">
        <f>'Discount Details'!C7</f>
        <v>Benton Rural Elect. Assoc.</v>
      </c>
      <c r="D7" s="93">
        <f>'Discount Details'!R7</f>
        <v>519652.24540212768</v>
      </c>
      <c r="E7" s="91">
        <f>IFERROR(VLOOKUP(B7,'FY 2028 RHWM Values'!B:H,7,FALSE), 0)</f>
        <v>75.930999999999997</v>
      </c>
      <c r="F7" s="92">
        <f>IFERROR(VLOOKUP(B7,'POC CHWM Calculation'!A$4:R$136,17,FALSE), 0)</f>
        <v>65.650556754526633</v>
      </c>
      <c r="G7" s="94">
        <f>MIN(E7,F7)*8760</f>
        <v>575098.87716965331</v>
      </c>
      <c r="H7" s="15">
        <f>'Discount Details'!S7</f>
        <v>35.59524056094282</v>
      </c>
      <c r="I7" s="19">
        <f>H7*D7</f>
        <v>18497146.683122829</v>
      </c>
      <c r="J7" s="19">
        <f>G7*H7</f>
        <v>20470782.879181918</v>
      </c>
      <c r="K7" s="215">
        <f t="shared" ref="K7:K58" si="8">F7*H7*8760</f>
        <v>20470782.879181914</v>
      </c>
      <c r="L7" s="215"/>
      <c r="M7" s="216">
        <f>'Discount Details'!N7</f>
        <v>5.9760000000000001E-2</v>
      </c>
      <c r="N7" s="216">
        <f>IF($N$3=0,'LDD Alt 1'!P8,MIN('Scenario Summary'!$N$3,'LDD Alt 1'!P8))</f>
        <v>7.0000000000000007E-2</v>
      </c>
      <c r="O7" s="216">
        <f>IF($O$3=0, 'LDD Alt 2'!P8, MIN('LDD Alt 2'!P8, 'Scenario Summary'!$O$3))</f>
        <v>0.08</v>
      </c>
      <c r="P7" s="219"/>
      <c r="Q7" s="219" t="str">
        <f t="shared" ref="Q7:Q58" si="9">C7</f>
        <v>Benton Rural Elect. Assoc.</v>
      </c>
      <c r="R7" s="180">
        <f t="shared" si="2"/>
        <v>1105389.4857834203</v>
      </c>
      <c r="S7" s="98">
        <f t="shared" si="3"/>
        <v>1432954.8015427345</v>
      </c>
      <c r="T7" s="98">
        <f t="shared" si="4"/>
        <v>1432954.801542734</v>
      </c>
      <c r="U7" s="97">
        <f>T7-R7</f>
        <v>327565.31575931376</v>
      </c>
      <c r="V7" s="99">
        <f>T7/R7-1</f>
        <v>0.29633474894793221</v>
      </c>
      <c r="W7" s="180">
        <f t="shared" si="5"/>
        <v>1105389.4857834203</v>
      </c>
      <c r="X7" s="98">
        <f t="shared" si="6"/>
        <v>1637662.6303345535</v>
      </c>
      <c r="Y7" s="98">
        <f t="shared" si="7"/>
        <v>1637662.6303345531</v>
      </c>
      <c r="Z7" s="97">
        <f t="shared" ref="Z7:Z58" si="10">Y7-W7</f>
        <v>532273.14455113281</v>
      </c>
      <c r="AA7" s="99">
        <f>Y7/W7-1</f>
        <v>0.48152542736906523</v>
      </c>
      <c r="AC7" s="256"/>
    </row>
    <row r="8" spans="2:29" x14ac:dyDescent="0.25">
      <c r="B8" s="18">
        <f>'Discount Details'!B8</f>
        <v>10027</v>
      </c>
      <c r="C8" s="3" t="str">
        <f>'Discount Details'!C8</f>
        <v>Big Bend Electric Coop.</v>
      </c>
      <c r="D8" s="93">
        <f>'Discount Details'!R8</f>
        <v>537528.09600000002</v>
      </c>
      <c r="E8" s="91">
        <f>IFERROR(VLOOKUP(B8,'FY 2028 RHWM Values'!B:H,7,FALSE), 0)</f>
        <v>68.837999999999994</v>
      </c>
      <c r="F8" s="92">
        <f>IFERROR(VLOOKUP(B8,'POC CHWM Calculation'!A$4:R$136,17,FALSE), 0)</f>
        <v>64.932592246176071</v>
      </c>
      <c r="G8" s="94">
        <f t="shared" ref="G8:G58" si="11">MIN(E8,F8)*8760</f>
        <v>568809.50807650236</v>
      </c>
      <c r="H8" s="15">
        <f>'Discount Details'!S8</f>
        <v>34.790507532898751</v>
      </c>
      <c r="I8" s="19">
        <f>H8*D8</f>
        <v>18700875.273032725</v>
      </c>
      <c r="J8" s="19">
        <f t="shared" ref="J8:J58" si="12">G8*H8</f>
        <v>19789171.475519989</v>
      </c>
      <c r="K8" s="215">
        <f t="shared" si="8"/>
        <v>19789171.475519989</v>
      </c>
      <c r="L8" s="215"/>
      <c r="M8" s="216">
        <f>'Discount Details'!N8</f>
        <v>7.7549999999999994E-2</v>
      </c>
      <c r="N8" s="216">
        <f>IF($N$3=0,'LDD Alt 1'!P9,MIN('Scenario Summary'!$N$3,'LDD Alt 1'!P9))</f>
        <v>8.4999999999999992E-2</v>
      </c>
      <c r="O8" s="216">
        <f>IF($O$3=0, 'LDD Alt 2'!P9, MIN('LDD Alt 2'!P9, 'Scenario Summary'!$O$3))</f>
        <v>0.08</v>
      </c>
      <c r="P8" s="219"/>
      <c r="Q8" s="219" t="str">
        <f t="shared" si="9"/>
        <v>Big Bend Electric Coop.</v>
      </c>
      <c r="R8" s="180">
        <f t="shared" si="2"/>
        <v>1450252.8774236876</v>
      </c>
      <c r="S8" s="98">
        <f t="shared" si="3"/>
        <v>1682079.575419199</v>
      </c>
      <c r="T8" s="98">
        <f t="shared" si="4"/>
        <v>1682079.575419199</v>
      </c>
      <c r="U8" s="97">
        <f t="shared" ref="U8:U58" si="13">T8-R8</f>
        <v>231826.69799551135</v>
      </c>
      <c r="V8" s="99">
        <f t="shared" ref="V8:V58" si="14">T8/R8-1</f>
        <v>0.15985260336620843</v>
      </c>
      <c r="W8" s="180">
        <f t="shared" si="5"/>
        <v>1450252.8774236876</v>
      </c>
      <c r="X8" s="98">
        <f t="shared" si="6"/>
        <v>1583133.718041599</v>
      </c>
      <c r="Y8" s="98">
        <f t="shared" si="7"/>
        <v>1583133.718041599</v>
      </c>
      <c r="Z8" s="97">
        <f t="shared" si="10"/>
        <v>132880.84061791142</v>
      </c>
      <c r="AA8" s="99">
        <f t="shared" ref="AA8:AA58" si="15">Y8/W8-1</f>
        <v>9.1625979638784383E-2</v>
      </c>
      <c r="AC8" s="257" t="s">
        <v>363</v>
      </c>
    </row>
    <row r="9" spans="2:29" ht="15.75" thickBot="1" x14ac:dyDescent="0.3">
      <c r="B9" s="18">
        <f>'Discount Details'!B9</f>
        <v>10029</v>
      </c>
      <c r="C9" s="3" t="str">
        <f>'Discount Details'!C9</f>
        <v>Blachly-Lane Electric</v>
      </c>
      <c r="D9" s="93">
        <f>'Discount Details'!R9</f>
        <v>154758.13572502355</v>
      </c>
      <c r="E9" s="91">
        <f>IFERROR(VLOOKUP(B9,'FY 2028 RHWM Values'!B:H,7,FALSE), 0)</f>
        <v>24.669</v>
      </c>
      <c r="F9" s="92">
        <v>18.828089324721066</v>
      </c>
      <c r="G9" s="94">
        <f t="shared" si="11"/>
        <v>164934.06248455655</v>
      </c>
      <c r="H9" s="15">
        <f>'Discount Details'!S9</f>
        <v>36.648338870390255</v>
      </c>
      <c r="I9" s="19">
        <f t="shared" ref="I9:I58" si="16">H9*D9</f>
        <v>5671628.6010005111</v>
      </c>
      <c r="J9" s="19">
        <f t="shared" si="12"/>
        <v>6044559.4132041484</v>
      </c>
      <c r="K9" s="215">
        <f t="shared" si="8"/>
        <v>6044559.4132041484</v>
      </c>
      <c r="L9" s="215"/>
      <c r="M9" s="216">
        <f>'Discount Details'!N9</f>
        <v>7.9990000000000006E-2</v>
      </c>
      <c r="N9" s="216">
        <f>IF($N$3=0,'LDD Alt 1'!P10,MIN('Scenario Summary'!$N$3,'LDD Alt 1'!P10))</f>
        <v>7.5000000000000011E-2</v>
      </c>
      <c r="O9" s="216">
        <f>IF($O$3=0, 'LDD Alt 2'!P10, MIN('LDD Alt 2'!P10, 'Scenario Summary'!$O$3))</f>
        <v>0.08</v>
      </c>
      <c r="P9" s="219"/>
      <c r="Q9" s="219" t="str">
        <f t="shared" si="9"/>
        <v>Blachly-Lane Electric</v>
      </c>
      <c r="R9" s="180">
        <f t="shared" si="2"/>
        <v>453673.5717940309</v>
      </c>
      <c r="S9" s="98">
        <f t="shared" si="3"/>
        <v>453341.95599031122</v>
      </c>
      <c r="T9" s="98">
        <f t="shared" si="4"/>
        <v>453341.95599031122</v>
      </c>
      <c r="U9" s="97">
        <f t="shared" si="13"/>
        <v>-331.61580371967284</v>
      </c>
      <c r="V9" s="99">
        <f t="shared" si="14"/>
        <v>-7.3095684725099641E-4</v>
      </c>
      <c r="W9" s="180">
        <f t="shared" si="5"/>
        <v>453673.5717940309</v>
      </c>
      <c r="X9" s="98">
        <f t="shared" si="6"/>
        <v>483564.75305633189</v>
      </c>
      <c r="Y9" s="98">
        <f t="shared" si="7"/>
        <v>483564.75305633189</v>
      </c>
      <c r="Z9" s="97">
        <f t="shared" si="10"/>
        <v>29891.18126230099</v>
      </c>
      <c r="AA9" s="99">
        <f t="shared" si="15"/>
        <v>6.5886979362931974E-2</v>
      </c>
      <c r="AC9" s="258">
        <f>AC6*0.02</f>
        <v>42475.918924129968</v>
      </c>
    </row>
    <row r="10" spans="2:29" x14ac:dyDescent="0.25">
      <c r="B10" s="18">
        <f>'Discount Details'!B10</f>
        <v>10065</v>
      </c>
      <c r="C10" s="3" t="str">
        <f>'Discount Details'!C10</f>
        <v>City of Cascade Locks</v>
      </c>
      <c r="D10" s="93">
        <f>'Discount Details'!R10</f>
        <v>20888.352000000003</v>
      </c>
      <c r="E10" s="91">
        <f>IFERROR(VLOOKUP(B10,'FY 2028 RHWM Values'!B:H,7,FALSE), 0)</f>
        <v>5.3730000000000002</v>
      </c>
      <c r="F10" s="92">
        <f>IFERROR(VLOOKUP(B10,'POC CHWM Calculation'!A$4:R$136,17,FALSE), 0)</f>
        <v>3.0052261472856392</v>
      </c>
      <c r="G10" s="94">
        <f t="shared" si="11"/>
        <v>26325.781050222198</v>
      </c>
      <c r="H10" s="15">
        <f>'Discount Details'!S10</f>
        <v>33.690023491481114</v>
      </c>
      <c r="I10" s="19">
        <f t="shared" si="16"/>
        <v>703729.06957832654</v>
      </c>
      <c r="J10" s="19">
        <f t="shared" si="12"/>
        <v>886916.18201357417</v>
      </c>
      <c r="K10" s="215">
        <f t="shared" si="8"/>
        <v>886916.18201357417</v>
      </c>
      <c r="L10" s="215"/>
      <c r="M10" s="216">
        <f>'Discount Details'!N10</f>
        <v>6.6350000000000006E-2</v>
      </c>
      <c r="N10" s="216">
        <f>IF($N$3=0,'LDD Alt 1'!P11,MIN('Scenario Summary'!$N$3,'LDD Alt 1'!P11))</f>
        <v>0.04</v>
      </c>
      <c r="O10" s="216">
        <f>IF($O$3=0, 'LDD Alt 2'!P11, MIN('LDD Alt 2'!P11, 'Scenario Summary'!$O$3))</f>
        <v>5.5E-2</v>
      </c>
      <c r="P10" s="219"/>
      <c r="Q10" s="219" t="str">
        <f t="shared" si="9"/>
        <v>City of Cascade Locks</v>
      </c>
      <c r="R10" s="180">
        <f t="shared" si="2"/>
        <v>46692.42376652197</v>
      </c>
      <c r="S10" s="98">
        <f t="shared" si="3"/>
        <v>35476.647280542966</v>
      </c>
      <c r="T10" s="98">
        <f t="shared" si="4"/>
        <v>35476.647280542966</v>
      </c>
      <c r="U10" s="97">
        <f t="shared" si="13"/>
        <v>-11215.776485979004</v>
      </c>
      <c r="V10" s="99">
        <f t="shared" si="14"/>
        <v>-0.24020548905453498</v>
      </c>
      <c r="W10" s="180">
        <f t="shared" si="5"/>
        <v>46692.42376652197</v>
      </c>
      <c r="X10" s="98">
        <f t="shared" si="6"/>
        <v>48780.390010746582</v>
      </c>
      <c r="Y10" s="98">
        <f t="shared" si="7"/>
        <v>48780.390010746582</v>
      </c>
      <c r="Z10" s="97">
        <f t="shared" si="10"/>
        <v>2087.9662442246117</v>
      </c>
      <c r="AA10" s="99">
        <f t="shared" si="15"/>
        <v>4.4717452550014469E-2</v>
      </c>
    </row>
    <row r="11" spans="2:29" x14ac:dyDescent="0.25">
      <c r="B11" s="18">
        <f>'Discount Details'!B11</f>
        <v>10046</v>
      </c>
      <c r="C11" s="3" t="str">
        <f>'Discount Details'!C11</f>
        <v>Central Electric</v>
      </c>
      <c r="D11" s="93">
        <f>'Discount Details'!R11</f>
        <v>719066.86150567175</v>
      </c>
      <c r="E11" s="91">
        <f>IFERROR(VLOOKUP(B11,'FY 2028 RHWM Values'!B:H,7,FALSE), 0)</f>
        <v>105.331</v>
      </c>
      <c r="F11" s="92">
        <f>IFERROR(VLOOKUP(B11,'POC CHWM Calculation'!A$4:R$136,17,FALSE), 0)</f>
        <v>88.639792125658346</v>
      </c>
      <c r="G11" s="94">
        <f t="shared" si="11"/>
        <v>776484.57902076712</v>
      </c>
      <c r="H11" s="15">
        <f>'Discount Details'!S11</f>
        <v>36.648338870390262</v>
      </c>
      <c r="I11" s="19">
        <f t="shared" si="16"/>
        <v>26352606.010927841</v>
      </c>
      <c r="J11" s="19">
        <f t="shared" si="12"/>
        <v>28456869.979585398</v>
      </c>
      <c r="K11" s="215">
        <f t="shared" si="8"/>
        <v>28456869.979585398</v>
      </c>
      <c r="L11" s="215"/>
      <c r="M11" s="216">
        <f>'Discount Details'!N11</f>
        <v>7.8520000000000006E-2</v>
      </c>
      <c r="N11" s="216">
        <f>IF($N$3=0,'LDD Alt 1'!P12,MIN('Scenario Summary'!$N$3,'LDD Alt 1'!P12))</f>
        <v>0.08</v>
      </c>
      <c r="O11" s="216">
        <f>IF($O$3=0, 'LDD Alt 2'!P12, MIN('LDD Alt 2'!P12, 'Scenario Summary'!$O$3))</f>
        <v>0.08</v>
      </c>
      <c r="P11" s="219"/>
      <c r="Q11" s="219" t="str">
        <f t="shared" si="9"/>
        <v>Central Electric</v>
      </c>
      <c r="R11" s="180">
        <f t="shared" si="2"/>
        <v>2069206.6239780542</v>
      </c>
      <c r="S11" s="98">
        <f t="shared" si="3"/>
        <v>2276549.5983668319</v>
      </c>
      <c r="T11" s="98">
        <f t="shared" si="4"/>
        <v>2276549.5983668319</v>
      </c>
      <c r="U11" s="97">
        <f t="shared" si="13"/>
        <v>207342.97438877774</v>
      </c>
      <c r="V11" s="99">
        <f t="shared" si="14"/>
        <v>0.10020409367826222</v>
      </c>
      <c r="W11" s="180">
        <f t="shared" si="5"/>
        <v>2069206.6239780542</v>
      </c>
      <c r="X11" s="98">
        <f t="shared" si="6"/>
        <v>2276549.5983668319</v>
      </c>
      <c r="Y11" s="98">
        <f t="shared" si="7"/>
        <v>2276549.5983668319</v>
      </c>
      <c r="Z11" s="97">
        <f t="shared" si="10"/>
        <v>207342.97438877774</v>
      </c>
      <c r="AA11" s="99">
        <f t="shared" si="15"/>
        <v>0.10020409367826222</v>
      </c>
    </row>
    <row r="12" spans="2:29" x14ac:dyDescent="0.25">
      <c r="B12" s="18">
        <f>'Discount Details'!B12</f>
        <v>10101</v>
      </c>
      <c r="C12" s="3" t="str">
        <f>'Discount Details'!C12</f>
        <v>Clallam County PUD</v>
      </c>
      <c r="D12" s="93">
        <f>'Discount Details'!R12</f>
        <v>667829.95200000005</v>
      </c>
      <c r="E12" s="91">
        <f>IFERROR(VLOOKUP(B12,'FY 2028 RHWM Values'!B:H,7,FALSE), 0)</f>
        <v>80.945999999999998</v>
      </c>
      <c r="F12" s="92">
        <f>IFERROR(VLOOKUP(B12,'POC CHWM Calculation'!A$4:R$136,17,FALSE), 0)</f>
        <v>80.505682653193276</v>
      </c>
      <c r="G12" s="94">
        <f t="shared" si="11"/>
        <v>705229.78004197311</v>
      </c>
      <c r="H12" s="15">
        <f>'Discount Details'!S12</f>
        <v>36.471765612889214</v>
      </c>
      <c r="I12" s="19">
        <f t="shared" si="16"/>
        <v>24356937.478611056</v>
      </c>
      <c r="J12" s="19">
        <f t="shared" si="12"/>
        <v>25720975.240920261</v>
      </c>
      <c r="K12" s="215">
        <f t="shared" si="8"/>
        <v>25720975.240920261</v>
      </c>
      <c r="L12" s="215"/>
      <c r="M12" s="216">
        <f>'Discount Details'!N12</f>
        <v>5.0950000000000002E-2</v>
      </c>
      <c r="N12" s="216">
        <f>IF($N$3=0,'LDD Alt 1'!P13,MIN('Scenario Summary'!$N$3,'LDD Alt 1'!P13))</f>
        <v>0.06</v>
      </c>
      <c r="O12" s="216">
        <f>IF($O$3=0, 'LDD Alt 2'!P13, MIN('LDD Alt 2'!P13, 'Scenario Summary'!$O$3))</f>
        <v>6.5000000000000002E-2</v>
      </c>
      <c r="P12" s="219"/>
      <c r="Q12" s="219" t="str">
        <f t="shared" si="9"/>
        <v>Clallam County PUD</v>
      </c>
      <c r="R12" s="180">
        <f t="shared" si="2"/>
        <v>1240985.9645352333</v>
      </c>
      <c r="S12" s="98">
        <f t="shared" si="3"/>
        <v>1543258.5144552155</v>
      </c>
      <c r="T12" s="98">
        <f t="shared" si="4"/>
        <v>1543258.5144552155</v>
      </c>
      <c r="U12" s="97">
        <f t="shared" si="13"/>
        <v>302272.54991998221</v>
      </c>
      <c r="V12" s="99">
        <f t="shared" si="14"/>
        <v>0.24357451136297703</v>
      </c>
      <c r="W12" s="180">
        <f t="shared" si="5"/>
        <v>1240985.9645352333</v>
      </c>
      <c r="X12" s="98">
        <f t="shared" si="6"/>
        <v>1671863.390659817</v>
      </c>
      <c r="Y12" s="98">
        <f t="shared" si="7"/>
        <v>1671863.390659817</v>
      </c>
      <c r="Z12" s="97">
        <f t="shared" si="10"/>
        <v>430877.4261245837</v>
      </c>
      <c r="AA12" s="99">
        <f t="shared" si="15"/>
        <v>0.3472057206432253</v>
      </c>
      <c r="AC12" s="259"/>
    </row>
    <row r="13" spans="2:29" x14ac:dyDescent="0.25">
      <c r="B13" s="18">
        <f>'Discount Details'!B13</f>
        <v>10106</v>
      </c>
      <c r="C13" s="3" t="str">
        <f>'Discount Details'!C13</f>
        <v>Clearwater Power</v>
      </c>
      <c r="D13" s="93">
        <f>'Discount Details'!R13</f>
        <v>209779.80330616963</v>
      </c>
      <c r="E13" s="91">
        <f>IFERROR(VLOOKUP(B13,'FY 2028 RHWM Values'!B:H,7,FALSE), 0)</f>
        <v>27.9</v>
      </c>
      <c r="F13" s="92">
        <f>IFERROR(VLOOKUP(B13,'POC CHWM Calculation'!A$4:R$136,17,FALSE), 0)</f>
        <v>25.083610831718484</v>
      </c>
      <c r="G13" s="94">
        <f t="shared" si="11"/>
        <v>219732.43088585392</v>
      </c>
      <c r="H13" s="15">
        <f>'Discount Details'!S13</f>
        <v>36.648338870390262</v>
      </c>
      <c r="I13" s="19">
        <f t="shared" si="16"/>
        <v>7688081.3197283205</v>
      </c>
      <c r="J13" s="19">
        <f t="shared" si="12"/>
        <v>8052828.5879193814</v>
      </c>
      <c r="K13" s="215">
        <f t="shared" si="8"/>
        <v>8052828.5879193824</v>
      </c>
      <c r="L13" s="215"/>
      <c r="M13" s="216">
        <f>'Discount Details'!N13</f>
        <v>7.0739999999999997E-2</v>
      </c>
      <c r="N13" s="216">
        <f>IF($N$3=0,'LDD Alt 1'!P14,MIN('Scenario Summary'!$N$3,'LDD Alt 1'!P14))</f>
        <v>0.09</v>
      </c>
      <c r="O13" s="216">
        <f>IF($O$3=0, 'LDD Alt 2'!P14, MIN('LDD Alt 2'!P14, 'Scenario Summary'!$O$3))</f>
        <v>0.08</v>
      </c>
      <c r="P13" s="219"/>
      <c r="Q13" s="219" t="str">
        <f t="shared" si="9"/>
        <v>Clearwater Power</v>
      </c>
      <c r="R13" s="180">
        <f t="shared" si="2"/>
        <v>543854.8725575814</v>
      </c>
      <c r="S13" s="98">
        <f t="shared" si="3"/>
        <v>724754.57291274425</v>
      </c>
      <c r="T13" s="98">
        <f t="shared" si="4"/>
        <v>724754.57291274436</v>
      </c>
      <c r="U13" s="97">
        <f t="shared" si="13"/>
        <v>180899.70035516296</v>
      </c>
      <c r="V13" s="99">
        <f t="shared" si="14"/>
        <v>0.33262495103601375</v>
      </c>
      <c r="W13" s="180">
        <f t="shared" si="5"/>
        <v>543854.8725575814</v>
      </c>
      <c r="X13" s="98">
        <f t="shared" si="6"/>
        <v>644226.28703355056</v>
      </c>
      <c r="Y13" s="98">
        <f t="shared" si="7"/>
        <v>644226.28703355056</v>
      </c>
      <c r="Z13" s="97">
        <f t="shared" si="10"/>
        <v>100371.41447596916</v>
      </c>
      <c r="AA13" s="99">
        <f t="shared" si="15"/>
        <v>0.18455551203201215</v>
      </c>
    </row>
    <row r="14" spans="2:29" x14ac:dyDescent="0.25">
      <c r="B14" s="18">
        <f>'Discount Details'!B14</f>
        <v>10109</v>
      </c>
      <c r="C14" s="3" t="str">
        <f>'Discount Details'!C14</f>
        <v>Columbia Basin Coop.</v>
      </c>
      <c r="D14" s="93">
        <f>'Discount Details'!R14</f>
        <v>106443.95248791664</v>
      </c>
      <c r="E14" s="91">
        <f>IFERROR(VLOOKUP(B14,'FY 2028 RHWM Values'!B:H,7,FALSE), 0)</f>
        <v>27.523</v>
      </c>
      <c r="F14" s="92">
        <f>IFERROR(VLOOKUP(B14,'POC CHWM Calculation'!A$4:R$136,17,FALSE), 0)</f>
        <v>13.495600937843673</v>
      </c>
      <c r="G14" s="94">
        <f t="shared" si="11"/>
        <v>118221.46421551057</v>
      </c>
      <c r="H14" s="15">
        <f>'Discount Details'!S14</f>
        <v>36.652320081721655</v>
      </c>
      <c r="I14" s="19">
        <f t="shared" si="16"/>
        <v>3901417.817350693</v>
      </c>
      <c r="J14" s="19">
        <f t="shared" si="12"/>
        <v>4333090.946956696</v>
      </c>
      <c r="K14" s="215">
        <f t="shared" si="8"/>
        <v>4333090.946956696</v>
      </c>
      <c r="L14" s="215"/>
      <c r="M14" s="216">
        <f>'Discount Details'!N14</f>
        <v>8.5690000000000002E-2</v>
      </c>
      <c r="N14" s="216">
        <f>IF($N$3=0,'LDD Alt 1'!P15,MIN('Scenario Summary'!$N$3,'LDD Alt 1'!P15))</f>
        <v>0.09</v>
      </c>
      <c r="O14" s="216">
        <f>IF($O$3=0, 'LDD Alt 2'!P15, MIN('LDD Alt 2'!P15, 'Scenario Summary'!$O$3))</f>
        <v>0.08</v>
      </c>
      <c r="P14" s="219"/>
      <c r="Q14" s="219" t="str">
        <f t="shared" si="9"/>
        <v>Columbia Basin Coop.</v>
      </c>
      <c r="R14" s="180">
        <f t="shared" si="2"/>
        <v>334312.49276878091</v>
      </c>
      <c r="S14" s="98">
        <f t="shared" si="3"/>
        <v>389978.18522610265</v>
      </c>
      <c r="T14" s="98">
        <f t="shared" si="4"/>
        <v>389978.18522610265</v>
      </c>
      <c r="U14" s="97">
        <f t="shared" si="13"/>
        <v>55665.69245732174</v>
      </c>
      <c r="V14" s="99">
        <f t="shared" si="14"/>
        <v>0.16650796384035083</v>
      </c>
      <c r="W14" s="180">
        <f t="shared" si="5"/>
        <v>334312.49276878091</v>
      </c>
      <c r="X14" s="98">
        <f t="shared" si="6"/>
        <v>346647.2757565357</v>
      </c>
      <c r="Y14" s="98">
        <f t="shared" si="7"/>
        <v>346647.2757565357</v>
      </c>
      <c r="Z14" s="97">
        <f t="shared" si="10"/>
        <v>12334.782987754792</v>
      </c>
      <c r="AA14" s="99">
        <f t="shared" si="15"/>
        <v>3.6895967858089795E-2</v>
      </c>
    </row>
    <row r="15" spans="2:29" x14ac:dyDescent="0.25">
      <c r="B15" s="18">
        <f>'Discount Details'!B15</f>
        <v>10111</v>
      </c>
      <c r="C15" s="3" t="str">
        <f>'Discount Details'!C15</f>
        <v>Columbia Power Coop.</v>
      </c>
      <c r="D15" s="93">
        <f>'Discount Details'!R15</f>
        <v>27554.403126302037</v>
      </c>
      <c r="E15" s="91">
        <f>IFERROR(VLOOKUP(B15,'FY 2028 RHWM Values'!B:H,7,FALSE), 0)</f>
        <v>3.2170000000000001</v>
      </c>
      <c r="F15" s="92">
        <f>IFERROR(VLOOKUP(B15,'POC CHWM Calculation'!A$4:R$136,17,FALSE), 0)</f>
        <v>3.3225894371591629</v>
      </c>
      <c r="G15" s="94">
        <f t="shared" si="11"/>
        <v>28180.920000000002</v>
      </c>
      <c r="H15" s="15">
        <f>'Discount Details'!S15</f>
        <v>36.652148714794805</v>
      </c>
      <c r="I15" s="19">
        <f t="shared" si="16"/>
        <v>1009928.0811326292</v>
      </c>
      <c r="J15" s="19">
        <f t="shared" si="12"/>
        <v>1032891.2707597353</v>
      </c>
      <c r="K15" s="215">
        <f t="shared" si="8"/>
        <v>1066793.1694001246</v>
      </c>
      <c r="L15" s="215"/>
      <c r="M15" s="216">
        <f>'Discount Details'!N15</f>
        <v>7.0000000000000007E-2</v>
      </c>
      <c r="N15" s="216">
        <f>IF($N$3=0,'LDD Alt 1'!P16,MIN('Scenario Summary'!$N$3,'LDD Alt 1'!P16))</f>
        <v>0.09</v>
      </c>
      <c r="O15" s="216">
        <f>IF($O$3=0, 'LDD Alt 2'!P16, MIN('LDD Alt 2'!P16, 'Scenario Summary'!$O$3))</f>
        <v>0.08</v>
      </c>
      <c r="P15" s="219"/>
      <c r="Q15" s="219" t="str">
        <f t="shared" si="9"/>
        <v>Columbia Power Coop.</v>
      </c>
      <c r="R15" s="180">
        <f t="shared" si="2"/>
        <v>70694.965679284054</v>
      </c>
      <c r="S15" s="98">
        <f t="shared" si="3"/>
        <v>92960.214368376168</v>
      </c>
      <c r="T15" s="98">
        <f t="shared" si="4"/>
        <v>96011.38524601121</v>
      </c>
      <c r="U15" s="97">
        <f t="shared" si="13"/>
        <v>25316.419566727156</v>
      </c>
      <c r="V15" s="99">
        <f t="shared" si="14"/>
        <v>0.35810781324342167</v>
      </c>
      <c r="W15" s="180">
        <f t="shared" si="5"/>
        <v>70694.965679284054</v>
      </c>
      <c r="X15" s="98">
        <f t="shared" si="6"/>
        <v>82631.301660778816</v>
      </c>
      <c r="Y15" s="98">
        <f t="shared" si="7"/>
        <v>85343.453552009974</v>
      </c>
      <c r="Z15" s="97">
        <f t="shared" si="10"/>
        <v>14648.48787272592</v>
      </c>
      <c r="AA15" s="99">
        <f t="shared" si="15"/>
        <v>0.20720694510526383</v>
      </c>
    </row>
    <row r="16" spans="2:29" x14ac:dyDescent="0.25">
      <c r="B16" s="18">
        <f>'Discount Details'!B16</f>
        <v>10113</v>
      </c>
      <c r="C16" s="3" t="str">
        <f>'Discount Details'!C16</f>
        <v>Columbia REA</v>
      </c>
      <c r="D16" s="93">
        <f>'Discount Details'!R16</f>
        <v>331095.31199999998</v>
      </c>
      <c r="E16" s="91">
        <f>IFERROR(VLOOKUP(B16,'FY 2028 RHWM Values'!B:H,7,FALSE), 0)</f>
        <v>45.295000000000002</v>
      </c>
      <c r="F16" s="92">
        <f>IFERROR(VLOOKUP(B16,'POC CHWM Calculation'!A$4:R$136,17,FALSE), 0)</f>
        <v>40.724278845238956</v>
      </c>
      <c r="G16" s="94">
        <f t="shared" si="11"/>
        <v>356744.68268429325</v>
      </c>
      <c r="H16" s="15">
        <f>'Discount Details'!S16</f>
        <v>33.767621048420345</v>
      </c>
      <c r="I16" s="19">
        <f t="shared" si="16"/>
        <v>11180301.026524501</v>
      </c>
      <c r="J16" s="19">
        <f t="shared" si="12"/>
        <v>12046419.255922178</v>
      </c>
      <c r="K16" s="215">
        <f t="shared" si="8"/>
        <v>12046419.255922178</v>
      </c>
      <c r="L16" s="215"/>
      <c r="M16" s="216">
        <f>'Discount Details'!N16</f>
        <v>8.0829999999999999E-2</v>
      </c>
      <c r="N16" s="216">
        <f>IF($N$3=0,'LDD Alt 1'!P17,MIN('Scenario Summary'!$N$3,'LDD Alt 1'!P17))</f>
        <v>0.09</v>
      </c>
      <c r="O16" s="216">
        <f>IF($O$3=0, 'LDD Alt 2'!P17, MIN('LDD Alt 2'!P17, 'Scenario Summary'!$O$3))</f>
        <v>0.08</v>
      </c>
      <c r="P16" s="219"/>
      <c r="Q16" s="219" t="str">
        <f t="shared" si="9"/>
        <v>Columbia REA</v>
      </c>
      <c r="R16" s="180">
        <f t="shared" si="2"/>
        <v>903703.73197397543</v>
      </c>
      <c r="S16" s="98">
        <f t="shared" si="3"/>
        <v>1084177.7330329961</v>
      </c>
      <c r="T16" s="98">
        <f t="shared" si="4"/>
        <v>1084177.7330329961</v>
      </c>
      <c r="U16" s="97">
        <f t="shared" si="13"/>
        <v>180474.00105902064</v>
      </c>
      <c r="V16" s="99">
        <f t="shared" si="14"/>
        <v>0.19970483099013903</v>
      </c>
      <c r="W16" s="180">
        <f t="shared" si="5"/>
        <v>903703.73197397543</v>
      </c>
      <c r="X16" s="98">
        <f t="shared" si="6"/>
        <v>963713.54047377419</v>
      </c>
      <c r="Y16" s="98">
        <f t="shared" si="7"/>
        <v>963713.54047377419</v>
      </c>
      <c r="Z16" s="97">
        <f t="shared" si="10"/>
        <v>60009.808499798761</v>
      </c>
      <c r="AA16" s="99">
        <f t="shared" si="15"/>
        <v>6.6404294213456838E-2</v>
      </c>
    </row>
    <row r="17" spans="2:30" x14ac:dyDescent="0.25">
      <c r="B17" s="18">
        <f>'Discount Details'!B17</f>
        <v>10118</v>
      </c>
      <c r="C17" s="3" t="str">
        <f>'Discount Details'!C17</f>
        <v>Consumers Power</v>
      </c>
      <c r="D17" s="93">
        <f>'Discount Details'!R17</f>
        <v>401248.00843573367</v>
      </c>
      <c r="E17" s="91">
        <f>IFERROR(VLOOKUP(B17,'FY 2028 RHWM Values'!B:H,7,FALSE), 0)</f>
        <v>49.863</v>
      </c>
      <c r="F17" s="92">
        <f>IFERROR(VLOOKUP(B17,'POC CHWM Calculation'!A$4:R$136,17,FALSE), 0)</f>
        <v>48.206094234538014</v>
      </c>
      <c r="G17" s="94">
        <f t="shared" si="11"/>
        <v>422285.38549455302</v>
      </c>
      <c r="H17" s="15">
        <f>'Discount Details'!S17</f>
        <v>36.648338870390255</v>
      </c>
      <c r="I17" s="19">
        <f t="shared" si="16"/>
        <v>14705072.984221974</v>
      </c>
      <c r="J17" s="19">
        <f t="shared" si="12"/>
        <v>15476057.907617761</v>
      </c>
      <c r="K17" s="215">
        <f t="shared" si="8"/>
        <v>15476057.907617759</v>
      </c>
      <c r="L17" s="215"/>
      <c r="M17" s="216">
        <f>'Discount Details'!N17</f>
        <v>7.0040000000000005E-2</v>
      </c>
      <c r="N17" s="216">
        <f>IF($N$3=0,'LDD Alt 1'!P18,MIN('Scenario Summary'!$N$3,'LDD Alt 1'!P18))</f>
        <v>0.08</v>
      </c>
      <c r="O17" s="216">
        <f>IF($O$3=0, 'LDD Alt 2'!P18, MIN('LDD Alt 2'!P18, 'Scenario Summary'!$O$3))</f>
        <v>0.08</v>
      </c>
      <c r="P17" s="219"/>
      <c r="Q17" s="219" t="str">
        <f t="shared" si="9"/>
        <v>Consumers Power</v>
      </c>
      <c r="R17" s="180">
        <f t="shared" si="2"/>
        <v>1029943.3118149071</v>
      </c>
      <c r="S17" s="98">
        <f t="shared" si="3"/>
        <v>1238084.6326094209</v>
      </c>
      <c r="T17" s="98">
        <f t="shared" si="4"/>
        <v>1238084.6326094207</v>
      </c>
      <c r="U17" s="97">
        <f t="shared" si="13"/>
        <v>208141.32079451357</v>
      </c>
      <c r="V17" s="99">
        <f t="shared" si="14"/>
        <v>0.20209007467385631</v>
      </c>
      <c r="W17" s="180">
        <f t="shared" si="5"/>
        <v>1029943.3118149071</v>
      </c>
      <c r="X17" s="98">
        <f t="shared" si="6"/>
        <v>1238084.6326094209</v>
      </c>
      <c r="Y17" s="98">
        <f t="shared" si="7"/>
        <v>1238084.6326094207</v>
      </c>
      <c r="Z17" s="97">
        <f t="shared" si="10"/>
        <v>208141.32079451357</v>
      </c>
      <c r="AA17" s="99">
        <f t="shared" si="15"/>
        <v>0.20209007467385631</v>
      </c>
    </row>
    <row r="18" spans="2:30" x14ac:dyDescent="0.25">
      <c r="B18" s="18">
        <f>'Discount Details'!B18</f>
        <v>10121</v>
      </c>
      <c r="C18" s="3" t="str">
        <f>'Discount Details'!C18</f>
        <v>Coos-Curry Electric</v>
      </c>
      <c r="D18" s="93">
        <f>'Discount Details'!R18</f>
        <v>346958.55657293368</v>
      </c>
      <c r="E18" s="91">
        <f>IFERROR(VLOOKUP(B18,'FY 2028 RHWM Values'!B:H,7,FALSE), 0)</f>
        <v>40.186</v>
      </c>
      <c r="F18" s="92">
        <f>IFERROR(VLOOKUP(B18,'POC CHWM Calculation'!A$4:R$136,17,FALSE), 0)</f>
        <v>42.075684747524264</v>
      </c>
      <c r="G18" s="94">
        <f t="shared" si="11"/>
        <v>352029.36</v>
      </c>
      <c r="H18" s="15">
        <f>'Discount Details'!S18</f>
        <v>36.648321991942765</v>
      </c>
      <c r="I18" s="19">
        <f t="shared" si="16"/>
        <v>12715448.899144564</v>
      </c>
      <c r="J18" s="19">
        <f t="shared" si="12"/>
        <v>12901285.335897537</v>
      </c>
      <c r="K18" s="215">
        <f t="shared" si="8"/>
        <v>13507948.405690599</v>
      </c>
      <c r="L18" s="215"/>
      <c r="M18" s="216">
        <f>'Discount Details'!N18</f>
        <v>0.06</v>
      </c>
      <c r="N18" s="216">
        <f>IF($N$3=0,'LDD Alt 1'!P19,MIN('Scenario Summary'!$N$3,'LDD Alt 1'!P19))</f>
        <v>7.0000000000000007E-2</v>
      </c>
      <c r="O18" s="216">
        <f>IF($O$3=0, 'LDD Alt 2'!P19, MIN('LDD Alt 2'!P19, 'Scenario Summary'!$O$3))</f>
        <v>0.08</v>
      </c>
      <c r="P18" s="219"/>
      <c r="Q18" s="219" t="str">
        <f t="shared" si="9"/>
        <v>Coos-Curry Electric</v>
      </c>
      <c r="R18" s="180">
        <f t="shared" si="2"/>
        <v>762926.93394867377</v>
      </c>
      <c r="S18" s="98">
        <f t="shared" si="3"/>
        <v>903089.97351282765</v>
      </c>
      <c r="T18" s="98">
        <f t="shared" si="4"/>
        <v>945556.38839834207</v>
      </c>
      <c r="U18" s="97">
        <f t="shared" si="13"/>
        <v>182629.45444966829</v>
      </c>
      <c r="V18" s="99">
        <f t="shared" si="14"/>
        <v>0.23938000655506375</v>
      </c>
      <c r="W18" s="180">
        <f t="shared" si="5"/>
        <v>762926.93394867377</v>
      </c>
      <c r="X18" s="98">
        <f t="shared" si="6"/>
        <v>1032102.826871803</v>
      </c>
      <c r="Y18" s="98">
        <f t="shared" si="7"/>
        <v>1080635.8724552479</v>
      </c>
      <c r="Z18" s="97">
        <f t="shared" si="10"/>
        <v>317708.93850657414</v>
      </c>
      <c r="AA18" s="99">
        <f t="shared" si="15"/>
        <v>0.41643429320578695</v>
      </c>
    </row>
    <row r="19" spans="2:30" x14ac:dyDescent="0.25">
      <c r="B19" s="18">
        <f>'Discount Details'!B19</f>
        <v>10136</v>
      </c>
      <c r="C19" s="3" t="str">
        <f>'Discount Details'!C19</f>
        <v>Douglas Electric Coop.</v>
      </c>
      <c r="D19" s="93">
        <f>'Discount Details'!R19</f>
        <v>161608.69634412645</v>
      </c>
      <c r="E19" s="91">
        <f>IFERROR(VLOOKUP(B19,'FY 2028 RHWM Values'!B:H,7,FALSE), 0)</f>
        <v>18.579999999999998</v>
      </c>
      <c r="F19" s="92">
        <f>IFERROR(VLOOKUP(B19,'POC CHWM Calculation'!A$4:R$136,17,FALSE), 0)</f>
        <v>19.34311192100752</v>
      </c>
      <c r="G19" s="94">
        <f t="shared" si="11"/>
        <v>162760.79999999999</v>
      </c>
      <c r="H19" s="15">
        <f>'Discount Details'!S19</f>
        <v>36.648401858805094</v>
      </c>
      <c r="I19" s="19">
        <f t="shared" si="16"/>
        <v>5922700.4474971518</v>
      </c>
      <c r="J19" s="19">
        <f t="shared" si="12"/>
        <v>5964923.2052606037</v>
      </c>
      <c r="K19" s="215">
        <f t="shared" si="8"/>
        <v>6209912.6565969195</v>
      </c>
      <c r="L19" s="215"/>
      <c r="M19" s="216">
        <f>'Discount Details'!N19</f>
        <v>7.0000000000000007E-2</v>
      </c>
      <c r="N19" s="216">
        <f>IF($N$3=0,'LDD Alt 1'!P20,MIN('Scenario Summary'!$N$3,'LDD Alt 1'!P20))</f>
        <v>8.4999999999999992E-2</v>
      </c>
      <c r="O19" s="216">
        <f>IF($O$3=0, 'LDD Alt 2'!P20, MIN('LDD Alt 2'!P20, 'Scenario Summary'!$O$3))</f>
        <v>0.08</v>
      </c>
      <c r="P19" s="219"/>
      <c r="Q19" s="219" t="str">
        <f t="shared" si="9"/>
        <v>Douglas Electric Coop.</v>
      </c>
      <c r="R19" s="180">
        <f t="shared" si="2"/>
        <v>414589.03132480069</v>
      </c>
      <c r="S19" s="98">
        <f t="shared" si="3"/>
        <v>507018.47244715126</v>
      </c>
      <c r="T19" s="98">
        <f t="shared" si="4"/>
        <v>527842.57581073814</v>
      </c>
      <c r="U19" s="97">
        <f t="shared" si="13"/>
        <v>113253.54448593745</v>
      </c>
      <c r="V19" s="99">
        <f t="shared" si="14"/>
        <v>0.27317062423007377</v>
      </c>
      <c r="W19" s="180">
        <f t="shared" si="5"/>
        <v>414589.03132480069</v>
      </c>
      <c r="X19" s="98">
        <f t="shared" si="6"/>
        <v>477193.85642084829</v>
      </c>
      <c r="Y19" s="98">
        <f t="shared" si="7"/>
        <v>496793.0125277536</v>
      </c>
      <c r="Z19" s="97">
        <f t="shared" si="10"/>
        <v>82203.981202952913</v>
      </c>
      <c r="AA19" s="99">
        <f t="shared" si="15"/>
        <v>0.19827823456948135</v>
      </c>
    </row>
    <row r="20" spans="2:30" x14ac:dyDescent="0.25">
      <c r="B20" s="18">
        <f>'Discount Details'!B20</f>
        <v>10142</v>
      </c>
      <c r="C20" s="3" t="str">
        <f>'Discount Details'!C20</f>
        <v>East End Mutual Elect.</v>
      </c>
      <c r="D20" s="93">
        <f>'Discount Details'!R20</f>
        <v>23602.608</v>
      </c>
      <c r="E20" s="91">
        <f>IFERROR(VLOOKUP(B20,'FY 2028 RHWM Values'!B:H,7,FALSE), 0)</f>
        <v>3.6389999999999998</v>
      </c>
      <c r="F20" s="92">
        <f>IFERROR(VLOOKUP(B20,'POC CHWM Calculation'!A$4:R$136,17,FALSE), 0)</f>
        <v>2.9475393292271952</v>
      </c>
      <c r="G20" s="94">
        <f t="shared" si="11"/>
        <v>25820.44452403023</v>
      </c>
      <c r="H20" s="15">
        <f>'Discount Details'!S20</f>
        <v>36.722743406475189</v>
      </c>
      <c r="I20" s="19">
        <f t="shared" si="16"/>
        <v>866752.51730761852</v>
      </c>
      <c r="J20" s="19">
        <f t="shared" si="12"/>
        <v>948197.55889708956</v>
      </c>
      <c r="K20" s="215">
        <f t="shared" si="8"/>
        <v>948197.55889708956</v>
      </c>
      <c r="L20" s="215"/>
      <c r="M20" s="216">
        <f>'Discount Details'!N20</f>
        <v>3.6999999999999998E-2</v>
      </c>
      <c r="N20" s="216">
        <f>IF($N$3=0,'LDD Alt 1'!P21,MIN('Scenario Summary'!$N$3,'LDD Alt 1'!P21))</f>
        <v>3.5000000000000003E-2</v>
      </c>
      <c r="O20" s="216">
        <f>IF($O$3=0, 'LDD Alt 2'!P21, MIN('LDD Alt 2'!P21, 'Scenario Summary'!$O$3))</f>
        <v>0.04</v>
      </c>
      <c r="P20" s="219"/>
      <c r="Q20" s="219" t="str">
        <f t="shared" si="9"/>
        <v>East End Mutual Elect.</v>
      </c>
      <c r="R20" s="180">
        <f t="shared" si="2"/>
        <v>32069.843140381883</v>
      </c>
      <c r="S20" s="98">
        <f t="shared" si="3"/>
        <v>33186.914561398138</v>
      </c>
      <c r="T20" s="98">
        <f t="shared" si="4"/>
        <v>33186.914561398138</v>
      </c>
      <c r="U20" s="97">
        <f t="shared" si="13"/>
        <v>1117.071421016255</v>
      </c>
      <c r="V20" s="99">
        <f t="shared" si="14"/>
        <v>3.4832456651765042E-2</v>
      </c>
      <c r="W20" s="180">
        <f t="shared" si="5"/>
        <v>32069.843140381883</v>
      </c>
      <c r="X20" s="98">
        <f t="shared" si="6"/>
        <v>37927.902355883583</v>
      </c>
      <c r="Y20" s="98">
        <f t="shared" si="7"/>
        <v>37927.902355883583</v>
      </c>
      <c r="Z20" s="97">
        <f t="shared" si="10"/>
        <v>5858.0592155017002</v>
      </c>
      <c r="AA20" s="99">
        <f t="shared" si="15"/>
        <v>0.18266566474487411</v>
      </c>
    </row>
    <row r="21" spans="2:30" x14ac:dyDescent="0.25">
      <c r="B21" s="18">
        <f>'Discount Details'!B21</f>
        <v>10157</v>
      </c>
      <c r="C21" s="3" t="str">
        <f>'Discount Details'!C21</f>
        <v>Emerald PUD</v>
      </c>
      <c r="D21" s="93">
        <f>'Discount Details'!R21</f>
        <v>438831.0712271682</v>
      </c>
      <c r="E21" s="91">
        <f>IFERROR(VLOOKUP(B21,'FY 2028 RHWM Values'!B:H,7,FALSE), 0)</f>
        <v>59.445999999999998</v>
      </c>
      <c r="F21" s="92">
        <f>IFERROR(VLOOKUP(B21,'POC CHWM Calculation'!A$4:R$136,17,FALSE), 0)</f>
        <v>41.30890148602689</v>
      </c>
      <c r="G21" s="94">
        <f t="shared" si="11"/>
        <v>361865.97701759555</v>
      </c>
      <c r="H21" s="15">
        <f>'Discount Details'!S21</f>
        <v>33.812100958492998</v>
      </c>
      <c r="I21" s="19">
        <f t="shared" si="16"/>
        <v>14837800.484056642</v>
      </c>
      <c r="J21" s="19">
        <f t="shared" si="12"/>
        <v>12235448.948362648</v>
      </c>
      <c r="K21" s="215">
        <f t="shared" si="8"/>
        <v>12235448.948362648</v>
      </c>
      <c r="L21" s="215"/>
      <c r="M21" s="216">
        <f>'Discount Details'!N21</f>
        <v>6.0290000000000003E-2</v>
      </c>
      <c r="N21" s="216">
        <f>IF($N$3=0,'LDD Alt 1'!P22,MIN('Scenario Summary'!$N$3,'LDD Alt 1'!P22))</f>
        <v>6.0000000000000005E-2</v>
      </c>
      <c r="O21" s="216">
        <f>IF($O$3=0, 'LDD Alt 2'!P22, MIN('LDD Alt 2'!P22, 'Scenario Summary'!$O$3))</f>
        <v>7.0000000000000007E-2</v>
      </c>
      <c r="P21" s="219"/>
      <c r="Q21" s="219" t="str">
        <f t="shared" si="9"/>
        <v>Emerald PUD</v>
      </c>
      <c r="R21" s="180">
        <f t="shared" si="2"/>
        <v>894570.99118377501</v>
      </c>
      <c r="S21" s="98">
        <f t="shared" si="3"/>
        <v>734126.93690175901</v>
      </c>
      <c r="T21" s="98">
        <f>N21*K21</f>
        <v>734126.93690175901</v>
      </c>
      <c r="U21" s="97">
        <f t="shared" si="13"/>
        <v>-160444.054282016</v>
      </c>
      <c r="V21" s="99">
        <f t="shared" si="14"/>
        <v>-0.17935307076043494</v>
      </c>
      <c r="W21" s="180">
        <f t="shared" si="5"/>
        <v>894570.99118377501</v>
      </c>
      <c r="X21" s="98">
        <f t="shared" si="6"/>
        <v>856481.42638538545</v>
      </c>
      <c r="Y21" s="98">
        <f t="shared" si="7"/>
        <v>856481.42638538545</v>
      </c>
      <c r="Z21" s="97">
        <f t="shared" si="10"/>
        <v>-38089.564798389561</v>
      </c>
      <c r="AA21" s="99">
        <f t="shared" si="15"/>
        <v>-4.2578582553840838E-2</v>
      </c>
    </row>
    <row r="22" spans="2:30" x14ac:dyDescent="0.25">
      <c r="B22" s="18">
        <f>'Discount Details'!B22</f>
        <v>10173</v>
      </c>
      <c r="C22" s="3" t="str">
        <f>'Discount Details'!C22</f>
        <v>Fall River Electric Coop.</v>
      </c>
      <c r="D22" s="93">
        <f>'Discount Details'!R22</f>
        <v>291049.5428246393</v>
      </c>
      <c r="E22" s="91">
        <f>IFERROR(VLOOKUP(B22,'FY 2028 RHWM Values'!B:H,7,FALSE), 0)</f>
        <v>48.646000000000001</v>
      </c>
      <c r="F22" s="92">
        <f>IFERROR(VLOOKUP(B22,'POC CHWM Calculation'!A$4:R$136,17,FALSE), 0)</f>
        <v>37.146855247572866</v>
      </c>
      <c r="G22" s="94">
        <f t="shared" si="11"/>
        <v>325406.45196873829</v>
      </c>
      <c r="H22" s="15">
        <f>'Discount Details'!S22</f>
        <v>36.648338870390255</v>
      </c>
      <c r="I22" s="19">
        <f t="shared" si="16"/>
        <v>10666482.273509542</v>
      </c>
      <c r="J22" s="19">
        <f t="shared" si="12"/>
        <v>11925605.922361691</v>
      </c>
      <c r="K22" s="215">
        <f t="shared" si="8"/>
        <v>11925605.922361691</v>
      </c>
      <c r="L22" s="215"/>
      <c r="M22" s="216">
        <f>'Discount Details'!N22</f>
        <v>8.4779999999999994E-2</v>
      </c>
      <c r="N22" s="216">
        <f>IF($N$3=0,'LDD Alt 1'!P23,MIN('Scenario Summary'!$N$3,'LDD Alt 1'!P23))</f>
        <v>0.08</v>
      </c>
      <c r="O22" s="216">
        <f>IF($O$3=0, 'LDD Alt 2'!P23, MIN('LDD Alt 2'!P23, 'Scenario Summary'!$O$3))</f>
        <v>0.08</v>
      </c>
      <c r="P22" s="219"/>
      <c r="Q22" s="219" t="str">
        <f t="shared" si="9"/>
        <v>Fall River Electric Coop.</v>
      </c>
      <c r="R22" s="180">
        <f t="shared" si="2"/>
        <v>904304.36714813882</v>
      </c>
      <c r="S22" s="98">
        <f t="shared" si="3"/>
        <v>954048.47378893523</v>
      </c>
      <c r="T22" s="98">
        <f t="shared" si="4"/>
        <v>954048.47378893523</v>
      </c>
      <c r="U22" s="97">
        <f t="shared" si="13"/>
        <v>49744.10664079641</v>
      </c>
      <c r="V22" s="99">
        <f t="shared" si="14"/>
        <v>5.5008145982609724E-2</v>
      </c>
      <c r="W22" s="180">
        <f t="shared" si="5"/>
        <v>904304.36714813882</v>
      </c>
      <c r="X22" s="98">
        <f t="shared" si="6"/>
        <v>954048.47378893523</v>
      </c>
      <c r="Y22" s="98">
        <f t="shared" si="7"/>
        <v>954048.47378893523</v>
      </c>
      <c r="Z22" s="97">
        <f t="shared" si="10"/>
        <v>49744.10664079641</v>
      </c>
      <c r="AA22" s="99">
        <f t="shared" si="15"/>
        <v>5.5008145982609724E-2</v>
      </c>
    </row>
    <row r="23" spans="2:30" x14ac:dyDescent="0.25">
      <c r="B23" s="18">
        <f>'Discount Details'!B23</f>
        <v>10177</v>
      </c>
      <c r="C23" s="3" t="str">
        <f>'Discount Details'!C23</f>
        <v>Ferry County PUD</v>
      </c>
      <c r="D23" s="93">
        <f>'Discount Details'!R23</f>
        <v>76044.034348560628</v>
      </c>
      <c r="E23" s="91">
        <f>IFERROR(VLOOKUP(B23,'FY 2028 RHWM Values'!B:H,7,FALSE), 0)</f>
        <v>9.75</v>
      </c>
      <c r="F23" s="92">
        <f>IFERROR(VLOOKUP(B23,'POC CHWM Calculation'!A$4:R$136,17,FALSE), 0)</f>
        <v>10.092361852820014</v>
      </c>
      <c r="G23" s="94">
        <f t="shared" si="11"/>
        <v>85410</v>
      </c>
      <c r="H23" s="15">
        <f>'Discount Details'!S23</f>
        <v>35.411224740010368</v>
      </c>
      <c r="I23" s="19">
        <f t="shared" si="16"/>
        <v>2692812.3904539482</v>
      </c>
      <c r="J23" s="19">
        <f t="shared" si="12"/>
        <v>3024472.7050442854</v>
      </c>
      <c r="K23" s="215">
        <f t="shared" si="8"/>
        <v>3130674.1490548006</v>
      </c>
      <c r="L23" s="215"/>
      <c r="M23" s="216">
        <f>'Discount Details'!N23</f>
        <v>7.0000000000000007E-2</v>
      </c>
      <c r="N23" s="216">
        <f>IF($N$3=0,'LDD Alt 1'!P24,MIN('Scenario Summary'!$N$3,'LDD Alt 1'!P24))</f>
        <v>8.5000000000000006E-2</v>
      </c>
      <c r="O23" s="216">
        <f>IF($O$3=0, 'LDD Alt 2'!P24, MIN('LDD Alt 2'!P24, 'Scenario Summary'!$O$3))</f>
        <v>0.08</v>
      </c>
      <c r="P23" s="219"/>
      <c r="Q23" s="219" t="str">
        <f t="shared" si="9"/>
        <v>Ferry County PUD</v>
      </c>
      <c r="R23" s="180">
        <f t="shared" si="2"/>
        <v>188496.86733177639</v>
      </c>
      <c r="S23" s="98">
        <f t="shared" si="3"/>
        <v>257080.17992876426</v>
      </c>
      <c r="T23" s="98">
        <f t="shared" si="4"/>
        <v>266107.30266965809</v>
      </c>
      <c r="U23" s="97">
        <f t="shared" si="13"/>
        <v>77610.435337881703</v>
      </c>
      <c r="V23" s="99">
        <f t="shared" si="14"/>
        <v>0.41173328998236514</v>
      </c>
      <c r="W23" s="180">
        <f t="shared" si="5"/>
        <v>188496.86733177639</v>
      </c>
      <c r="X23" s="98">
        <f t="shared" si="6"/>
        <v>241957.81640354285</v>
      </c>
      <c r="Y23" s="98">
        <f t="shared" si="7"/>
        <v>250453.93192438406</v>
      </c>
      <c r="Z23" s="97">
        <f t="shared" si="10"/>
        <v>61957.064592607669</v>
      </c>
      <c r="AA23" s="99">
        <f t="shared" si="15"/>
        <v>0.3286901552775201</v>
      </c>
    </row>
    <row r="24" spans="2:30" x14ac:dyDescent="0.25">
      <c r="B24" s="18">
        <f>'Discount Details'!B24</f>
        <v>10186</v>
      </c>
      <c r="C24" s="3" t="str">
        <f>'Discount Details'!C24</f>
        <v>Glacier Electric Coop.</v>
      </c>
      <c r="D24" s="93">
        <f>'Discount Details'!R24</f>
        <v>155012.09571054493</v>
      </c>
      <c r="E24" s="91">
        <f>IFERROR(VLOOKUP(B24,'FY 2028 RHWM Values'!B:H,7,FALSE), 0)</f>
        <v>18.489000000000001</v>
      </c>
      <c r="F24" s="92">
        <f>IFERROR(VLOOKUP(B24,'POC CHWM Calculation'!A$4:R$136,17,FALSE), 0)</f>
        <v>21.749992075835273</v>
      </c>
      <c r="G24" s="94">
        <f t="shared" si="11"/>
        <v>161963.64000000001</v>
      </c>
      <c r="H24" s="15">
        <f>'Discount Details'!S24</f>
        <v>35.790431727433493</v>
      </c>
      <c r="I24" s="19">
        <f t="shared" si="16"/>
        <v>5547949.8284546444</v>
      </c>
      <c r="J24" s="19">
        <f t="shared" si="12"/>
        <v>5796748.5997466166</v>
      </c>
      <c r="K24" s="215">
        <f t="shared" si="8"/>
        <v>6819148.4726106403</v>
      </c>
      <c r="L24" s="215"/>
      <c r="M24" s="216">
        <f>'Discount Details'!N24</f>
        <v>7.0000000000000007E-2</v>
      </c>
      <c r="N24" s="216">
        <f>IF($N$3=0,'LDD Alt 1'!P25,MIN('Scenario Summary'!$N$3,'LDD Alt 1'!P25))</f>
        <v>0.09</v>
      </c>
      <c r="O24" s="216">
        <f>IF($O$3=0, 'LDD Alt 2'!P25, MIN('LDD Alt 2'!P25, 'Scenario Summary'!$O$3))</f>
        <v>0.08</v>
      </c>
      <c r="P24" s="219"/>
      <c r="Q24" s="219" t="str">
        <f t="shared" si="9"/>
        <v>Glacier Electric Coop.</v>
      </c>
      <c r="R24" s="180">
        <f t="shared" si="2"/>
        <v>388356.48799182515</v>
      </c>
      <c r="S24" s="98">
        <f t="shared" si="3"/>
        <v>521707.37397719547</v>
      </c>
      <c r="T24" s="98">
        <f t="shared" si="4"/>
        <v>613723.36253495759</v>
      </c>
      <c r="U24" s="97">
        <f t="shared" si="13"/>
        <v>225366.87454313244</v>
      </c>
      <c r="V24" s="99">
        <f t="shared" si="14"/>
        <v>0.58030928157913597</v>
      </c>
      <c r="W24" s="180">
        <f t="shared" si="5"/>
        <v>388356.48799182515</v>
      </c>
      <c r="X24" s="98">
        <f t="shared" si="6"/>
        <v>463739.88797972933</v>
      </c>
      <c r="Y24" s="98">
        <f t="shared" si="7"/>
        <v>545531.87780885119</v>
      </c>
      <c r="Z24" s="97">
        <f t="shared" si="10"/>
        <v>157175.38981702604</v>
      </c>
      <c r="AA24" s="99">
        <f t="shared" si="15"/>
        <v>0.40471936140367659</v>
      </c>
    </row>
    <row r="25" spans="2:30" x14ac:dyDescent="0.25">
      <c r="B25" s="18">
        <f>'Discount Details'!B25</f>
        <v>10197</v>
      </c>
      <c r="C25" s="3" t="str">
        <f>'Discount Details'!C25</f>
        <v>Harney Electric Coop.</v>
      </c>
      <c r="D25" s="93">
        <f>'Discount Details'!R25</f>
        <v>199862.08591613767</v>
      </c>
      <c r="E25" s="91">
        <f>IFERROR(VLOOKUP(B25,'FY 2028 RHWM Values'!B:H,7,FALSE), 0)</f>
        <v>26.794</v>
      </c>
      <c r="F25" s="92">
        <f>IFERROR(VLOOKUP(B25,'POC CHWM Calculation'!A$4:R$136,17,FALSE), 0)</f>
        <v>23.890335853973383</v>
      </c>
      <c r="G25" s="94">
        <f t="shared" si="11"/>
        <v>209279.34208080685</v>
      </c>
      <c r="H25" s="15">
        <f>'Discount Details'!S25</f>
        <v>34.578977881833829</v>
      </c>
      <c r="I25" s="19">
        <f t="shared" si="16"/>
        <v>6911026.6483112974</v>
      </c>
      <c r="J25" s="19">
        <f t="shared" si="12"/>
        <v>7236665.7409369554</v>
      </c>
      <c r="K25" s="215">
        <f t="shared" si="8"/>
        <v>7236665.7409369554</v>
      </c>
      <c r="L25" s="215"/>
      <c r="M25" s="216">
        <f>'Discount Details'!N25</f>
        <v>8.6860000000000007E-2</v>
      </c>
      <c r="N25" s="216">
        <f>IF($N$3=0,'LDD Alt 1'!P26,MIN('Scenario Summary'!$N$3,'LDD Alt 1'!P26))</f>
        <v>0.09</v>
      </c>
      <c r="O25" s="216">
        <f>IF($O$3=0, 'LDD Alt 2'!P26, MIN('LDD Alt 2'!P26, 'Scenario Summary'!$O$3))</f>
        <v>0.08</v>
      </c>
      <c r="P25" s="219"/>
      <c r="Q25" s="219" t="str">
        <f t="shared" si="9"/>
        <v>Harney Electric Coop.</v>
      </c>
      <c r="R25" s="180">
        <f t="shared" si="2"/>
        <v>600291.7746723193</v>
      </c>
      <c r="S25" s="98">
        <f t="shared" si="3"/>
        <v>651299.91668432602</v>
      </c>
      <c r="T25" s="98">
        <f t="shared" si="4"/>
        <v>651299.91668432602</v>
      </c>
      <c r="U25" s="97">
        <f t="shared" si="13"/>
        <v>51008.14201200672</v>
      </c>
      <c r="V25" s="99">
        <f t="shared" si="14"/>
        <v>8.4972248769942693E-2</v>
      </c>
      <c r="W25" s="180">
        <f t="shared" si="5"/>
        <v>600291.7746723193</v>
      </c>
      <c r="X25" s="98">
        <f t="shared" si="6"/>
        <v>578933.25927495642</v>
      </c>
      <c r="Y25" s="98">
        <f t="shared" si="7"/>
        <v>578933.25927495642</v>
      </c>
      <c r="Z25" s="97">
        <f t="shared" si="10"/>
        <v>-21358.515397362877</v>
      </c>
      <c r="AA25" s="99">
        <f t="shared" si="15"/>
        <v>-3.5580223315606507E-2</v>
      </c>
    </row>
    <row r="26" spans="2:30" x14ac:dyDescent="0.25">
      <c r="B26" s="18">
        <f>'Discount Details'!B26</f>
        <v>10203</v>
      </c>
      <c r="C26" s="3" t="str">
        <f>'Discount Details'!C26</f>
        <v>Idaho County L&amp;P Coop.</v>
      </c>
      <c r="D26" s="93">
        <f>'Discount Details'!R26</f>
        <v>54574.991999999998</v>
      </c>
      <c r="E26" s="91">
        <f>IFERROR(VLOOKUP(B26,'FY 2028 RHWM Values'!B:H,7,FALSE), 0)</f>
        <v>8.5860000000000003</v>
      </c>
      <c r="F26" s="92">
        <f>IFERROR(VLOOKUP(B26,'POC CHWM Calculation'!A$4:R$136,17,FALSE), 0)</f>
        <v>6.8603666833606454</v>
      </c>
      <c r="G26" s="94">
        <f t="shared" si="11"/>
        <v>60096.812146239252</v>
      </c>
      <c r="H26" s="15">
        <f>'Discount Details'!S26</f>
        <v>36.919789457576478</v>
      </c>
      <c r="I26" s="19">
        <f t="shared" si="16"/>
        <v>2014897.2142889206</v>
      </c>
      <c r="J26" s="19">
        <f t="shared" si="12"/>
        <v>2218761.6515106778</v>
      </c>
      <c r="K26" s="215">
        <f t="shared" si="8"/>
        <v>2218761.6515106778</v>
      </c>
      <c r="L26" s="215"/>
      <c r="M26" s="216">
        <f>'Discount Details'!N26</f>
        <v>7.5810000000000002E-2</v>
      </c>
      <c r="N26" s="216">
        <f>IF($N$3=0,'LDD Alt 1'!P27,MIN('Scenario Summary'!$N$3,'LDD Alt 1'!P27))</f>
        <v>0.09</v>
      </c>
      <c r="O26" s="216">
        <f>IF($O$3=0, 'LDD Alt 2'!P27, MIN('LDD Alt 2'!P27, 'Scenario Summary'!$O$3))</f>
        <v>0.08</v>
      </c>
      <c r="P26" s="219"/>
      <c r="Q26" s="219" t="str">
        <f t="shared" si="9"/>
        <v>Idaho County L&amp;P Coop.</v>
      </c>
      <c r="R26" s="180">
        <f t="shared" si="2"/>
        <v>152749.35781524307</v>
      </c>
      <c r="S26" s="98">
        <f t="shared" si="3"/>
        <v>199688.54863596099</v>
      </c>
      <c r="T26" s="98">
        <f t="shared" si="4"/>
        <v>199688.54863596099</v>
      </c>
      <c r="U26" s="97">
        <f t="shared" si="13"/>
        <v>46939.190820717922</v>
      </c>
      <c r="V26" s="99">
        <f t="shared" si="14"/>
        <v>0.30729550351035129</v>
      </c>
      <c r="W26" s="180">
        <f t="shared" si="5"/>
        <v>152749.35781524307</v>
      </c>
      <c r="X26" s="98">
        <f t="shared" si="6"/>
        <v>177500.93212085424</v>
      </c>
      <c r="Y26" s="98">
        <f t="shared" si="7"/>
        <v>177500.93212085424</v>
      </c>
      <c r="Z26" s="97">
        <f t="shared" si="10"/>
        <v>24751.574305611168</v>
      </c>
      <c r="AA26" s="99">
        <f t="shared" si="15"/>
        <v>0.16204044756475677</v>
      </c>
    </row>
    <row r="27" spans="2:30" x14ac:dyDescent="0.25">
      <c r="B27" s="18">
        <f>'Discount Details'!B27</f>
        <v>10209</v>
      </c>
      <c r="C27" s="3" t="str">
        <f>'Discount Details'!C27</f>
        <v>Inland Power &amp; Light</v>
      </c>
      <c r="D27" s="93">
        <f>'Discount Details'!R27</f>
        <v>921349.75322331162</v>
      </c>
      <c r="E27" s="91">
        <f>IFERROR(VLOOKUP(B27,'FY 2028 RHWM Values'!B:H,7,FALSE), 0)</f>
        <v>146.12299999999999</v>
      </c>
      <c r="F27" s="92">
        <f>IFERROR(VLOOKUP(B27,'POC CHWM Calculation'!A$4:R$136,17,FALSE), 0)</f>
        <v>115.40300643786922</v>
      </c>
      <c r="G27" s="94">
        <f t="shared" si="11"/>
        <v>1010930.3363957343</v>
      </c>
      <c r="H27" s="15">
        <f>'Discount Details'!S27</f>
        <v>37.398627754813269</v>
      </c>
      <c r="I27" s="19">
        <f t="shared" si="16"/>
        <v>34457216.452787697</v>
      </c>
      <c r="J27" s="19">
        <f t="shared" si="12"/>
        <v>37807407.336912222</v>
      </c>
      <c r="K27" s="215">
        <f t="shared" si="8"/>
        <v>37807407.33691223</v>
      </c>
      <c r="L27" s="215"/>
      <c r="M27" s="216">
        <f>'Discount Details'!N27</f>
        <v>8.5349999999999995E-2</v>
      </c>
      <c r="N27" s="216">
        <f>IF($N$3=0,'LDD Alt 1'!P28,MIN('Scenario Summary'!$N$3,'LDD Alt 1'!P28))</f>
        <v>8.5000000000000006E-2</v>
      </c>
      <c r="O27" s="216">
        <f>IF($O$3=0, 'LDD Alt 2'!P28, MIN('LDD Alt 2'!P28, 'Scenario Summary'!$O$3))</f>
        <v>0.08</v>
      </c>
      <c r="P27" s="219"/>
      <c r="Q27" s="219" t="str">
        <f t="shared" si="9"/>
        <v>Inland Power &amp; Light</v>
      </c>
      <c r="R27" s="180">
        <f t="shared" si="2"/>
        <v>2940923.4242454297</v>
      </c>
      <c r="S27" s="98">
        <f t="shared" si="3"/>
        <v>3213629.6236375393</v>
      </c>
      <c r="T27" s="98">
        <f t="shared" si="4"/>
        <v>3213629.6236375398</v>
      </c>
      <c r="U27" s="97">
        <f t="shared" si="13"/>
        <v>272706.19939211011</v>
      </c>
      <c r="V27" s="99">
        <f t="shared" si="14"/>
        <v>9.2728085724326448E-2</v>
      </c>
      <c r="W27" s="180">
        <f t="shared" si="5"/>
        <v>2940923.4242454297</v>
      </c>
      <c r="X27" s="98">
        <f t="shared" si="6"/>
        <v>3024592.5869529778</v>
      </c>
      <c r="Y27" s="98">
        <f t="shared" si="7"/>
        <v>3024592.5869529783</v>
      </c>
      <c r="Z27" s="97">
        <f t="shared" si="10"/>
        <v>83669.162707548589</v>
      </c>
      <c r="AA27" s="99">
        <f t="shared" si="15"/>
        <v>2.8449963034660186E-2</v>
      </c>
    </row>
    <row r="28" spans="2:30" x14ac:dyDescent="0.25">
      <c r="B28" s="18">
        <f>'Discount Details'!B28</f>
        <v>10230</v>
      </c>
      <c r="C28" s="3" t="str">
        <f>'Discount Details'!C28</f>
        <v>Kittitas County PUD</v>
      </c>
      <c r="D28" s="93">
        <f>'Discount Details'!R28</f>
        <v>85218.409390651839</v>
      </c>
      <c r="E28" s="91">
        <f>IFERROR(VLOOKUP(B28,'FY 2028 RHWM Values'!B:H,7,FALSE), 0)</f>
        <v>14.291</v>
      </c>
      <c r="F28" s="92">
        <f>IFERROR(VLOOKUP(B28,'POC CHWM Calculation'!A$4:R$136,17,FALSE), 0)</f>
        <v>10.818840014911954</v>
      </c>
      <c r="G28" s="94">
        <f t="shared" si="11"/>
        <v>94773.038530628721</v>
      </c>
      <c r="H28" s="15">
        <f>'Discount Details'!S28</f>
        <v>39.041591655791201</v>
      </c>
      <c r="I28" s="19">
        <f t="shared" si="16"/>
        <v>3327062.3409858714</v>
      </c>
      <c r="J28" s="19">
        <f t="shared" si="12"/>
        <v>3700090.2702913722</v>
      </c>
      <c r="K28" s="215">
        <f t="shared" si="8"/>
        <v>3700090.2702913722</v>
      </c>
      <c r="L28" s="215"/>
      <c r="M28" s="216">
        <f>'Discount Details'!N28</f>
        <v>8.9020000000000002E-2</v>
      </c>
      <c r="N28" s="216">
        <f>IF($N$3=0,'LDD Alt 1'!P29,MIN('Scenario Summary'!$N$3,'LDD Alt 1'!P29))</f>
        <v>0.09</v>
      </c>
      <c r="O28" s="216">
        <f>IF($O$3=0, 'LDD Alt 2'!P29, MIN('LDD Alt 2'!P29, 'Scenario Summary'!$O$3))</f>
        <v>0.08</v>
      </c>
      <c r="P28" s="219"/>
      <c r="Q28" s="219" t="str">
        <f t="shared" si="9"/>
        <v>Kittitas County PUD</v>
      </c>
      <c r="R28" s="180">
        <f t="shared" si="2"/>
        <v>296175.08959456231</v>
      </c>
      <c r="S28" s="98">
        <f t="shared" si="3"/>
        <v>333008.12432622351</v>
      </c>
      <c r="T28" s="98">
        <f t="shared" si="4"/>
        <v>333008.12432622351</v>
      </c>
      <c r="U28" s="97">
        <f t="shared" si="13"/>
        <v>36833.034731661202</v>
      </c>
      <c r="V28" s="99">
        <f t="shared" si="14"/>
        <v>0.12436236545781876</v>
      </c>
      <c r="W28" s="180">
        <f t="shared" si="5"/>
        <v>296175.08959456231</v>
      </c>
      <c r="X28" s="98">
        <f t="shared" si="6"/>
        <v>296007.22162330977</v>
      </c>
      <c r="Y28" s="98">
        <f t="shared" si="7"/>
        <v>296007.22162330977</v>
      </c>
      <c r="Z28" s="97">
        <f t="shared" si="10"/>
        <v>-167.86797125253361</v>
      </c>
      <c r="AA28" s="99">
        <f t="shared" si="15"/>
        <v>-5.6678625971662289E-4</v>
      </c>
    </row>
    <row r="29" spans="2:30" x14ac:dyDescent="0.25">
      <c r="B29" s="18">
        <f>'Discount Details'!B29</f>
        <v>10231</v>
      </c>
      <c r="C29" s="3" t="str">
        <f>'Discount Details'!C29</f>
        <v>Klickitat</v>
      </c>
      <c r="D29" s="93">
        <f>'Discount Details'!R29</f>
        <v>322012.65600000002</v>
      </c>
      <c r="E29" s="91">
        <f>IFERROR(VLOOKUP(B29,'FY 2028 RHWM Values'!B:H,7,FALSE), 0)</f>
        <v>52.036999999999999</v>
      </c>
      <c r="F29" s="92">
        <f>IFERROR(VLOOKUP(B29,'POC CHWM Calculation'!A$4:R$136,17,FALSE), 0)</f>
        <v>42.658186220392409</v>
      </c>
      <c r="G29" s="94">
        <f t="shared" si="11"/>
        <v>373685.7112906375</v>
      </c>
      <c r="H29" s="15">
        <f>'Discount Details'!S29</f>
        <v>36.496538940723809</v>
      </c>
      <c r="I29" s="19">
        <f t="shared" si="16"/>
        <v>11752347.439109901</v>
      </c>
      <c r="J29" s="19">
        <f t="shared" si="12"/>
        <v>13638235.113710826</v>
      </c>
      <c r="K29" s="215">
        <f t="shared" si="8"/>
        <v>13638235.113710826</v>
      </c>
      <c r="L29" s="215"/>
      <c r="M29" s="216">
        <f>'Discount Details'!N29</f>
        <v>0.10861</v>
      </c>
      <c r="N29" s="216">
        <f>IF($N$3=0,'LDD Alt 1'!P30,MIN('Scenario Summary'!$N$3,'LDD Alt 1'!P30))</f>
        <v>8.4999999999999992E-2</v>
      </c>
      <c r="O29" s="216">
        <f>IF($O$3=0, 'LDD Alt 2'!P30, MIN('LDD Alt 2'!P30, 'Scenario Summary'!$O$3))</f>
        <v>0.08</v>
      </c>
      <c r="P29" s="219"/>
      <c r="Q29" s="219" t="str">
        <f t="shared" si="9"/>
        <v>Klickitat</v>
      </c>
      <c r="R29" s="180">
        <f t="shared" si="2"/>
        <v>1276422.4553617262</v>
      </c>
      <c r="S29" s="98">
        <f t="shared" si="3"/>
        <v>1159249.9846654201</v>
      </c>
      <c r="T29" s="98">
        <f t="shared" si="4"/>
        <v>1159249.9846654201</v>
      </c>
      <c r="U29" s="97">
        <f t="shared" si="13"/>
        <v>-117172.47069630609</v>
      </c>
      <c r="V29" s="99">
        <f t="shared" si="14"/>
        <v>-9.1797562949564759E-2</v>
      </c>
      <c r="W29" s="180">
        <f t="shared" si="5"/>
        <v>1276422.4553617262</v>
      </c>
      <c r="X29" s="98">
        <f t="shared" si="6"/>
        <v>1091058.8090968661</v>
      </c>
      <c r="Y29" s="98">
        <f t="shared" si="7"/>
        <v>1091058.8090968661</v>
      </c>
      <c r="Z29" s="97">
        <f t="shared" si="10"/>
        <v>-185363.64626486017</v>
      </c>
      <c r="AA29" s="99">
        <f t="shared" si="15"/>
        <v>-0.14522123571723744</v>
      </c>
    </row>
    <row r="30" spans="2:30" x14ac:dyDescent="0.25">
      <c r="B30" s="18">
        <f>'Discount Details'!B30</f>
        <v>10236</v>
      </c>
      <c r="C30" s="3" t="str">
        <f>'Discount Details'!C30</f>
        <v>Lane Electric Coop</v>
      </c>
      <c r="D30" s="93">
        <f>'Discount Details'!R30</f>
        <v>246626.38750565599</v>
      </c>
      <c r="E30" s="91">
        <f>IFERROR(VLOOKUP(B30,'FY 2028 RHWM Values'!B:H,7,FALSE), 0)</f>
        <v>29.611999999999998</v>
      </c>
      <c r="F30" s="92">
        <f>IFERROR(VLOOKUP(B30,'POC CHWM Calculation'!A$4:R$136,17,FALSE), 0)</f>
        <v>30.164075012944505</v>
      </c>
      <c r="G30" s="94">
        <f t="shared" si="11"/>
        <v>259401.12</v>
      </c>
      <c r="H30" s="15">
        <f>'Discount Details'!S30</f>
        <v>36.648256367483022</v>
      </c>
      <c r="I30" s="19">
        <f t="shared" si="16"/>
        <v>9038427.0762934927</v>
      </c>
      <c r="J30" s="19">
        <f t="shared" si="12"/>
        <v>9506598.747772228</v>
      </c>
      <c r="K30" s="215">
        <f t="shared" si="8"/>
        <v>9683836.2064624391</v>
      </c>
      <c r="L30" s="215"/>
      <c r="M30" s="216">
        <f>'Discount Details'!N30</f>
        <v>6.5000000000000002E-2</v>
      </c>
      <c r="N30" s="216">
        <f>IF($N$3=0,'LDD Alt 1'!P31,MIN('Scenario Summary'!$N$3,'LDD Alt 1'!P31))</f>
        <v>7.4999999999999997E-2</v>
      </c>
      <c r="O30" s="216">
        <f>IF($O$3=0, 'LDD Alt 2'!P31, MIN('LDD Alt 2'!P31, 'Scenario Summary'!$O$3))</f>
        <v>0.08</v>
      </c>
      <c r="P30" s="219"/>
      <c r="Q30" s="219" t="str">
        <f t="shared" si="9"/>
        <v>Lane Electric Coop</v>
      </c>
      <c r="R30" s="180">
        <f t="shared" si="2"/>
        <v>587497.759959077</v>
      </c>
      <c r="S30" s="98">
        <f t="shared" si="3"/>
        <v>712994.90608291712</v>
      </c>
      <c r="T30" s="98">
        <f t="shared" si="4"/>
        <v>726287.71548468294</v>
      </c>
      <c r="U30" s="97">
        <f t="shared" si="13"/>
        <v>138789.95552560594</v>
      </c>
      <c r="V30" s="99">
        <f t="shared" si="14"/>
        <v>0.23623912291218541</v>
      </c>
      <c r="W30" s="180">
        <f t="shared" si="5"/>
        <v>587497.759959077</v>
      </c>
      <c r="X30" s="98">
        <f t="shared" si="6"/>
        <v>760527.89982177829</v>
      </c>
      <c r="Y30" s="98">
        <f t="shared" si="7"/>
        <v>774706.89651699516</v>
      </c>
      <c r="Z30" s="97">
        <f t="shared" si="10"/>
        <v>187209.13655791816</v>
      </c>
      <c r="AA30" s="99">
        <f t="shared" si="15"/>
        <v>0.3186550644396644</v>
      </c>
      <c r="AD30" s="260"/>
    </row>
    <row r="31" spans="2:30" x14ac:dyDescent="0.25">
      <c r="B31" s="18">
        <f>'Discount Details'!B31</f>
        <v>10237</v>
      </c>
      <c r="C31" s="3" t="str">
        <f>'Discount Details'!C31</f>
        <v>Lewis County PUD</v>
      </c>
      <c r="D31" s="93">
        <f>'Discount Details'!R31</f>
        <v>999021.89478996932</v>
      </c>
      <c r="E31" s="91">
        <f>IFERROR(VLOOKUP(B31,'FY 2028 RHWM Values'!B:H,7,FALSE), 0)</f>
        <v>118.377</v>
      </c>
      <c r="F31" s="92">
        <f>IFERROR(VLOOKUP(B31,'POC CHWM Calculation'!A$4:R$136,17,FALSE), 0)</f>
        <v>116.84251835865432</v>
      </c>
      <c r="G31" s="94">
        <f t="shared" si="11"/>
        <v>1023540.4608218118</v>
      </c>
      <c r="H31" s="15">
        <f>'Discount Details'!S31</f>
        <v>33.357714139272488</v>
      </c>
      <c r="I31" s="19">
        <f t="shared" si="16"/>
        <v>33325086.785278153</v>
      </c>
      <c r="J31" s="19">
        <f t="shared" si="12"/>
        <v>34142970.10207323</v>
      </c>
      <c r="K31" s="215">
        <f t="shared" si="8"/>
        <v>34142970.10207323</v>
      </c>
      <c r="L31" s="215"/>
      <c r="M31" s="216">
        <f>'Discount Details'!N31</f>
        <v>4.6080000000000003E-2</v>
      </c>
      <c r="N31" s="216">
        <f>IF($N$3=0,'LDD Alt 1'!P32,MIN('Scenario Summary'!$N$3,'LDD Alt 1'!P32))</f>
        <v>6.0000000000000005E-2</v>
      </c>
      <c r="O31" s="216">
        <f>IF($O$3=0, 'LDD Alt 2'!P32, MIN('LDD Alt 2'!P32, 'Scenario Summary'!$O$3))</f>
        <v>6.5000000000000002E-2</v>
      </c>
      <c r="P31" s="219"/>
      <c r="Q31" s="219" t="str">
        <f t="shared" si="9"/>
        <v>Lewis County PUD</v>
      </c>
      <c r="R31" s="180">
        <f t="shared" si="2"/>
        <v>1535619.9990656173</v>
      </c>
      <c r="S31" s="98">
        <f t="shared" si="3"/>
        <v>2048578.206124394</v>
      </c>
      <c r="T31" s="98">
        <f t="shared" si="4"/>
        <v>2048578.206124394</v>
      </c>
      <c r="U31" s="97">
        <f t="shared" si="13"/>
        <v>512958.20705877664</v>
      </c>
      <c r="V31" s="99">
        <f t="shared" si="14"/>
        <v>0.33403980631334429</v>
      </c>
      <c r="W31" s="180">
        <f t="shared" si="5"/>
        <v>1535619.9990656173</v>
      </c>
      <c r="X31" s="98">
        <f t="shared" si="6"/>
        <v>2219293.05663476</v>
      </c>
      <c r="Y31" s="98">
        <f t="shared" si="7"/>
        <v>2219293.05663476</v>
      </c>
      <c r="Z31" s="97">
        <f t="shared" si="10"/>
        <v>683673.05756914266</v>
      </c>
      <c r="AA31" s="99">
        <f t="shared" si="15"/>
        <v>0.44520979017278939</v>
      </c>
      <c r="AD31" s="260"/>
    </row>
    <row r="32" spans="2:30" x14ac:dyDescent="0.25">
      <c r="B32" s="18">
        <f>'Discount Details'!B32</f>
        <v>10239</v>
      </c>
      <c r="C32" s="3" t="str">
        <f>'Discount Details'!C32</f>
        <v>Lincoln Electric</v>
      </c>
      <c r="D32" s="93">
        <f>'Discount Details'!R32</f>
        <v>122993.62502829557</v>
      </c>
      <c r="E32" s="91">
        <f>IFERROR(VLOOKUP(B32,'FY 2028 RHWM Values'!B:H,7,FALSE), 0)</f>
        <v>16.109000000000002</v>
      </c>
      <c r="F32" s="92">
        <f>IFERROR(VLOOKUP(B32,'POC CHWM Calculation'!A$4:R$136,17,FALSE), 0)</f>
        <v>15.069674665613148</v>
      </c>
      <c r="G32" s="94">
        <f t="shared" si="11"/>
        <v>132010.35007077118</v>
      </c>
      <c r="H32" s="15">
        <f>'Discount Details'!S32</f>
        <v>36.648338870390269</v>
      </c>
      <c r="I32" s="19">
        <f t="shared" si="16"/>
        <v>4507512.0489346897</v>
      </c>
      <c r="J32" s="19">
        <f t="shared" si="12"/>
        <v>4837960.0437924704</v>
      </c>
      <c r="K32" s="215">
        <f t="shared" si="8"/>
        <v>4837960.0437924704</v>
      </c>
      <c r="L32" s="215"/>
      <c r="M32" s="216">
        <f>'Discount Details'!N32</f>
        <v>7.5450000000000003E-2</v>
      </c>
      <c r="N32" s="216">
        <f>IF($N$3=0,'LDD Alt 1'!P33,MIN('Scenario Summary'!$N$3,'LDD Alt 1'!P33))</f>
        <v>8.4999999999999992E-2</v>
      </c>
      <c r="O32" s="216">
        <f>IF($O$3=0, 'LDD Alt 2'!P33, MIN('LDD Alt 2'!P33, 'Scenario Summary'!$O$3))</f>
        <v>0.08</v>
      </c>
      <c r="P32" s="219"/>
      <c r="Q32" s="219" t="str">
        <f t="shared" si="9"/>
        <v>Lincoln Electric</v>
      </c>
      <c r="R32" s="180">
        <f t="shared" si="2"/>
        <v>340091.78409212234</v>
      </c>
      <c r="S32" s="98">
        <f t="shared" si="3"/>
        <v>411226.60372235993</v>
      </c>
      <c r="T32" s="98">
        <f t="shared" si="4"/>
        <v>411226.60372235993</v>
      </c>
      <c r="U32" s="97">
        <f t="shared" si="13"/>
        <v>71134.819630237587</v>
      </c>
      <c r="V32" s="99">
        <f t="shared" si="14"/>
        <v>0.2091635933521081</v>
      </c>
      <c r="W32" s="180">
        <f t="shared" si="5"/>
        <v>340091.78409212234</v>
      </c>
      <c r="X32" s="98">
        <f t="shared" si="6"/>
        <v>387036.80350339762</v>
      </c>
      <c r="Y32" s="98">
        <f t="shared" si="7"/>
        <v>387036.80350339762</v>
      </c>
      <c r="Z32" s="97">
        <f t="shared" si="10"/>
        <v>46945.01941127528</v>
      </c>
      <c r="AA32" s="99">
        <f t="shared" si="15"/>
        <v>0.13803632315492531</v>
      </c>
    </row>
    <row r="33" spans="2:27" x14ac:dyDescent="0.25">
      <c r="B33" s="18">
        <f>'Discount Details'!B33</f>
        <v>10242</v>
      </c>
      <c r="C33" s="3" t="str">
        <f>'Discount Details'!C33</f>
        <v>Lost River Electric</v>
      </c>
      <c r="D33" s="93">
        <f>'Discount Details'!R33</f>
        <v>83676.384000000005</v>
      </c>
      <c r="E33" s="91">
        <f>IFERROR(VLOOKUP(B33,'FY 2028 RHWM Values'!B:H,7,FALSE), 0)</f>
        <v>10.638</v>
      </c>
      <c r="F33" s="92">
        <f>IFERROR(VLOOKUP(B33,'POC CHWM Calculation'!A$4:R$136,17,FALSE), 0)</f>
        <v>9.7652670122787448</v>
      </c>
      <c r="G33" s="94">
        <f t="shared" si="11"/>
        <v>85543.739027561809</v>
      </c>
      <c r="H33" s="15">
        <f>'Discount Details'!S33</f>
        <v>36.343921460795642</v>
      </c>
      <c r="I33" s="19">
        <f t="shared" si="16"/>
        <v>3041127.9282193771</v>
      </c>
      <c r="J33" s="19">
        <f t="shared" si="12"/>
        <v>3108994.9326805053</v>
      </c>
      <c r="K33" s="215">
        <f t="shared" si="8"/>
        <v>3108994.9326805049</v>
      </c>
      <c r="L33" s="215"/>
      <c r="M33" s="216">
        <f>'Discount Details'!N33</f>
        <v>8.3059999999999995E-2</v>
      </c>
      <c r="N33" s="216">
        <f>IF($N$3=0,'LDD Alt 1'!P34,MIN('Scenario Summary'!$N$3,'LDD Alt 1'!P34))</f>
        <v>0.09</v>
      </c>
      <c r="O33" s="216">
        <f>IF($O$3=0, 'LDD Alt 2'!P34, MIN('LDD Alt 2'!P34, 'Scenario Summary'!$O$3))</f>
        <v>0.08</v>
      </c>
      <c r="P33" s="219"/>
      <c r="Q33" s="219" t="str">
        <f t="shared" si="9"/>
        <v>Lost River Electric</v>
      </c>
      <c r="R33" s="180">
        <f t="shared" si="2"/>
        <v>252596.08571790144</v>
      </c>
      <c r="S33" s="98">
        <f t="shared" si="3"/>
        <v>279809.54394124547</v>
      </c>
      <c r="T33" s="98">
        <f t="shared" si="4"/>
        <v>279809.54394124541</v>
      </c>
      <c r="U33" s="97">
        <f t="shared" si="13"/>
        <v>27213.458223343972</v>
      </c>
      <c r="V33" s="99">
        <f t="shared" si="14"/>
        <v>0.10773507493594292</v>
      </c>
      <c r="W33" s="180">
        <f t="shared" si="5"/>
        <v>252596.08571790144</v>
      </c>
      <c r="X33" s="98">
        <f t="shared" si="6"/>
        <v>248719.59461444043</v>
      </c>
      <c r="Y33" s="98">
        <f t="shared" si="7"/>
        <v>248719.5946144404</v>
      </c>
      <c r="Z33" s="97">
        <f t="shared" si="10"/>
        <v>-3876.4911034610413</v>
      </c>
      <c r="AA33" s="99">
        <f t="shared" si="15"/>
        <v>-1.5346600056939552E-2</v>
      </c>
    </row>
    <row r="34" spans="2:27" x14ac:dyDescent="0.25">
      <c r="B34" s="18">
        <f>'Discount Details'!B34</f>
        <v>10244</v>
      </c>
      <c r="C34" s="3" t="str">
        <f>'Discount Details'!C34</f>
        <v>Lower Valley Energy</v>
      </c>
      <c r="D34" s="93">
        <f>'Discount Details'!R34</f>
        <v>755757.79200000002</v>
      </c>
      <c r="E34" s="91">
        <f>IFERROR(VLOOKUP(B34,'FY 2028 RHWM Values'!B:H,7,FALSE), 0)</f>
        <v>115.50700000000001</v>
      </c>
      <c r="F34" s="92">
        <f>IFERROR(VLOOKUP(B34,'POC CHWM Calculation'!A$4:R$136,17,FALSE), 0)</f>
        <v>94.992786574286001</v>
      </c>
      <c r="G34" s="94">
        <f t="shared" si="11"/>
        <v>832136.81039074541</v>
      </c>
      <c r="H34" s="15">
        <f>'Discount Details'!S34</f>
        <v>37.449993389278241</v>
      </c>
      <c r="I34" s="19">
        <f t="shared" si="16"/>
        <v>28303124.314295519</v>
      </c>
      <c r="J34" s="19">
        <f t="shared" si="12"/>
        <v>31163518.048108496</v>
      </c>
      <c r="K34" s="215">
        <f t="shared" si="8"/>
        <v>31163518.048108492</v>
      </c>
      <c r="L34" s="215"/>
      <c r="M34" s="216">
        <f>'Discount Details'!N34</f>
        <v>6.3899999999999998E-2</v>
      </c>
      <c r="N34" s="216">
        <f>IF($N$3=0,'LDD Alt 1'!P35,MIN('Scenario Summary'!$N$3,'LDD Alt 1'!P35))</f>
        <v>6.5000000000000002E-2</v>
      </c>
      <c r="O34" s="216">
        <f>IF($O$3=0, 'LDD Alt 2'!P35, MIN('LDD Alt 2'!P35, 'Scenario Summary'!$O$3))</f>
        <v>0.08</v>
      </c>
      <c r="P34" s="219"/>
      <c r="Q34" s="219" t="str">
        <f t="shared" si="9"/>
        <v>Lower Valley Energy</v>
      </c>
      <c r="R34" s="180">
        <f t="shared" si="2"/>
        <v>1808569.6436834836</v>
      </c>
      <c r="S34" s="98">
        <f t="shared" si="3"/>
        <v>2025628.6731270524</v>
      </c>
      <c r="T34" s="98">
        <f t="shared" si="4"/>
        <v>2025628.6731270521</v>
      </c>
      <c r="U34" s="97">
        <f t="shared" si="13"/>
        <v>217059.02944356855</v>
      </c>
      <c r="V34" s="99">
        <f t="shared" si="14"/>
        <v>0.12001695936988521</v>
      </c>
      <c r="W34" s="180">
        <f t="shared" si="5"/>
        <v>1808569.6436834836</v>
      </c>
      <c r="X34" s="98">
        <f t="shared" si="6"/>
        <v>2493081.4438486798</v>
      </c>
      <c r="Y34" s="98">
        <f t="shared" si="7"/>
        <v>2493081.4438486793</v>
      </c>
      <c r="Z34" s="97">
        <f t="shared" si="10"/>
        <v>684511.80016519572</v>
      </c>
      <c r="AA34" s="99">
        <f t="shared" si="15"/>
        <v>0.37848241153216633</v>
      </c>
    </row>
    <row r="35" spans="2:27" x14ac:dyDescent="0.25">
      <c r="B35" s="18">
        <f>'Discount Details'!B35</f>
        <v>10256</v>
      </c>
      <c r="C35" s="3" t="str">
        <f>'Discount Details'!C35</f>
        <v>Midstate Electric Coop.</v>
      </c>
      <c r="D35" s="93">
        <f>'Discount Details'!R35</f>
        <v>410616.864</v>
      </c>
      <c r="E35" s="91">
        <f>IFERROR(VLOOKUP(B35,'FY 2028 RHWM Values'!B:H,7,FALSE), 0)</f>
        <v>68.018000000000001</v>
      </c>
      <c r="F35" s="92">
        <f>IFERROR(VLOOKUP(B35,'POC CHWM Calculation'!A$4:R$136,17,FALSE), 0)</f>
        <v>50.07395840502712</v>
      </c>
      <c r="G35" s="94">
        <f t="shared" si="11"/>
        <v>438647.87562803755</v>
      </c>
      <c r="H35" s="15">
        <f>'Discount Details'!S35</f>
        <v>36.401467978419092</v>
      </c>
      <c r="I35" s="19">
        <f t="shared" si="16"/>
        <v>14947056.626294868</v>
      </c>
      <c r="J35" s="19">
        <f t="shared" si="12"/>
        <v>15967426.59847557</v>
      </c>
      <c r="K35" s="215">
        <f t="shared" si="8"/>
        <v>15967426.59847557</v>
      </c>
      <c r="L35" s="215"/>
      <c r="M35" s="216">
        <f>'Discount Details'!N35</f>
        <v>8.0089999999999995E-2</v>
      </c>
      <c r="N35" s="216">
        <f>IF($N$3=0,'LDD Alt 1'!P36,MIN('Scenario Summary'!$N$3,'LDD Alt 1'!P36))</f>
        <v>7.5000000000000011E-2</v>
      </c>
      <c r="O35" s="216">
        <f>IF($O$3=0, 'LDD Alt 2'!P36, MIN('LDD Alt 2'!P36, 'Scenario Summary'!$O$3))</f>
        <v>0.08</v>
      </c>
      <c r="P35" s="219"/>
      <c r="Q35" s="219" t="str">
        <f t="shared" si="9"/>
        <v>Midstate Electric Coop.</v>
      </c>
      <c r="R35" s="180">
        <f t="shared" si="2"/>
        <v>1197109.7651999558</v>
      </c>
      <c r="S35" s="98">
        <f t="shared" si="3"/>
        <v>1197556.9948856679</v>
      </c>
      <c r="T35" s="98">
        <f t="shared" si="4"/>
        <v>1197556.9948856679</v>
      </c>
      <c r="U35" s="97">
        <f t="shared" si="13"/>
        <v>447.22968571214005</v>
      </c>
      <c r="V35" s="99">
        <f t="shared" si="14"/>
        <v>3.7359121002356055E-4</v>
      </c>
      <c r="W35" s="180">
        <f t="shared" si="5"/>
        <v>1197109.7651999558</v>
      </c>
      <c r="X35" s="98">
        <f t="shared" si="6"/>
        <v>1277394.1278780457</v>
      </c>
      <c r="Y35" s="98">
        <f t="shared" si="7"/>
        <v>1277394.1278780457</v>
      </c>
      <c r="Z35" s="97">
        <f t="shared" si="10"/>
        <v>80284.362678089878</v>
      </c>
      <c r="AA35" s="99">
        <f t="shared" si="15"/>
        <v>6.7065163957358509E-2</v>
      </c>
    </row>
    <row r="36" spans="2:27" x14ac:dyDescent="0.25">
      <c r="B36" s="18">
        <f>'Discount Details'!B36</f>
        <v>10258</v>
      </c>
      <c r="C36" s="3" t="str">
        <f>'Discount Details'!C36</f>
        <v>Mission Valley Power</v>
      </c>
      <c r="D36" s="93">
        <f>'Discount Details'!R36</f>
        <v>333369.80452810961</v>
      </c>
      <c r="E36" s="91">
        <f>IFERROR(VLOOKUP(B36,'FY 2028 RHWM Values'!B:H,7,FALSE), 0)</f>
        <v>55.35</v>
      </c>
      <c r="F36" s="92">
        <f>IFERROR(VLOOKUP(B36,'POC CHWM Calculation'!A$4:R$136,17,FALSE), 0)</f>
        <v>42.351333152033732</v>
      </c>
      <c r="G36" s="94">
        <f t="shared" si="11"/>
        <v>370997.67841181549</v>
      </c>
      <c r="H36" s="15">
        <f>'Discount Details'!S36</f>
        <v>38.038761207534797</v>
      </c>
      <c r="I36" s="19">
        <f t="shared" si="16"/>
        <v>12680974.388247315</v>
      </c>
      <c r="J36" s="19">
        <f t="shared" si="12"/>
        <v>14112292.097656837</v>
      </c>
      <c r="K36" s="215">
        <f t="shared" si="8"/>
        <v>14112292.097656837</v>
      </c>
      <c r="L36" s="215"/>
      <c r="M36" s="216">
        <f>'Discount Details'!N36</f>
        <v>5.4289999999999998E-2</v>
      </c>
      <c r="N36" s="216">
        <f>IF($N$3=0,'LDD Alt 1'!P37,MIN('Scenario Summary'!$N$3,'LDD Alt 1'!P37))</f>
        <v>5.5E-2</v>
      </c>
      <c r="O36" s="216">
        <f>IF($O$3=0, 'LDD Alt 2'!P37, MIN('LDD Alt 2'!P37, 'Scenario Summary'!$O$3))</f>
        <v>6.5000000000000002E-2</v>
      </c>
      <c r="P36" s="219"/>
      <c r="Q36" s="219" t="str">
        <f t="shared" si="9"/>
        <v>Mission Valley Power</v>
      </c>
      <c r="R36" s="180">
        <f t="shared" si="2"/>
        <v>688450.09953794675</v>
      </c>
      <c r="S36" s="98">
        <f t="shared" si="3"/>
        <v>776176.06537112605</v>
      </c>
      <c r="T36" s="98">
        <f t="shared" si="4"/>
        <v>776176.06537112605</v>
      </c>
      <c r="U36" s="97">
        <f t="shared" si="13"/>
        <v>87725.965833179303</v>
      </c>
      <c r="V36" s="99">
        <f t="shared" si="14"/>
        <v>0.1274253077921792</v>
      </c>
      <c r="W36" s="180">
        <f t="shared" si="5"/>
        <v>688450.09953794675</v>
      </c>
      <c r="X36" s="98">
        <f t="shared" si="6"/>
        <v>917298.98634769442</v>
      </c>
      <c r="Y36" s="98">
        <f t="shared" si="7"/>
        <v>917298.98634769442</v>
      </c>
      <c r="Z36" s="97">
        <f t="shared" si="10"/>
        <v>228848.88680974767</v>
      </c>
      <c r="AA36" s="99">
        <f t="shared" si="15"/>
        <v>0.33241172739075719</v>
      </c>
    </row>
    <row r="37" spans="2:27" x14ac:dyDescent="0.25">
      <c r="B37" s="18">
        <f>'Discount Details'!B37</f>
        <v>10259</v>
      </c>
      <c r="C37" s="3" t="str">
        <f>'Discount Details'!C37</f>
        <v>Missoula Electric Coop.</v>
      </c>
      <c r="D37" s="93">
        <f>'Discount Details'!R37</f>
        <v>237036.24</v>
      </c>
      <c r="E37" s="91">
        <f>IFERROR(VLOOKUP(B37,'FY 2028 RHWM Values'!B:H,7,FALSE), 0)</f>
        <v>35.22</v>
      </c>
      <c r="F37" s="92">
        <f>IFERROR(VLOOKUP(B37,'POC CHWM Calculation'!A$4:R$136,17,FALSE), 0)</f>
        <v>29.14193177280697</v>
      </c>
      <c r="G37" s="94">
        <f t="shared" si="11"/>
        <v>255283.32232978905</v>
      </c>
      <c r="H37" s="15">
        <f>'Discount Details'!S37</f>
        <v>37.057017641188651</v>
      </c>
      <c r="I37" s="19">
        <f t="shared" si="16"/>
        <v>8783856.1272810269</v>
      </c>
      <c r="J37" s="19">
        <f t="shared" si="12"/>
        <v>9460038.5790762417</v>
      </c>
      <c r="K37" s="215">
        <f t="shared" si="8"/>
        <v>9460038.5790762417</v>
      </c>
      <c r="L37" s="215"/>
      <c r="M37" s="216">
        <f>'Discount Details'!N37</f>
        <v>8.0619999999999997E-2</v>
      </c>
      <c r="N37" s="216">
        <f>IF($N$3=0,'LDD Alt 1'!P38,MIN('Scenario Summary'!$N$3,'LDD Alt 1'!P38))</f>
        <v>0.08</v>
      </c>
      <c r="O37" s="216">
        <f>IF($O$3=0, 'LDD Alt 2'!P38, MIN('LDD Alt 2'!P38, 'Scenario Summary'!$O$3))</f>
        <v>0.08</v>
      </c>
      <c r="P37" s="219"/>
      <c r="Q37" s="219" t="str">
        <f t="shared" si="9"/>
        <v>Missoula Electric Coop.</v>
      </c>
      <c r="R37" s="180">
        <f t="shared" si="2"/>
        <v>708154.48098139639</v>
      </c>
      <c r="S37" s="98">
        <f t="shared" si="3"/>
        <v>756803.08632609935</v>
      </c>
      <c r="T37" s="98">
        <f t="shared" si="4"/>
        <v>756803.08632609935</v>
      </c>
      <c r="U37" s="97">
        <f t="shared" si="13"/>
        <v>48648.605344702955</v>
      </c>
      <c r="V37" s="99">
        <f t="shared" si="14"/>
        <v>6.8697730016878955E-2</v>
      </c>
      <c r="W37" s="180">
        <f t="shared" si="5"/>
        <v>708154.48098139639</v>
      </c>
      <c r="X37" s="98">
        <f t="shared" si="6"/>
        <v>756803.08632609935</v>
      </c>
      <c r="Y37" s="98">
        <f t="shared" si="7"/>
        <v>756803.08632609935</v>
      </c>
      <c r="Z37" s="97">
        <f t="shared" si="10"/>
        <v>48648.605344702955</v>
      </c>
      <c r="AA37" s="99">
        <f t="shared" si="15"/>
        <v>6.8697730016878955E-2</v>
      </c>
    </row>
    <row r="38" spans="2:27" x14ac:dyDescent="0.25">
      <c r="B38" s="18">
        <f>'Discount Details'!B38</f>
        <v>10273</v>
      </c>
      <c r="C38" s="3" t="str">
        <f>'Discount Details'!C38</f>
        <v>Nespelem Valley Electric</v>
      </c>
      <c r="D38" s="93">
        <f>'Discount Details'!R38</f>
        <v>51658.704000000005</v>
      </c>
      <c r="E38" s="91">
        <f>IFERROR(VLOOKUP(B38,'FY 2028 RHWM Values'!B:H,7,FALSE), 0)</f>
        <v>8.2509999999999994</v>
      </c>
      <c r="F38" s="92">
        <f>IFERROR(VLOOKUP(B38,'POC CHWM Calculation'!A$4:R$136,17,FALSE), 0)</f>
        <v>6.5288193263382119</v>
      </c>
      <c r="G38" s="94">
        <f t="shared" si="11"/>
        <v>57192.457298722737</v>
      </c>
      <c r="H38" s="15">
        <f>'Discount Details'!S38</f>
        <v>39.338000472448286</v>
      </c>
      <c r="I38" s="19">
        <f t="shared" si="16"/>
        <v>2032150.1223580663</v>
      </c>
      <c r="J38" s="19">
        <f t="shared" si="12"/>
        <v>2249836.9122376335</v>
      </c>
      <c r="K38" s="215">
        <f t="shared" si="8"/>
        <v>2249836.9122376335</v>
      </c>
      <c r="L38" s="215"/>
      <c r="M38" s="216">
        <f>'Discount Details'!N38</f>
        <v>9.6229999999999996E-2</v>
      </c>
      <c r="N38" s="216">
        <f>IF($N$3=0,'LDD Alt 1'!P39,MIN('Scenario Summary'!$N$3,'LDD Alt 1'!P39))</f>
        <v>0.09</v>
      </c>
      <c r="O38" s="216">
        <f>IF($O$3=0, 'LDD Alt 2'!P39, MIN('LDD Alt 2'!P39, 'Scenario Summary'!$O$3))</f>
        <v>0.08</v>
      </c>
      <c r="P38" s="219"/>
      <c r="Q38" s="219" t="str">
        <f t="shared" si="9"/>
        <v>Nespelem Valley Electric</v>
      </c>
      <c r="R38" s="180">
        <f t="shared" ref="R38:R58" si="17">M38*I38</f>
        <v>195553.80627451671</v>
      </c>
      <c r="S38" s="98">
        <f t="shared" ref="S38:S58" si="18">N38*J38</f>
        <v>202485.32210138702</v>
      </c>
      <c r="T38" s="98">
        <f t="shared" ref="T38:T58" si="19">N38*K38</f>
        <v>202485.32210138702</v>
      </c>
      <c r="U38" s="97">
        <f t="shared" si="13"/>
        <v>6931.515826870309</v>
      </c>
      <c r="V38" s="99">
        <f t="shared" si="14"/>
        <v>3.5445568454647747E-2</v>
      </c>
      <c r="W38" s="180">
        <f t="shared" ref="W38:W58" si="20">M38*I38</f>
        <v>195553.80627451671</v>
      </c>
      <c r="X38" s="98">
        <f t="shared" ref="X38:X58" si="21">O38*J38</f>
        <v>179986.95297901068</v>
      </c>
      <c r="Y38" s="98">
        <f t="shared" ref="Y38:Y58" si="22">O38*K38</f>
        <v>179986.95297901068</v>
      </c>
      <c r="Z38" s="97">
        <f t="shared" si="10"/>
        <v>-15566.853295506036</v>
      </c>
      <c r="AA38" s="99">
        <f t="shared" si="15"/>
        <v>-7.9603939151424274E-2</v>
      </c>
    </row>
    <row r="39" spans="2:27" x14ac:dyDescent="0.25">
      <c r="B39" s="18">
        <f>'Discount Details'!B39</f>
        <v>10278</v>
      </c>
      <c r="C39" s="3" t="str">
        <f>'Discount Details'!C39</f>
        <v>Northern Lights</v>
      </c>
      <c r="D39" s="93">
        <f>'Discount Details'!R39</f>
        <v>315628.41113285173</v>
      </c>
      <c r="E39" s="91">
        <f>IFERROR(VLOOKUP(B39,'FY 2028 RHWM Values'!B:H,7,FALSE), 0)</f>
        <v>46.774999999999999</v>
      </c>
      <c r="F39" s="92">
        <f>IFERROR(VLOOKUP(B39,'POC CHWM Calculation'!A$4:R$136,17,FALSE), 0)</f>
        <v>39.272021320111129</v>
      </c>
      <c r="G39" s="94">
        <f t="shared" si="11"/>
        <v>344022.90676417347</v>
      </c>
      <c r="H39" s="15">
        <f>'Discount Details'!S39</f>
        <v>36.648338870390255</v>
      </c>
      <c r="I39" s="19">
        <f t="shared" si="16"/>
        <v>11567256.968319606</v>
      </c>
      <c r="J39" s="19">
        <f t="shared" si="12"/>
        <v>12607868.066270102</v>
      </c>
      <c r="K39" s="215">
        <f t="shared" si="8"/>
        <v>12607868.066270104</v>
      </c>
      <c r="L39" s="215"/>
      <c r="M39" s="216">
        <f>'Discount Details'!N39</f>
        <v>7.152E-2</v>
      </c>
      <c r="N39" s="216">
        <f>IF($N$3=0,'LDD Alt 1'!P40,MIN('Scenario Summary'!$N$3,'LDD Alt 1'!P40))</f>
        <v>0.08</v>
      </c>
      <c r="O39" s="216">
        <f>IF($O$3=0, 'LDD Alt 2'!P40, MIN('LDD Alt 2'!P40, 'Scenario Summary'!$O$3))</f>
        <v>0.08</v>
      </c>
      <c r="P39" s="219"/>
      <c r="Q39" s="219" t="str">
        <f t="shared" si="9"/>
        <v>Northern Lights</v>
      </c>
      <c r="R39" s="180">
        <f t="shared" si="17"/>
        <v>827290.21837421821</v>
      </c>
      <c r="S39" s="98">
        <f t="shared" si="18"/>
        <v>1008629.4453016082</v>
      </c>
      <c r="T39" s="98">
        <f t="shared" si="19"/>
        <v>1008629.4453016083</v>
      </c>
      <c r="U39" s="97">
        <f t="shared" si="13"/>
        <v>181339.22692739009</v>
      </c>
      <c r="V39" s="99">
        <f t="shared" si="14"/>
        <v>0.21919662882483482</v>
      </c>
      <c r="W39" s="180">
        <f t="shared" si="20"/>
        <v>827290.21837421821</v>
      </c>
      <c r="X39" s="98">
        <f t="shared" si="21"/>
        <v>1008629.4453016082</v>
      </c>
      <c r="Y39" s="98">
        <f t="shared" si="22"/>
        <v>1008629.4453016083</v>
      </c>
      <c r="Z39" s="97">
        <f t="shared" si="10"/>
        <v>181339.22692739009</v>
      </c>
      <c r="AA39" s="99">
        <f t="shared" si="15"/>
        <v>0.21919662882483482</v>
      </c>
    </row>
    <row r="40" spans="2:27" x14ac:dyDescent="0.25">
      <c r="B40" s="18">
        <f>'Discount Details'!B40</f>
        <v>10284</v>
      </c>
      <c r="C40" s="3" t="str">
        <f>'Discount Details'!C40</f>
        <v>Ohop Mutual Light</v>
      </c>
      <c r="D40" s="93">
        <f>'Discount Details'!R40</f>
        <v>89227.871999999988</v>
      </c>
      <c r="E40" s="91">
        <f>IFERROR(VLOOKUP(B40,'FY 2028 RHWM Values'!B:H,7,FALSE), 0)</f>
        <v>12.31</v>
      </c>
      <c r="F40" s="92">
        <f>IFERROR(VLOOKUP(B40,'POC CHWM Calculation'!A$4:R$136,17,FALSE), 0)</f>
        <v>11.321648784732593</v>
      </c>
      <c r="G40" s="94">
        <f t="shared" si="11"/>
        <v>99177.643354257511</v>
      </c>
      <c r="H40" s="15">
        <f>'Discount Details'!S40</f>
        <v>37.034727883885147</v>
      </c>
      <c r="I40" s="19">
        <f t="shared" si="16"/>
        <v>3304529.9591781343</v>
      </c>
      <c r="J40" s="19">
        <f t="shared" si="12"/>
        <v>3673017.0337899369</v>
      </c>
      <c r="K40" s="215">
        <f t="shared" si="8"/>
        <v>3673017.0337899374</v>
      </c>
      <c r="L40" s="215"/>
      <c r="M40" s="216">
        <f>'Discount Details'!N40</f>
        <v>5.3400000000000003E-2</v>
      </c>
      <c r="N40" s="216">
        <f>IF($N$3=0,'LDD Alt 1'!P41,MIN('Scenario Summary'!$N$3,'LDD Alt 1'!P41))</f>
        <v>6.0000000000000005E-2</v>
      </c>
      <c r="O40" s="216">
        <f>IF($O$3=0, 'LDD Alt 2'!P41, MIN('LDD Alt 2'!P41, 'Scenario Summary'!$O$3))</f>
        <v>7.0000000000000007E-2</v>
      </c>
      <c r="P40" s="219"/>
      <c r="Q40" s="219" t="str">
        <f t="shared" si="9"/>
        <v>Ohop Mutual Light</v>
      </c>
      <c r="R40" s="180">
        <f t="shared" si="17"/>
        <v>176461.89982011239</v>
      </c>
      <c r="S40" s="98">
        <f t="shared" si="18"/>
        <v>220381.02202739622</v>
      </c>
      <c r="T40" s="98">
        <f t="shared" si="19"/>
        <v>220381.02202739625</v>
      </c>
      <c r="U40" s="97">
        <f t="shared" si="13"/>
        <v>43919.122207283857</v>
      </c>
      <c r="V40" s="99">
        <f t="shared" si="14"/>
        <v>0.24888727964538293</v>
      </c>
      <c r="W40" s="180">
        <f t="shared" si="20"/>
        <v>176461.89982011239</v>
      </c>
      <c r="X40" s="98">
        <f t="shared" si="21"/>
        <v>257111.1923652956</v>
      </c>
      <c r="Y40" s="98">
        <f t="shared" si="22"/>
        <v>257111.19236529563</v>
      </c>
      <c r="Z40" s="97">
        <f t="shared" si="10"/>
        <v>80649.292545183242</v>
      </c>
      <c r="AA40" s="99">
        <f t="shared" si="15"/>
        <v>0.45703515958628005</v>
      </c>
    </row>
    <row r="41" spans="2:27" x14ac:dyDescent="0.25">
      <c r="B41" s="18">
        <f>'Discount Details'!B41</f>
        <v>10285</v>
      </c>
      <c r="C41" s="3" t="str">
        <f>'Discount Details'!C41</f>
        <v>Okanogan County</v>
      </c>
      <c r="D41" s="93">
        <f>'Discount Details'!R41</f>
        <v>57354.82953113041</v>
      </c>
      <c r="E41" s="91">
        <f>IFERROR(VLOOKUP(B41,'FY 2028 RHWM Values'!B:H,7,FALSE), 0)</f>
        <v>8.2469999999999999</v>
      </c>
      <c r="F41" s="92">
        <f>IFERROR(VLOOKUP(B41,'POC CHWM Calculation'!A$4:R$136,17,FALSE), 0)</f>
        <v>7.2769045528666236</v>
      </c>
      <c r="G41" s="94">
        <f t="shared" si="11"/>
        <v>63745.683883111626</v>
      </c>
      <c r="H41" s="15">
        <f>'Discount Details'!S41</f>
        <v>36.648338870390269</v>
      </c>
      <c r="I41" s="19">
        <f t="shared" si="16"/>
        <v>2101959.2285103342</v>
      </c>
      <c r="J41" s="19">
        <f t="shared" si="12"/>
        <v>2336173.4244730505</v>
      </c>
      <c r="K41" s="215">
        <f t="shared" si="8"/>
        <v>2336173.4244730505</v>
      </c>
      <c r="L41" s="215"/>
      <c r="M41" s="216">
        <f>'Discount Details'!N41</f>
        <v>7.7479999999999993E-2</v>
      </c>
      <c r="N41" s="216">
        <f>IF($N$3=0,'LDD Alt 1'!P42,MIN('Scenario Summary'!$N$3,'LDD Alt 1'!P42))</f>
        <v>7.0000000000000007E-2</v>
      </c>
      <c r="O41" s="216">
        <f>IF($O$3=0, 'LDD Alt 2'!P42, MIN('LDD Alt 2'!P42, 'Scenario Summary'!$O$3))</f>
        <v>0.08</v>
      </c>
      <c r="P41" s="219"/>
      <c r="Q41" s="219" t="str">
        <f t="shared" si="9"/>
        <v>Okanogan County</v>
      </c>
      <c r="R41" s="180">
        <f t="shared" si="17"/>
        <v>162859.80102498067</v>
      </c>
      <c r="S41" s="98">
        <f t="shared" si="18"/>
        <v>163532.13971311355</v>
      </c>
      <c r="T41" s="98">
        <f t="shared" si="19"/>
        <v>163532.13971311355</v>
      </c>
      <c r="U41" s="97">
        <f t="shared" si="13"/>
        <v>672.338688132877</v>
      </c>
      <c r="V41" s="99">
        <f t="shared" si="14"/>
        <v>4.1283280705330938E-3</v>
      </c>
      <c r="W41" s="180">
        <f t="shared" si="20"/>
        <v>162859.80102498067</v>
      </c>
      <c r="X41" s="98">
        <f t="shared" si="21"/>
        <v>186893.87395784404</v>
      </c>
      <c r="Y41" s="98">
        <f t="shared" si="22"/>
        <v>186893.87395784404</v>
      </c>
      <c r="Z41" s="97">
        <f t="shared" si="10"/>
        <v>24034.072932863375</v>
      </c>
      <c r="AA41" s="99">
        <f t="shared" si="15"/>
        <v>0.14757523208060941</v>
      </c>
    </row>
    <row r="42" spans="2:27" x14ac:dyDescent="0.25">
      <c r="B42" s="18">
        <f>'Discount Details'!B42</f>
        <v>10288</v>
      </c>
      <c r="C42" s="3" t="str">
        <f>'Discount Details'!C42</f>
        <v>Orcas Power &amp; Light</v>
      </c>
      <c r="D42" s="93">
        <f>'Discount Details'!R42</f>
        <v>216220.81954043487</v>
      </c>
      <c r="E42" s="91">
        <f>IFERROR(VLOOKUP(B42,'FY 2028 RHWM Values'!B:H,7,FALSE), 0)</f>
        <v>26.012</v>
      </c>
      <c r="F42" s="92">
        <f>IFERROR(VLOOKUP(B42,'POC CHWM Calculation'!A$4:R$136,17,FALSE), 0)</f>
        <v>25.919070413358909</v>
      </c>
      <c r="G42" s="94">
        <f t="shared" si="11"/>
        <v>227051.05682102405</v>
      </c>
      <c r="H42" s="15">
        <f>'Discount Details'!S42</f>
        <v>36.648258121636374</v>
      </c>
      <c r="I42" s="19">
        <f t="shared" si="16"/>
        <v>7924116.4057896147</v>
      </c>
      <c r="J42" s="19">
        <f t="shared" si="12"/>
        <v>8321025.7371672159</v>
      </c>
      <c r="K42" s="215">
        <f t="shared" si="8"/>
        <v>8321025.7371672159</v>
      </c>
      <c r="L42" s="215"/>
      <c r="M42" s="216">
        <f>'Discount Details'!N42</f>
        <v>0.06</v>
      </c>
      <c r="N42" s="216">
        <f>IF($N$3=0,'LDD Alt 1'!P43,MIN('Scenario Summary'!$N$3,'LDD Alt 1'!P43))</f>
        <v>6.9999999999999993E-2</v>
      </c>
      <c r="O42" s="216">
        <f>IF($O$3=0, 'LDD Alt 2'!P43, MIN('LDD Alt 2'!P43, 'Scenario Summary'!$O$3))</f>
        <v>7.4999999999999997E-2</v>
      </c>
      <c r="P42" s="219"/>
      <c r="Q42" s="219" t="str">
        <f t="shared" si="9"/>
        <v>Orcas Power &amp; Light</v>
      </c>
      <c r="R42" s="180">
        <f t="shared" si="17"/>
        <v>475446.98434737686</v>
      </c>
      <c r="S42" s="98">
        <f t="shared" si="18"/>
        <v>582471.80160170502</v>
      </c>
      <c r="T42" s="98">
        <f t="shared" si="19"/>
        <v>582471.80160170502</v>
      </c>
      <c r="U42" s="97">
        <f t="shared" si="13"/>
        <v>107024.81725432817</v>
      </c>
      <c r="V42" s="99">
        <f t="shared" si="14"/>
        <v>0.22510357784945456</v>
      </c>
      <c r="W42" s="180">
        <f t="shared" si="20"/>
        <v>475446.98434737686</v>
      </c>
      <c r="X42" s="98">
        <f t="shared" si="21"/>
        <v>624076.93028754112</v>
      </c>
      <c r="Y42" s="98">
        <f t="shared" si="22"/>
        <v>624076.93028754112</v>
      </c>
      <c r="Z42" s="97">
        <f t="shared" si="10"/>
        <v>148629.94594016427</v>
      </c>
      <c r="AA42" s="99">
        <f t="shared" si="15"/>
        <v>0.31261097626727286</v>
      </c>
    </row>
    <row r="43" spans="2:27" x14ac:dyDescent="0.25">
      <c r="B43" s="18">
        <f>'Discount Details'!B43</f>
        <v>10291</v>
      </c>
      <c r="C43" s="3" t="str">
        <f>'Discount Details'!C43</f>
        <v>Oregon Trail Electric Coop.</v>
      </c>
      <c r="D43" s="93">
        <f>'Discount Details'!R43</f>
        <v>686765.45214799501</v>
      </c>
      <c r="E43" s="91">
        <f>IFERROR(VLOOKUP(B43,'FY 2028 RHWM Values'!B:H,7,FALSE), 0)</f>
        <v>82.616</v>
      </c>
      <c r="F43" s="92">
        <f>IFERROR(VLOOKUP(B43,'POC CHWM Calculation'!A$4:R$136,17,FALSE), 0)</f>
        <v>81.758507657870211</v>
      </c>
      <c r="G43" s="94">
        <f t="shared" si="11"/>
        <v>716204.52708294301</v>
      </c>
      <c r="H43" s="15">
        <f>'Discount Details'!S43</f>
        <v>36.315885300927285</v>
      </c>
      <c r="I43" s="19">
        <f t="shared" si="16"/>
        <v>24940495.388846051</v>
      </c>
      <c r="J43" s="19">
        <f t="shared" si="12"/>
        <v>26009601.457549028</v>
      </c>
      <c r="K43" s="215">
        <f t="shared" si="8"/>
        <v>26009601.457549028</v>
      </c>
      <c r="L43" s="215"/>
      <c r="M43" s="216">
        <f>'Discount Details'!N43</f>
        <v>0.05</v>
      </c>
      <c r="N43" s="216">
        <f>IF($N$3=0,'LDD Alt 1'!P44,MIN('Scenario Summary'!$N$3,'LDD Alt 1'!P44))</f>
        <v>5.5E-2</v>
      </c>
      <c r="O43" s="216">
        <f>IF($O$3=0, 'LDD Alt 2'!P44, MIN('LDD Alt 2'!P44, 'Scenario Summary'!$O$3))</f>
        <v>6.5000000000000002E-2</v>
      </c>
      <c r="P43" s="219"/>
      <c r="Q43" s="219" t="str">
        <f t="shared" si="9"/>
        <v>Oregon Trail Electric Coop.</v>
      </c>
      <c r="R43" s="180">
        <f t="shared" si="17"/>
        <v>1247024.7694423026</v>
      </c>
      <c r="S43" s="98">
        <f t="shared" si="18"/>
        <v>1430528.0801651964</v>
      </c>
      <c r="T43" s="98">
        <f t="shared" si="19"/>
        <v>1430528.0801651964</v>
      </c>
      <c r="U43" s="97">
        <f t="shared" si="13"/>
        <v>183503.3107228938</v>
      </c>
      <c r="V43" s="99">
        <f t="shared" si="14"/>
        <v>0.14715289962120037</v>
      </c>
      <c r="W43" s="180">
        <f t="shared" si="20"/>
        <v>1247024.7694423026</v>
      </c>
      <c r="X43" s="98">
        <f t="shared" si="21"/>
        <v>1690624.0947406869</v>
      </c>
      <c r="Y43" s="98">
        <f t="shared" si="22"/>
        <v>1690624.0947406869</v>
      </c>
      <c r="Z43" s="97">
        <f t="shared" si="10"/>
        <v>443599.3252983843</v>
      </c>
      <c r="AA43" s="99">
        <f t="shared" si="15"/>
        <v>0.35572615409778252</v>
      </c>
    </row>
    <row r="44" spans="2:27" x14ac:dyDescent="0.25">
      <c r="B44" s="18">
        <f>'Discount Details'!B44</f>
        <v>10331</v>
      </c>
      <c r="C44" s="3" t="str">
        <f>'Discount Details'!C44</f>
        <v>Raft River Electric</v>
      </c>
      <c r="D44" s="93">
        <f>'Discount Details'!R44</f>
        <v>310639.41589937464</v>
      </c>
      <c r="E44" s="91">
        <f>IFERROR(VLOOKUP(B44,'FY 2028 RHWM Values'!B:H,7,FALSE), 0)</f>
        <v>38.914000000000001</v>
      </c>
      <c r="F44" s="92">
        <f>IFERROR(VLOOKUP(B44,'POC CHWM Calculation'!A$4:R$136,17,FALSE), 0)</f>
        <v>37.941242613811845</v>
      </c>
      <c r="G44" s="94">
        <f t="shared" si="11"/>
        <v>332365.28529699176</v>
      </c>
      <c r="H44" s="15">
        <f>'Discount Details'!S44</f>
        <v>36.648355707364161</v>
      </c>
      <c r="I44" s="19">
        <f t="shared" si="16"/>
        <v>11384423.810608115</v>
      </c>
      <c r="J44" s="19">
        <f t="shared" si="12"/>
        <v>12180641.200343726</v>
      </c>
      <c r="K44" s="215">
        <f t="shared" si="8"/>
        <v>12180641.200343726</v>
      </c>
      <c r="L44" s="215"/>
      <c r="M44" s="216">
        <f>'Discount Details'!N44</f>
        <v>7.0000000000000007E-2</v>
      </c>
      <c r="N44" s="216">
        <f>IF($N$3=0,'LDD Alt 1'!P45,MIN('Scenario Summary'!$N$3,'LDD Alt 1'!P45))</f>
        <v>0.09</v>
      </c>
      <c r="O44" s="216">
        <f>IF($O$3=0, 'LDD Alt 2'!P45, MIN('LDD Alt 2'!P45, 'Scenario Summary'!$O$3))</f>
        <v>0.08</v>
      </c>
      <c r="P44" s="219"/>
      <c r="Q44" s="219" t="str">
        <f t="shared" si="9"/>
        <v>Raft River Electric</v>
      </c>
      <c r="R44" s="180">
        <f t="shared" si="17"/>
        <v>796909.66674256814</v>
      </c>
      <c r="S44" s="98">
        <f t="shared" si="18"/>
        <v>1096257.7080309354</v>
      </c>
      <c r="T44" s="98">
        <f t="shared" si="19"/>
        <v>1096257.7080309354</v>
      </c>
      <c r="U44" s="97">
        <f t="shared" si="13"/>
        <v>299348.04128836724</v>
      </c>
      <c r="V44" s="99">
        <f t="shared" si="14"/>
        <v>0.37563610253590762</v>
      </c>
      <c r="W44" s="180">
        <f t="shared" si="20"/>
        <v>796909.66674256814</v>
      </c>
      <c r="X44" s="98">
        <f t="shared" si="21"/>
        <v>974451.29602749809</v>
      </c>
      <c r="Y44" s="98">
        <f t="shared" si="22"/>
        <v>974451.29602749809</v>
      </c>
      <c r="Z44" s="97">
        <f t="shared" si="10"/>
        <v>177541.62928492995</v>
      </c>
      <c r="AA44" s="99">
        <f t="shared" si="15"/>
        <v>0.22278764669858453</v>
      </c>
    </row>
    <row r="45" spans="2:27" x14ac:dyDescent="0.25">
      <c r="B45" s="18">
        <f>'Discount Details'!B45</f>
        <v>10333</v>
      </c>
      <c r="C45" s="3" t="str">
        <f>'Discount Details'!C45</f>
        <v>Ravalli Electric Coop.</v>
      </c>
      <c r="D45" s="93">
        <f>'Discount Details'!R45</f>
        <v>162657.37817802894</v>
      </c>
      <c r="E45" s="91">
        <f>IFERROR(VLOOKUP(B45,'FY 2028 RHWM Values'!B:H,7,FALSE), 0)</f>
        <v>24.146999999999998</v>
      </c>
      <c r="F45" s="92">
        <f>IFERROR(VLOOKUP(B45,'POC CHWM Calculation'!A$4:R$136,17,FALSE), 0)</f>
        <v>20.251817966973693</v>
      </c>
      <c r="G45" s="94">
        <f t="shared" si="11"/>
        <v>177405.92539068955</v>
      </c>
      <c r="H45" s="15">
        <f>'Discount Details'!S45</f>
        <v>36.648338870390269</v>
      </c>
      <c r="I45" s="19">
        <f t="shared" si="16"/>
        <v>5961122.7152376277</v>
      </c>
      <c r="J45" s="19">
        <f t="shared" si="12"/>
        <v>6501632.4713331638</v>
      </c>
      <c r="K45" s="215">
        <f t="shared" si="8"/>
        <v>6501632.4713331647</v>
      </c>
      <c r="L45" s="215"/>
      <c r="M45" s="216">
        <f>'Discount Details'!N45</f>
        <v>7.0650000000000004E-2</v>
      </c>
      <c r="N45" s="216">
        <f>IF($N$3=0,'LDD Alt 1'!P46,MIN('Scenario Summary'!$N$3,'LDD Alt 1'!P46))</f>
        <v>7.4999999999999997E-2</v>
      </c>
      <c r="O45" s="216">
        <f>IF($O$3=0, 'LDD Alt 2'!P46, MIN('LDD Alt 2'!P46, 'Scenario Summary'!$O$3))</f>
        <v>0.08</v>
      </c>
      <c r="P45" s="219"/>
      <c r="Q45" s="219" t="str">
        <f t="shared" si="9"/>
        <v>Ravalli Electric Coop.</v>
      </c>
      <c r="R45" s="180">
        <f t="shared" si="17"/>
        <v>421153.31983153842</v>
      </c>
      <c r="S45" s="98">
        <f t="shared" si="18"/>
        <v>487622.43534998724</v>
      </c>
      <c r="T45" s="98">
        <f t="shared" si="19"/>
        <v>487622.43534998735</v>
      </c>
      <c r="U45" s="97">
        <f t="shared" si="13"/>
        <v>66469.115518448933</v>
      </c>
      <c r="V45" s="99">
        <f t="shared" si="14"/>
        <v>0.15782640760148015</v>
      </c>
      <c r="W45" s="180">
        <f t="shared" si="20"/>
        <v>421153.31983153842</v>
      </c>
      <c r="X45" s="98">
        <f t="shared" si="21"/>
        <v>520130.59770665312</v>
      </c>
      <c r="Y45" s="98">
        <f t="shared" si="22"/>
        <v>520130.59770665318</v>
      </c>
      <c r="Z45" s="97">
        <f t="shared" si="10"/>
        <v>98977.277875114756</v>
      </c>
      <c r="AA45" s="99">
        <f t="shared" si="15"/>
        <v>0.23501483477491214</v>
      </c>
    </row>
    <row r="46" spans="2:27" x14ac:dyDescent="0.25">
      <c r="B46" s="18">
        <f>'Discount Details'!B46</f>
        <v>10338</v>
      </c>
      <c r="C46" s="3" t="str">
        <f>'Discount Details'!C46</f>
        <v>Riverside Electric Co.</v>
      </c>
      <c r="D46" s="93">
        <f>'Discount Details'!R46</f>
        <v>20844.432000000001</v>
      </c>
      <c r="E46" s="91">
        <f>IFERROR(VLOOKUP(B46,'FY 2028 RHWM Values'!B:H,7,FALSE), 0)</f>
        <v>2.9039999999999999</v>
      </c>
      <c r="F46" s="92">
        <f>IFERROR(VLOOKUP(B46,'POC CHWM Calculation'!A$4:R$136,17,FALSE), 0)</f>
        <v>2.5328341131023708</v>
      </c>
      <c r="G46" s="94">
        <f t="shared" si="11"/>
        <v>22187.626830776768</v>
      </c>
      <c r="H46" s="15">
        <f>'Discount Details'!S46</f>
        <v>35.157996623077089</v>
      </c>
      <c r="I46" s="19">
        <f t="shared" si="16"/>
        <v>732848.46986596007</v>
      </c>
      <c r="J46" s="19">
        <f t="shared" si="12"/>
        <v>780072.50919054425</v>
      </c>
      <c r="K46" s="215">
        <f t="shared" si="8"/>
        <v>780072.50919054425</v>
      </c>
      <c r="L46" s="215"/>
      <c r="M46" s="216">
        <f>'Discount Details'!N46</f>
        <v>3.483E-2</v>
      </c>
      <c r="N46" s="216">
        <f>IF($N$3=0,'LDD Alt 1'!P47,MIN('Scenario Summary'!$N$3,'LDD Alt 1'!P47))</f>
        <v>3.4999999999999996E-2</v>
      </c>
      <c r="O46" s="216">
        <f>IF($O$3=0, 'LDD Alt 2'!P47, MIN('LDD Alt 2'!P47, 'Scenario Summary'!$O$3))</f>
        <v>4.5000000000000005E-2</v>
      </c>
      <c r="P46" s="219"/>
      <c r="Q46" s="219" t="str">
        <f t="shared" si="9"/>
        <v>Riverside Electric Co.</v>
      </c>
      <c r="R46" s="180">
        <f t="shared" si="17"/>
        <v>25525.112205431389</v>
      </c>
      <c r="S46" s="98">
        <f t="shared" si="18"/>
        <v>27302.537821669048</v>
      </c>
      <c r="T46" s="98">
        <f t="shared" si="19"/>
        <v>27302.537821669048</v>
      </c>
      <c r="U46" s="97">
        <f t="shared" si="13"/>
        <v>1777.4256162376587</v>
      </c>
      <c r="V46" s="99">
        <f t="shared" si="14"/>
        <v>6.9634389926773732E-2</v>
      </c>
      <c r="W46" s="180">
        <f t="shared" si="20"/>
        <v>25525.112205431389</v>
      </c>
      <c r="X46" s="98">
        <f t="shared" si="21"/>
        <v>35103.262913574494</v>
      </c>
      <c r="Y46" s="98">
        <f t="shared" si="22"/>
        <v>35103.262913574494</v>
      </c>
      <c r="Z46" s="97">
        <f t="shared" si="10"/>
        <v>9578.1507081431046</v>
      </c>
      <c r="AA46" s="99">
        <f t="shared" si="15"/>
        <v>0.37524421562013766</v>
      </c>
    </row>
    <row r="47" spans="2:27" x14ac:dyDescent="0.25">
      <c r="B47" s="18">
        <f>'Discount Details'!B47</f>
        <v>10343</v>
      </c>
      <c r="C47" s="3" t="str">
        <f>'Discount Details'!C47</f>
        <v>Salmon River Electric</v>
      </c>
      <c r="D47" s="93">
        <f>'Discount Details'!R47</f>
        <v>105047.21748151763</v>
      </c>
      <c r="E47" s="91">
        <f>IFERROR(VLOOKUP(B47,'FY 2028 RHWM Values'!B:H,7,FALSE), 0)</f>
        <v>11.818</v>
      </c>
      <c r="F47" s="92">
        <f>IFERROR(VLOOKUP(B47,'POC CHWM Calculation'!A$4:R$136,17,FALSE), 0)</f>
        <v>12.112237055995978</v>
      </c>
      <c r="G47" s="94">
        <f t="shared" si="11"/>
        <v>103525.68</v>
      </c>
      <c r="H47" s="15">
        <f>'Discount Details'!S47</f>
        <v>33.253490319511833</v>
      </c>
      <c r="I47" s="19">
        <f t="shared" si="16"/>
        <v>3493186.6296133008</v>
      </c>
      <c r="J47" s="19">
        <f t="shared" si="12"/>
        <v>3442590.1977008795</v>
      </c>
      <c r="K47" s="215">
        <f t="shared" si="8"/>
        <v>3528301.621357346</v>
      </c>
      <c r="L47" s="215"/>
      <c r="M47" s="216">
        <f>'Discount Details'!N47</f>
        <v>7.0000000000000007E-2</v>
      </c>
      <c r="N47" s="216">
        <f>IF($N$3=0,'LDD Alt 1'!P48,MIN('Scenario Summary'!$N$3,'LDD Alt 1'!P48))</f>
        <v>0.09</v>
      </c>
      <c r="O47" s="216">
        <f>IF($O$3=0, 'LDD Alt 2'!P48, MIN('LDD Alt 2'!P48, 'Scenario Summary'!$O$3))</f>
        <v>0.08</v>
      </c>
      <c r="P47" s="219"/>
      <c r="Q47" s="219" t="str">
        <f t="shared" si="9"/>
        <v>Salmon River Electric</v>
      </c>
      <c r="R47" s="180">
        <f t="shared" si="17"/>
        <v>244523.06407293107</v>
      </c>
      <c r="S47" s="98">
        <f t="shared" si="18"/>
        <v>309833.11779307917</v>
      </c>
      <c r="T47" s="98">
        <f t="shared" si="19"/>
        <v>317547.14592216111</v>
      </c>
      <c r="U47" s="97">
        <f t="shared" si="13"/>
        <v>73024.081849230046</v>
      </c>
      <c r="V47" s="99">
        <f t="shared" si="14"/>
        <v>0.29863883035364713</v>
      </c>
      <c r="W47" s="180">
        <f t="shared" si="20"/>
        <v>244523.06407293107</v>
      </c>
      <c r="X47" s="98">
        <f t="shared" si="21"/>
        <v>275407.21581607038</v>
      </c>
      <c r="Y47" s="98">
        <f t="shared" si="22"/>
        <v>282264.12970858766</v>
      </c>
      <c r="Z47" s="97">
        <f t="shared" si="10"/>
        <v>37741.065635656589</v>
      </c>
      <c r="AA47" s="99">
        <f t="shared" si="15"/>
        <v>0.15434562698101972</v>
      </c>
    </row>
    <row r="48" spans="2:27" x14ac:dyDescent="0.25">
      <c r="B48" s="18">
        <f>'Discount Details'!B48</f>
        <v>10352</v>
      </c>
      <c r="C48" s="3" t="str">
        <f>'Discount Details'!C48</f>
        <v>Skamania County PUD</v>
      </c>
      <c r="D48" s="93">
        <f>'Discount Details'!R48</f>
        <v>139535.39663958718</v>
      </c>
      <c r="E48" s="91">
        <f>IFERROR(VLOOKUP(B48,'FY 2028 RHWM Values'!B:H,7,FALSE), 0)</f>
        <v>17.827000000000002</v>
      </c>
      <c r="F48" s="92">
        <f>IFERROR(VLOOKUP(B48,'POC CHWM Calculation'!A$4:R$136,17,FALSE), 0)</f>
        <v>16.538391181635959</v>
      </c>
      <c r="G48" s="94">
        <f t="shared" si="11"/>
        <v>144876.30675113099</v>
      </c>
      <c r="H48" s="15">
        <f>'Discount Details'!S48</f>
        <v>36.336703643895646</v>
      </c>
      <c r="I48" s="19">
        <f t="shared" si="16"/>
        <v>5070256.355526112</v>
      </c>
      <c r="J48" s="19">
        <f t="shared" si="12"/>
        <v>5264327.4234379651</v>
      </c>
      <c r="K48" s="215">
        <f t="shared" si="8"/>
        <v>5264327.4234379651</v>
      </c>
      <c r="L48" s="215"/>
      <c r="M48" s="216">
        <f>'Discount Details'!N48</f>
        <v>0.05</v>
      </c>
      <c r="N48" s="216">
        <f>IF($N$3=0,'LDD Alt 1'!P49,MIN('Scenario Summary'!$N$3,'LDD Alt 1'!P49))</f>
        <v>0.06</v>
      </c>
      <c r="O48" s="216">
        <f>IF($O$3=0, 'LDD Alt 2'!P49, MIN('LDD Alt 2'!P49, 'Scenario Summary'!$O$3))</f>
        <v>6.5000000000000002E-2</v>
      </c>
      <c r="P48" s="219"/>
      <c r="Q48" s="219" t="str">
        <f t="shared" si="9"/>
        <v>Skamania County PUD</v>
      </c>
      <c r="R48" s="180">
        <f t="shared" si="17"/>
        <v>253512.8177763056</v>
      </c>
      <c r="S48" s="98">
        <f t="shared" si="18"/>
        <v>315859.64540627791</v>
      </c>
      <c r="T48" s="98">
        <f t="shared" si="19"/>
        <v>315859.64540627791</v>
      </c>
      <c r="U48" s="97">
        <f t="shared" si="13"/>
        <v>62346.827629972307</v>
      </c>
      <c r="V48" s="99">
        <f t="shared" si="14"/>
        <v>0.24593165811831197</v>
      </c>
      <c r="W48" s="180">
        <f t="shared" si="20"/>
        <v>253512.8177763056</v>
      </c>
      <c r="X48" s="98">
        <f t="shared" si="21"/>
        <v>342181.28252346773</v>
      </c>
      <c r="Y48" s="98">
        <f t="shared" si="22"/>
        <v>342181.28252346773</v>
      </c>
      <c r="Z48" s="97">
        <f t="shared" si="10"/>
        <v>88668.464747162128</v>
      </c>
      <c r="AA48" s="99">
        <f t="shared" si="15"/>
        <v>0.34975929629483793</v>
      </c>
    </row>
    <row r="49" spans="2:27" x14ac:dyDescent="0.25">
      <c r="B49" s="18">
        <f>'Discount Details'!B49</f>
        <v>10360</v>
      </c>
      <c r="C49" s="3" t="str">
        <f>'Discount Details'!C49</f>
        <v>South Side Electric</v>
      </c>
      <c r="D49" s="93">
        <f>'Discount Details'!R49</f>
        <v>59423.759999999995</v>
      </c>
      <c r="E49" s="91">
        <f>IFERROR(VLOOKUP(B49,'FY 2028 RHWM Values'!B:H,7,FALSE), 0)</f>
        <v>7.4619999999999997</v>
      </c>
      <c r="F49" s="92">
        <f>IFERROR(VLOOKUP(B49,'POC CHWM Calculation'!A$4:R$136,17,FALSE), 0)</f>
        <v>7.0326290267792313</v>
      </c>
      <c r="G49" s="94">
        <f t="shared" si="11"/>
        <v>61605.830274586064</v>
      </c>
      <c r="H49" s="15">
        <f>'Discount Details'!S49</f>
        <v>34.864305468185307</v>
      </c>
      <c r="I49" s="19">
        <f t="shared" si="16"/>
        <v>2071768.1207081312</v>
      </c>
      <c r="J49" s="19">
        <f t="shared" si="12"/>
        <v>2147844.4853143468</v>
      </c>
      <c r="K49" s="215">
        <f t="shared" si="8"/>
        <v>2147844.4853143468</v>
      </c>
      <c r="L49" s="215"/>
      <c r="M49" s="216">
        <f>'Discount Details'!N49</f>
        <v>6.7960000000000007E-2</v>
      </c>
      <c r="N49" s="216">
        <f>IF($N$3=0,'LDD Alt 1'!P50,MIN('Scenario Summary'!$N$3,'LDD Alt 1'!P50))</f>
        <v>7.0000000000000007E-2</v>
      </c>
      <c r="O49" s="216">
        <f>IF($O$3=0, 'LDD Alt 2'!P50, MIN('LDD Alt 2'!P50, 'Scenario Summary'!$O$3))</f>
        <v>0.08</v>
      </c>
      <c r="P49" s="219"/>
      <c r="Q49" s="219" t="str">
        <f t="shared" si="9"/>
        <v>South Side Electric</v>
      </c>
      <c r="R49" s="180">
        <f t="shared" si="17"/>
        <v>140797.36148332461</v>
      </c>
      <c r="S49" s="98">
        <f t="shared" si="18"/>
        <v>150349.1139720043</v>
      </c>
      <c r="T49" s="98">
        <f t="shared" si="19"/>
        <v>150349.1139720043</v>
      </c>
      <c r="U49" s="97">
        <f t="shared" si="13"/>
        <v>9551.7524886796891</v>
      </c>
      <c r="V49" s="99">
        <f t="shared" si="14"/>
        <v>6.7840422491233676E-2</v>
      </c>
      <c r="W49" s="180">
        <f t="shared" si="20"/>
        <v>140797.36148332461</v>
      </c>
      <c r="X49" s="98">
        <f t="shared" si="21"/>
        <v>171827.55882514775</v>
      </c>
      <c r="Y49" s="98">
        <f t="shared" si="22"/>
        <v>171827.55882514775</v>
      </c>
      <c r="Z49" s="97">
        <f t="shared" si="10"/>
        <v>31030.197341823136</v>
      </c>
      <c r="AA49" s="99">
        <f t="shared" si="15"/>
        <v>0.22038905427569544</v>
      </c>
    </row>
    <row r="50" spans="2:27" x14ac:dyDescent="0.25">
      <c r="B50" s="18">
        <f>'Discount Details'!B50</f>
        <v>10369</v>
      </c>
      <c r="C50" s="3" t="str">
        <f>'Discount Details'!C50</f>
        <v>Surprise Valley Electric</v>
      </c>
      <c r="D50" s="93">
        <f>'Discount Details'!R50</f>
        <v>144338.41766162813</v>
      </c>
      <c r="E50" s="91">
        <f>IFERROR(VLOOKUP(B50,'FY 2028 RHWM Values'!B:H,7,FALSE), 0)</f>
        <v>18.605</v>
      </c>
      <c r="F50" s="92">
        <f>IFERROR(VLOOKUP(B50,'POC CHWM Calculation'!A$4:R$136,17,FALSE), 0)</f>
        <v>17.031145484583412</v>
      </c>
      <c r="G50" s="94">
        <f t="shared" si="11"/>
        <v>149192.83444495068</v>
      </c>
      <c r="H50" s="15">
        <f>'Discount Details'!S50</f>
        <v>36.684974277457663</v>
      </c>
      <c r="I50" s="19">
        <f t="shared" si="16"/>
        <v>5295051.1391657684</v>
      </c>
      <c r="J50" s="19">
        <f t="shared" si="12"/>
        <v>5473135.2939940151</v>
      </c>
      <c r="K50" s="215">
        <f t="shared" si="8"/>
        <v>5473135.293994016</v>
      </c>
      <c r="L50" s="215"/>
      <c r="M50" s="216">
        <f>'Discount Details'!N50</f>
        <v>7.8289999999999998E-2</v>
      </c>
      <c r="N50" s="216">
        <f>IF($N$3=0,'LDD Alt 1'!P51,MIN('Scenario Summary'!$N$3,'LDD Alt 1'!P51))</f>
        <v>0.09</v>
      </c>
      <c r="O50" s="216">
        <f>IF($O$3=0, 'LDD Alt 2'!P51, MIN('LDD Alt 2'!P51, 'Scenario Summary'!$O$3))</f>
        <v>0.08</v>
      </c>
      <c r="P50" s="219"/>
      <c r="Q50" s="219" t="str">
        <f t="shared" si="9"/>
        <v>Surprise Valley Electric</v>
      </c>
      <c r="R50" s="180">
        <f t="shared" si="17"/>
        <v>414549.553685288</v>
      </c>
      <c r="S50" s="98">
        <f t="shared" si="18"/>
        <v>492582.17645946133</v>
      </c>
      <c r="T50" s="98">
        <f t="shared" si="19"/>
        <v>492582.17645946145</v>
      </c>
      <c r="U50" s="97">
        <f t="shared" si="13"/>
        <v>78032.622774173447</v>
      </c>
      <c r="V50" s="99">
        <f t="shared" si="14"/>
        <v>0.18823472870848423</v>
      </c>
      <c r="W50" s="180">
        <f t="shared" si="20"/>
        <v>414549.553685288</v>
      </c>
      <c r="X50" s="98">
        <f t="shared" si="21"/>
        <v>437850.82351952122</v>
      </c>
      <c r="Y50" s="98">
        <f t="shared" si="22"/>
        <v>437850.82351952128</v>
      </c>
      <c r="Z50" s="97">
        <f t="shared" si="10"/>
        <v>23301.269834233273</v>
      </c>
      <c r="AA50" s="99">
        <f t="shared" si="15"/>
        <v>5.6208647740874973E-2</v>
      </c>
    </row>
    <row r="51" spans="2:27" x14ac:dyDescent="0.25">
      <c r="B51" s="18">
        <f>'Discount Details'!B51</f>
        <v>10388</v>
      </c>
      <c r="C51" s="3" t="str">
        <f>'Discount Details'!C51</f>
        <v>Umatilla Electric</v>
      </c>
      <c r="D51" s="93">
        <f>'Discount Details'!R51</f>
        <v>994550.83199999994</v>
      </c>
      <c r="E51" s="91">
        <f>IFERROR(VLOOKUP(B51,'FY 2028 RHWM Values'!B:H,7,FALSE), 0)</f>
        <v>223.154</v>
      </c>
      <c r="F51" s="92">
        <f>IFERROR(VLOOKUP(B51,'POC CHWM Calculation'!A$4:R$136,17,FALSE), 0)</f>
        <v>139.96865545358705</v>
      </c>
      <c r="G51" s="94">
        <f t="shared" si="11"/>
        <v>1226125.4217734225</v>
      </c>
      <c r="H51" s="15">
        <f>'Discount Details'!S51</f>
        <v>34.558778232180906</v>
      </c>
      <c r="I51" s="19">
        <f t="shared" si="16"/>
        <v>34370461.64371901</v>
      </c>
      <c r="J51" s="19">
        <f t="shared" si="12"/>
        <v>42373396.535906985</v>
      </c>
      <c r="K51" s="215">
        <f t="shared" si="8"/>
        <v>42373396.535906985</v>
      </c>
      <c r="L51" s="215"/>
      <c r="M51" s="216">
        <f>'Discount Details'!N51</f>
        <v>5.8779999999999999E-2</v>
      </c>
      <c r="N51" s="216">
        <f>IF($N$3=0,'LDD Alt 1'!P52,MIN('Scenario Summary'!$N$3,'LDD Alt 1'!P52))</f>
        <v>0.04</v>
      </c>
      <c r="O51" s="216">
        <f>IF($O$3=0, 'LDD Alt 2'!P52, MIN('LDD Alt 2'!P52, 'Scenario Summary'!$O$3))</f>
        <v>5.5000000000000007E-2</v>
      </c>
      <c r="P51" s="219"/>
      <c r="Q51" s="219" t="str">
        <f t="shared" si="9"/>
        <v>Umatilla Electric</v>
      </c>
      <c r="R51" s="180">
        <f t="shared" si="17"/>
        <v>2020295.7354178033</v>
      </c>
      <c r="S51" s="98">
        <f t="shared" si="18"/>
        <v>1694935.8614362795</v>
      </c>
      <c r="T51" s="98">
        <f t="shared" si="19"/>
        <v>1694935.8614362795</v>
      </c>
      <c r="U51" s="97">
        <f t="shared" si="13"/>
        <v>-325359.87398152379</v>
      </c>
      <c r="V51" s="99">
        <f t="shared" si="14"/>
        <v>-0.16104566686829069</v>
      </c>
      <c r="W51" s="180">
        <f t="shared" si="20"/>
        <v>2020295.7354178033</v>
      </c>
      <c r="X51" s="98">
        <f t="shared" si="21"/>
        <v>2330536.8094748845</v>
      </c>
      <c r="Y51" s="98">
        <f t="shared" si="22"/>
        <v>2330536.8094748845</v>
      </c>
      <c r="Z51" s="97">
        <f t="shared" si="10"/>
        <v>310241.07405708125</v>
      </c>
      <c r="AA51" s="99">
        <f t="shared" si="15"/>
        <v>0.15356220805610055</v>
      </c>
    </row>
    <row r="52" spans="2:27" x14ac:dyDescent="0.25">
      <c r="B52" s="18">
        <f>'Discount Details'!B52</f>
        <v>10391</v>
      </c>
      <c r="C52" s="3" t="str">
        <f>'Discount Details'!C52</f>
        <v>United</v>
      </c>
      <c r="D52" s="93">
        <f>'Discount Details'!R52</f>
        <v>263317.96799999999</v>
      </c>
      <c r="E52" s="91">
        <f>IFERROR(VLOOKUP(B52,'FY 2028 RHWM Values'!B:H,7,FALSE), 0)</f>
        <v>44.320999999999998</v>
      </c>
      <c r="F52" s="92">
        <f>IFERROR(VLOOKUP(B52,'POC CHWM Calculation'!A$4:R$136,17,FALSE), 0)</f>
        <v>33.932363209025681</v>
      </c>
      <c r="G52" s="94">
        <f t="shared" si="11"/>
        <v>297247.50171106495</v>
      </c>
      <c r="H52" s="15">
        <f>'Discount Details'!S52</f>
        <v>35.17074640954398</v>
      </c>
      <c r="I52" s="19">
        <f t="shared" si="16"/>
        <v>9261089.4776044171</v>
      </c>
      <c r="J52" s="19">
        <f t="shared" si="12"/>
        <v>10454416.503550356</v>
      </c>
      <c r="K52" s="215">
        <f t="shared" si="8"/>
        <v>10454416.503550358</v>
      </c>
      <c r="L52" s="215"/>
      <c r="M52" s="216">
        <f>'Discount Details'!N52</f>
        <v>3.8080000000000003E-2</v>
      </c>
      <c r="N52" s="216">
        <f>IF($N$3=0,'LDD Alt 1'!P53,MIN('Scenario Summary'!$N$3,'LDD Alt 1'!P53))</f>
        <v>3.4999999999999996E-2</v>
      </c>
      <c r="O52" s="216">
        <f>IF($O$3=0, 'LDD Alt 2'!P53, MIN('LDD Alt 2'!P53, 'Scenario Summary'!$O$3))</f>
        <v>4.4999999999999998E-2</v>
      </c>
      <c r="P52" s="219"/>
      <c r="Q52" s="219" t="str">
        <f t="shared" si="9"/>
        <v>United</v>
      </c>
      <c r="R52" s="180">
        <f t="shared" si="17"/>
        <v>352662.28730717622</v>
      </c>
      <c r="S52" s="98">
        <f t="shared" si="18"/>
        <v>365904.57762426243</v>
      </c>
      <c r="T52" s="98">
        <f t="shared" si="19"/>
        <v>365904.57762426249</v>
      </c>
      <c r="U52" s="97">
        <f t="shared" si="13"/>
        <v>13242.29031708627</v>
      </c>
      <c r="V52" s="99">
        <f t="shared" si="14"/>
        <v>3.7549493647876186E-2</v>
      </c>
      <c r="W52" s="180">
        <f t="shared" si="20"/>
        <v>352662.28730717622</v>
      </c>
      <c r="X52" s="98">
        <f t="shared" si="21"/>
        <v>470448.74265976599</v>
      </c>
      <c r="Y52" s="98">
        <f t="shared" si="22"/>
        <v>470448.74265976611</v>
      </c>
      <c r="Z52" s="97">
        <f t="shared" si="10"/>
        <v>117786.4553525899</v>
      </c>
      <c r="AA52" s="99">
        <f t="shared" si="15"/>
        <v>0.33399220611869795</v>
      </c>
    </row>
    <row r="53" spans="2:27" x14ac:dyDescent="0.25">
      <c r="B53" s="18">
        <f>'Discount Details'!B53</f>
        <v>10436</v>
      </c>
      <c r="C53" s="3" t="str">
        <f>'Discount Details'!C53</f>
        <v>Vigilante Electric Coop.</v>
      </c>
      <c r="D53" s="93">
        <f>'Discount Details'!R53</f>
        <v>168227.51277115056</v>
      </c>
      <c r="E53" s="91">
        <f>IFERROR(VLOOKUP(B53,'FY 2028 RHWM Values'!B:H,7,FALSE), 0)</f>
        <v>26.678999999999998</v>
      </c>
      <c r="F53" s="92">
        <f>IFERROR(VLOOKUP(B53,'POC CHWM Calculation'!A$4:R$136,17,FALSE), 0)</f>
        <v>20.7932997650496</v>
      </c>
      <c r="G53" s="94">
        <f t="shared" si="11"/>
        <v>182149.30594183449</v>
      </c>
      <c r="H53" s="15">
        <f>'Discount Details'!S53</f>
        <v>35.371355248841923</v>
      </c>
      <c r="I53" s="19">
        <f t="shared" si="16"/>
        <v>5950435.1168574579</v>
      </c>
      <c r="J53" s="19">
        <f t="shared" si="12"/>
        <v>6442867.8087986205</v>
      </c>
      <c r="K53" s="215">
        <f t="shared" si="8"/>
        <v>6442867.8087986214</v>
      </c>
      <c r="L53" s="215"/>
      <c r="M53" s="216">
        <f>'Discount Details'!N53</f>
        <v>9.0999999999999998E-2</v>
      </c>
      <c r="N53" s="216">
        <f>IF($N$3=0,'LDD Alt 1'!P54,MIN('Scenario Summary'!$N$3,'LDD Alt 1'!P54))</f>
        <v>0.09</v>
      </c>
      <c r="O53" s="216">
        <f>IF($O$3=0, 'LDD Alt 2'!P54, MIN('LDD Alt 2'!P54, 'Scenario Summary'!$O$3))</f>
        <v>0.08</v>
      </c>
      <c r="P53" s="219"/>
      <c r="Q53" s="219" t="str">
        <f t="shared" si="9"/>
        <v>Vigilante Electric Coop.</v>
      </c>
      <c r="R53" s="180">
        <f t="shared" si="17"/>
        <v>541489.59563402866</v>
      </c>
      <c r="S53" s="98">
        <f t="shared" si="18"/>
        <v>579858.10279187583</v>
      </c>
      <c r="T53" s="98">
        <f t="shared" si="19"/>
        <v>579858.10279187595</v>
      </c>
      <c r="U53" s="97">
        <f t="shared" si="13"/>
        <v>38368.507157847285</v>
      </c>
      <c r="V53" s="99">
        <f t="shared" si="14"/>
        <v>7.0857330348003567E-2</v>
      </c>
      <c r="W53" s="180">
        <f t="shared" si="20"/>
        <v>541489.59563402866</v>
      </c>
      <c r="X53" s="98">
        <f t="shared" si="21"/>
        <v>515429.42470388964</v>
      </c>
      <c r="Y53" s="98">
        <f t="shared" si="22"/>
        <v>515429.4247038897</v>
      </c>
      <c r="Z53" s="97">
        <f t="shared" si="10"/>
        <v>-26060.170930138964</v>
      </c>
      <c r="AA53" s="99">
        <f t="shared" si="15"/>
        <v>-4.8126817468441274E-2</v>
      </c>
    </row>
    <row r="54" spans="2:27" x14ac:dyDescent="0.25">
      <c r="B54" s="18">
        <f>'Discount Details'!B54</f>
        <v>10440</v>
      </c>
      <c r="C54" s="3" t="str">
        <f>'Discount Details'!C54</f>
        <v>Wahkiakum County PUD</v>
      </c>
      <c r="D54" s="93">
        <f>'Discount Details'!R54</f>
        <v>43963.92</v>
      </c>
      <c r="E54" s="91">
        <f>IFERROR(VLOOKUP(B54,'FY 2028 RHWM Values'!B:H,7,FALSE), 0)</f>
        <v>6.1289999999999996</v>
      </c>
      <c r="F54" s="92">
        <f>IFERROR(VLOOKUP(B54,'POC CHWM Calculation'!A$4:R$136,17,FALSE), 0)</f>
        <v>5.2955625027500037</v>
      </c>
      <c r="G54" s="94">
        <f t="shared" si="11"/>
        <v>46389.127524090036</v>
      </c>
      <c r="H54" s="15">
        <f>'Discount Details'!S54</f>
        <v>35.044118228640897</v>
      </c>
      <c r="I54" s="19">
        <f t="shared" si="16"/>
        <v>1540676.8102745099</v>
      </c>
      <c r="J54" s="19">
        <f t="shared" si="12"/>
        <v>1625666.0694777109</v>
      </c>
      <c r="K54" s="215">
        <f t="shared" si="8"/>
        <v>1625666.0694777106</v>
      </c>
      <c r="L54" s="215"/>
      <c r="M54" s="216">
        <f>'Discount Details'!N54</f>
        <v>5.7709999999999997E-2</v>
      </c>
      <c r="N54" s="216">
        <f>IF($N$3=0,'LDD Alt 1'!P55,MIN('Scenario Summary'!$N$3,'LDD Alt 1'!P55))</f>
        <v>6.5000000000000002E-2</v>
      </c>
      <c r="O54" s="216">
        <f>IF($O$3=0, 'LDD Alt 2'!P55, MIN('LDD Alt 2'!P55, 'Scenario Summary'!$O$3))</f>
        <v>7.4999999999999997E-2</v>
      </c>
      <c r="P54" s="219"/>
      <c r="Q54" s="219" t="str">
        <f t="shared" si="9"/>
        <v>Wahkiakum County PUD</v>
      </c>
      <c r="R54" s="180">
        <f t="shared" si="17"/>
        <v>88912.45872094197</v>
      </c>
      <c r="S54" s="98">
        <f t="shared" si="18"/>
        <v>105668.29451605122</v>
      </c>
      <c r="T54" s="98">
        <f t="shared" si="19"/>
        <v>105668.29451605119</v>
      </c>
      <c r="U54" s="97">
        <f t="shared" si="13"/>
        <v>16755.835795109218</v>
      </c>
      <c r="V54" s="99">
        <f t="shared" si="14"/>
        <v>0.18845318233408204</v>
      </c>
      <c r="W54" s="180">
        <f t="shared" si="20"/>
        <v>88912.45872094197</v>
      </c>
      <c r="X54" s="98">
        <f t="shared" si="21"/>
        <v>121924.95521082831</v>
      </c>
      <c r="Y54" s="98">
        <f t="shared" si="22"/>
        <v>121924.9552108283</v>
      </c>
      <c r="Z54" s="97">
        <f t="shared" si="10"/>
        <v>33012.496489886325</v>
      </c>
      <c r="AA54" s="99">
        <f t="shared" si="15"/>
        <v>0.37129213346240242</v>
      </c>
    </row>
    <row r="55" spans="2:27" x14ac:dyDescent="0.25">
      <c r="B55" s="18">
        <f>'Discount Details'!B55</f>
        <v>10442</v>
      </c>
      <c r="C55" s="3" t="str">
        <f>'Discount Details'!C55</f>
        <v>Wasco Electric Coop.</v>
      </c>
      <c r="D55" s="93">
        <f>'Discount Details'!R55</f>
        <v>110541.16550671548</v>
      </c>
      <c r="E55" s="91">
        <f>IFERROR(VLOOKUP(B55,'FY 2028 RHWM Values'!B:H,7,FALSE), 0)</f>
        <v>13.145</v>
      </c>
      <c r="F55" s="92">
        <f>IFERROR(VLOOKUP(B55,'POC CHWM Calculation'!A$4:R$136,17,FALSE), 0)</f>
        <v>12.822057387672801</v>
      </c>
      <c r="G55" s="94">
        <f t="shared" si="11"/>
        <v>112321.22271601374</v>
      </c>
      <c r="H55" s="15">
        <f>'Discount Details'!S55</f>
        <v>37.334519953440477</v>
      </c>
      <c r="I55" s="19">
        <f t="shared" si="16"/>
        <v>4127001.3492870354</v>
      </c>
      <c r="J55" s="19">
        <f t="shared" si="12"/>
        <v>4193458.9306858466</v>
      </c>
      <c r="K55" s="215">
        <f t="shared" si="8"/>
        <v>4193458.9306858471</v>
      </c>
      <c r="L55" s="215"/>
      <c r="M55" s="216">
        <f>'Discount Details'!N55</f>
        <v>7.0000000000000007E-2</v>
      </c>
      <c r="N55" s="216">
        <f>IF($N$3=0,'LDD Alt 1'!P56,MIN('Scenario Summary'!$N$3,'LDD Alt 1'!P56))</f>
        <v>0.09</v>
      </c>
      <c r="O55" s="216">
        <f>IF($O$3=0, 'LDD Alt 2'!P56, MIN('LDD Alt 2'!P56, 'Scenario Summary'!$O$3))</f>
        <v>0.08</v>
      </c>
      <c r="P55" s="219"/>
      <c r="Q55" s="219" t="str">
        <f t="shared" si="9"/>
        <v>Wasco Electric Coop.</v>
      </c>
      <c r="R55" s="180">
        <f t="shared" si="17"/>
        <v>288890.09445009253</v>
      </c>
      <c r="S55" s="98">
        <f t="shared" si="18"/>
        <v>377411.30376172619</v>
      </c>
      <c r="T55" s="98">
        <f t="shared" si="19"/>
        <v>377411.30376172625</v>
      </c>
      <c r="U55" s="97">
        <f t="shared" si="13"/>
        <v>88521.20931163372</v>
      </c>
      <c r="V55" s="99">
        <f t="shared" si="14"/>
        <v>0.30641829198102277</v>
      </c>
      <c r="W55" s="180">
        <f t="shared" si="20"/>
        <v>288890.09445009253</v>
      </c>
      <c r="X55" s="98">
        <f t="shared" si="21"/>
        <v>335476.71445486776</v>
      </c>
      <c r="Y55" s="98">
        <f t="shared" si="22"/>
        <v>335476.71445486776</v>
      </c>
      <c r="Z55" s="97">
        <f t="shared" si="10"/>
        <v>46586.620004775235</v>
      </c>
      <c r="AA55" s="99">
        <f t="shared" si="15"/>
        <v>0.1612607039831313</v>
      </c>
    </row>
    <row r="56" spans="2:27" x14ac:dyDescent="0.25">
      <c r="B56" s="18">
        <f>'Discount Details'!B56</f>
        <v>10446</v>
      </c>
      <c r="C56" s="3" t="str">
        <f>'Discount Details'!C56</f>
        <v>Wells Rural Electric Co.</v>
      </c>
      <c r="D56" s="93">
        <f>'Discount Details'!R56</f>
        <v>841251.43585612264</v>
      </c>
      <c r="E56" s="91">
        <f>IFERROR(VLOOKUP(B56,'FY 2028 RHWM Values'!B:H,7,FALSE), 0)</f>
        <v>94.44</v>
      </c>
      <c r="F56" s="92">
        <f>IFERROR(VLOOKUP(B56,'POC CHWM Calculation'!A$4:R$136,17,FALSE), 0)</f>
        <v>82.887295758256045</v>
      </c>
      <c r="G56" s="94">
        <f t="shared" si="11"/>
        <v>726092.71084232291</v>
      </c>
      <c r="H56" s="15">
        <f>'Discount Details'!S56</f>
        <v>34.0482495172635</v>
      </c>
      <c r="I56" s="19">
        <f t="shared" si="16"/>
        <v>28643138.794785455</v>
      </c>
      <c r="J56" s="19">
        <f t="shared" si="12"/>
        <v>24722185.791425668</v>
      </c>
      <c r="K56" s="215">
        <f t="shared" si="8"/>
        <v>24722185.791425668</v>
      </c>
      <c r="L56" s="215"/>
      <c r="M56" s="216">
        <f>'Discount Details'!N56</f>
        <v>6.5839999999999996E-2</v>
      </c>
      <c r="N56" s="216">
        <f>IF($N$3=0,'LDD Alt 1'!P57,MIN('Scenario Summary'!$N$3,'LDD Alt 1'!P57))</f>
        <v>7.4999999999999997E-2</v>
      </c>
      <c r="O56" s="216">
        <f>IF($O$3=0, 'LDD Alt 2'!P57, MIN('LDD Alt 2'!P57, 'Scenario Summary'!$O$3))</f>
        <v>0.08</v>
      </c>
      <c r="P56" s="219"/>
      <c r="Q56" s="219" t="str">
        <f t="shared" si="9"/>
        <v>Wells Rural Electric Co.</v>
      </c>
      <c r="R56" s="180">
        <f t="shared" si="17"/>
        <v>1885864.2582486742</v>
      </c>
      <c r="S56" s="98">
        <f t="shared" si="18"/>
        <v>1854163.9343569251</v>
      </c>
      <c r="T56" s="98">
        <f t="shared" si="19"/>
        <v>1854163.9343569251</v>
      </c>
      <c r="U56" s="97">
        <f t="shared" si="13"/>
        <v>-31700.32389174914</v>
      </c>
      <c r="V56" s="99">
        <f t="shared" si="14"/>
        <v>-1.6809440951592092E-2</v>
      </c>
      <c r="W56" s="180">
        <f t="shared" si="20"/>
        <v>1885864.2582486742</v>
      </c>
      <c r="X56" s="98">
        <f t="shared" si="21"/>
        <v>1977774.8633140535</v>
      </c>
      <c r="Y56" s="98">
        <f t="shared" si="22"/>
        <v>1977774.8633140535</v>
      </c>
      <c r="Z56" s="97">
        <f t="shared" si="10"/>
        <v>91910.605065379292</v>
      </c>
      <c r="AA56" s="99">
        <f t="shared" si="15"/>
        <v>4.8736596318301739E-2</v>
      </c>
    </row>
    <row r="57" spans="2:27" x14ac:dyDescent="0.25">
      <c r="B57" s="18">
        <f>'Discount Details'!B57</f>
        <v>10448</v>
      </c>
      <c r="C57" s="3" t="str">
        <f>'Discount Details'!C57</f>
        <v>West Oregon Electric</v>
      </c>
      <c r="D57" s="93">
        <f>'Discount Details'!R57</f>
        <v>72396.277846986748</v>
      </c>
      <c r="E57" s="91">
        <f>IFERROR(VLOOKUP(B57,'FY 2028 RHWM Values'!B:H,7,FALSE), 0)</f>
        <v>9.2070000000000007</v>
      </c>
      <c r="F57" s="92">
        <f>IFERROR(VLOOKUP(B57,'POC CHWM Calculation'!A$4:R$136,17,FALSE), 0)</f>
        <v>8.748209452434752</v>
      </c>
      <c r="G57" s="94">
        <f t="shared" si="11"/>
        <v>76634.314803328423</v>
      </c>
      <c r="H57" s="15">
        <f>'Discount Details'!S57</f>
        <v>36.648479364199915</v>
      </c>
      <c r="I57" s="19">
        <f t="shared" si="16"/>
        <v>2653213.4947201773</v>
      </c>
      <c r="J57" s="19">
        <f t="shared" si="12"/>
        <v>2808531.1046593818</v>
      </c>
      <c r="K57" s="215">
        <f t="shared" si="8"/>
        <v>2808531.1046593818</v>
      </c>
      <c r="L57" s="215"/>
      <c r="M57" s="216">
        <f>'Discount Details'!N57</f>
        <v>7.0000000000000007E-2</v>
      </c>
      <c r="N57" s="216">
        <f>IF($N$3=0,'LDD Alt 1'!P58,MIN('Scenario Summary'!$N$3,'LDD Alt 1'!P58))</f>
        <v>8.4999999999999992E-2</v>
      </c>
      <c r="O57" s="216">
        <f>IF($O$3=0, 'LDD Alt 2'!P58, MIN('LDD Alt 2'!P58, 'Scenario Summary'!$O$3))</f>
        <v>0.08</v>
      </c>
      <c r="P57" s="219"/>
      <c r="Q57" s="219" t="str">
        <f t="shared" si="9"/>
        <v>West Oregon Electric</v>
      </c>
      <c r="R57" s="180">
        <f t="shared" si="17"/>
        <v>185724.94463041241</v>
      </c>
      <c r="S57" s="98">
        <f t="shared" si="18"/>
        <v>238725.14389604743</v>
      </c>
      <c r="T57" s="98">
        <f t="shared" si="19"/>
        <v>238725.14389604743</v>
      </c>
      <c r="U57" s="97">
        <f t="shared" si="13"/>
        <v>53000.199265635019</v>
      </c>
      <c r="V57" s="99">
        <f t="shared" si="14"/>
        <v>0.28536930982051967</v>
      </c>
      <c r="W57" s="180">
        <f t="shared" si="20"/>
        <v>185724.94463041241</v>
      </c>
      <c r="X57" s="98">
        <f t="shared" si="21"/>
        <v>224682.48837275055</v>
      </c>
      <c r="Y57" s="98">
        <f t="shared" si="22"/>
        <v>224682.48837275055</v>
      </c>
      <c r="Z57" s="97">
        <f t="shared" si="10"/>
        <v>38957.543742338137</v>
      </c>
      <c r="AA57" s="99">
        <f t="shared" si="15"/>
        <v>0.20975935041931271</v>
      </c>
    </row>
    <row r="58" spans="2:27" ht="15.75" thickBot="1" x14ac:dyDescent="0.3">
      <c r="B58" s="18">
        <f>'Discount Details'!B58</f>
        <v>10502</v>
      </c>
      <c r="C58" s="3" t="str">
        <f>'Discount Details'!C58</f>
        <v>Yakama Power</v>
      </c>
      <c r="D58" s="93">
        <f>'Discount Details'!R58</f>
        <v>163515.14174950778</v>
      </c>
      <c r="E58" s="91">
        <f>IFERROR(VLOOKUP(B58,'FY 2028 RHWM Values'!B:H,7,FALSE), 0)</f>
        <v>18.882999999999999</v>
      </c>
      <c r="F58" s="92">
        <f>IFERROR(VLOOKUP(B58,'POC CHWM Calculation'!A$4:R$136,17,FALSE), 0)</f>
        <v>18.466597093553176</v>
      </c>
      <c r="G58" s="94">
        <f t="shared" si="11"/>
        <v>161767.39053952583</v>
      </c>
      <c r="H58" s="15">
        <f>'Discount Details'!S58</f>
        <v>35.730446469358398</v>
      </c>
      <c r="I58" s="19">
        <f t="shared" si="16"/>
        <v>5842469.0192103386</v>
      </c>
      <c r="J58" s="19">
        <f t="shared" si="12"/>
        <v>5780021.088160322</v>
      </c>
      <c r="K58" s="215">
        <f t="shared" si="8"/>
        <v>5780021.0881603211</v>
      </c>
      <c r="L58" s="215"/>
      <c r="M58" s="216">
        <f>'Discount Details'!N58</f>
        <v>7.0000000000000007E-2</v>
      </c>
      <c r="N58" s="216">
        <f>IF($N$3=0,'LDD Alt 1'!P59,MIN('Scenario Summary'!$N$3,'LDD Alt 1'!P59))</f>
        <v>0.09</v>
      </c>
      <c r="O58" s="216">
        <f>IF($O$3=0, 'LDD Alt 2'!P59, MIN('LDD Alt 2'!P59, 'Scenario Summary'!$O$3))</f>
        <v>0.08</v>
      </c>
      <c r="P58" s="219"/>
      <c r="Q58" s="219" t="str">
        <f t="shared" si="9"/>
        <v>Yakama Power</v>
      </c>
      <c r="R58" s="236">
        <f t="shared" si="17"/>
        <v>408972.83134472376</v>
      </c>
      <c r="S58" s="237">
        <f t="shared" si="18"/>
        <v>520201.89793442894</v>
      </c>
      <c r="T58" s="237">
        <f t="shared" si="19"/>
        <v>520201.89793442888</v>
      </c>
      <c r="U58" s="238">
        <f t="shared" si="13"/>
        <v>111229.06658970512</v>
      </c>
      <c r="V58" s="239">
        <f t="shared" si="14"/>
        <v>0.27197177432050479</v>
      </c>
      <c r="W58" s="236">
        <f t="shared" si="20"/>
        <v>408972.83134472376</v>
      </c>
      <c r="X58" s="237">
        <f t="shared" si="21"/>
        <v>462401.68705282576</v>
      </c>
      <c r="Y58" s="237">
        <f t="shared" si="22"/>
        <v>462401.6870528257</v>
      </c>
      <c r="Z58" s="97">
        <f t="shared" si="10"/>
        <v>53428.855708101939</v>
      </c>
      <c r="AA58" s="99">
        <f t="shared" si="15"/>
        <v>0.13064157717378211</v>
      </c>
    </row>
    <row r="59" spans="2:27" ht="15.75" thickBot="1" x14ac:dyDescent="0.3">
      <c r="R59" s="240">
        <f>SUM(R6:R58)</f>
        <v>36373097.144906379</v>
      </c>
      <c r="S59" s="241">
        <f>SUM(S6:S58)</f>
        <v>40854228.695914246</v>
      </c>
      <c r="T59" s="241">
        <f>SUM(T6:T58)</f>
        <v>41042620.333870485</v>
      </c>
      <c r="U59" s="242">
        <f t="shared" ref="U59" si="23">S59-R59</f>
        <v>4481131.5510078669</v>
      </c>
      <c r="V59" s="243"/>
      <c r="W59" s="244">
        <f>SUM(W6:W58)</f>
        <v>36373097.144906379</v>
      </c>
      <c r="X59" s="244">
        <f t="shared" ref="X59:Z59" si="24">SUM(X6:X58)</f>
        <v>42411507.728461713</v>
      </c>
      <c r="Y59" s="244">
        <f t="shared" si="24"/>
        <v>42593676.097980984</v>
      </c>
      <c r="Z59" s="244">
        <f t="shared" si="24"/>
        <v>6220578.9530746145</v>
      </c>
      <c r="AA59" s="245"/>
    </row>
    <row r="61" spans="2:27" x14ac:dyDescent="0.25">
      <c r="T61" t="s">
        <v>364</v>
      </c>
      <c r="U61" s="16">
        <f>SUMIF(U6:U58, "&lt;" &amp; 0)</f>
        <v>-646224.11514129373</v>
      </c>
      <c r="Y61" t="s">
        <v>364</v>
      </c>
      <c r="Z61" s="16">
        <f>SUMIF(Z6:Z58, "&lt;" &amp; 0)</f>
        <v>-290483.10976097122</v>
      </c>
    </row>
  </sheetData>
  <phoneticPr fontId="35" type="noConversion"/>
  <conditionalFormatting sqref="U7:V58 V59">
    <cfRule type="cellIs" dxfId="6" priority="4" operator="lessThan">
      <formula>0</formula>
    </cfRule>
  </conditionalFormatting>
  <conditionalFormatting sqref="V7:V59">
    <cfRule type="cellIs" dxfId="5" priority="5" operator="lessThan">
      <formula>0</formula>
    </cfRule>
  </conditionalFormatting>
  <conditionalFormatting sqref="Z6:AA58">
    <cfRule type="cellIs" dxfId="4" priority="1" operator="lessThan">
      <formula>0</formula>
    </cfRule>
  </conditionalFormatting>
  <conditionalFormatting sqref="AA7:AA59">
    <cfRule type="cellIs" dxfId="3" priority="2" operator="lessThan">
      <formula>0</formula>
    </cfRule>
    <cfRule type="cellIs" dxfId="2" priority="3" operator="lessThan">
      <formula>0</formula>
    </cfRule>
  </conditionalFormatting>
  <pageMargins left="0.7" right="0.7" top="0.75" bottom="0.75" header="0.3" footer="0.3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E654A1-51C3-4BD0-B4C7-04CC4BB70682}">
  <dimension ref="A1:Y170"/>
  <sheetViews>
    <sheetView topLeftCell="B1" zoomScaleNormal="100" workbookViewId="0">
      <pane xSplit="2" ySplit="3" topLeftCell="D4" activePane="bottomRight" state="frozen"/>
      <selection activeCell="B1" sqref="B1"/>
      <selection pane="topRight" activeCell="D1" sqref="D1"/>
      <selection pane="bottomLeft" activeCell="B4" sqref="B4"/>
      <selection pane="bottomRight" activeCell="E25" sqref="E25"/>
    </sheetView>
  </sheetViews>
  <sheetFormatPr defaultColWidth="9.140625" defaultRowHeight="15" x14ac:dyDescent="0.25"/>
  <cols>
    <col min="1" max="1" width="9.5703125" customWidth="1"/>
    <col min="3" max="3" width="28.42578125" bestFit="1" customWidth="1"/>
    <col min="4" max="8" width="12.5703125" customWidth="1"/>
    <col min="9" max="9" width="13.5703125" customWidth="1"/>
    <col min="10" max="14" width="12.5703125" customWidth="1"/>
    <col min="15" max="15" width="15" bestFit="1" customWidth="1"/>
    <col min="16" max="16" width="8.42578125" style="186" bestFit="1" customWidth="1"/>
    <col min="17" max="17" width="18" style="186" bestFit="1" customWidth="1"/>
    <col min="18" max="18" width="29.5703125" customWidth="1"/>
    <col min="19" max="19" width="24" customWidth="1"/>
    <col min="20" max="20" width="28.42578125" bestFit="1" customWidth="1"/>
    <col min="21" max="21" width="43.140625" bestFit="1" customWidth="1"/>
    <col min="22" max="23" width="9.85546875" bestFit="1" customWidth="1"/>
  </cols>
  <sheetData>
    <row r="1" spans="1:25" ht="15.75" x14ac:dyDescent="0.25">
      <c r="B1" s="184" t="s">
        <v>314</v>
      </c>
      <c r="C1" s="185"/>
    </row>
    <row r="2" spans="1:25" x14ac:dyDescent="0.25">
      <c r="A2" s="187" t="s">
        <v>105</v>
      </c>
      <c r="B2" s="188"/>
      <c r="C2" s="185"/>
      <c r="D2" s="189" t="s">
        <v>315</v>
      </c>
      <c r="R2" s="207" t="s">
        <v>331</v>
      </c>
      <c r="S2" s="207"/>
      <c r="T2" s="207"/>
      <c r="U2" s="212" t="s">
        <v>336</v>
      </c>
    </row>
    <row r="3" spans="1:25" s="91" customFormat="1" x14ac:dyDescent="0.25">
      <c r="A3" s="190" t="s">
        <v>119</v>
      </c>
      <c r="B3" s="191" t="s">
        <v>59</v>
      </c>
      <c r="C3" s="192" t="s">
        <v>120</v>
      </c>
      <c r="D3" s="193" t="s">
        <v>316</v>
      </c>
      <c r="E3" s="193" t="s">
        <v>317</v>
      </c>
      <c r="F3" s="193" t="s">
        <v>318</v>
      </c>
      <c r="G3" s="193" t="s">
        <v>95</v>
      </c>
      <c r="H3" s="193" t="s">
        <v>319</v>
      </c>
      <c r="I3" s="193" t="s">
        <v>320</v>
      </c>
      <c r="J3" s="193" t="s">
        <v>321</v>
      </c>
      <c r="K3" s="193" t="s">
        <v>322</v>
      </c>
      <c r="L3" s="193" t="s">
        <v>323</v>
      </c>
      <c r="M3" s="193" t="s">
        <v>324</v>
      </c>
      <c r="N3" s="193" t="s">
        <v>325</v>
      </c>
      <c r="O3" s="194" t="s">
        <v>326</v>
      </c>
      <c r="P3" s="195" t="s">
        <v>327</v>
      </c>
      <c r="Q3" s="210" t="s">
        <v>333</v>
      </c>
      <c r="R3" s="208" t="s">
        <v>332</v>
      </c>
      <c r="S3" s="209" t="s">
        <v>329</v>
      </c>
      <c r="T3" s="209" t="s">
        <v>330</v>
      </c>
      <c r="U3" s="212" t="s">
        <v>335</v>
      </c>
      <c r="V3" t="s">
        <v>338</v>
      </c>
      <c r="W3"/>
      <c r="X3"/>
      <c r="Y3"/>
    </row>
    <row r="4" spans="1:25" x14ac:dyDescent="0.25">
      <c r="B4" s="196">
        <v>10005</v>
      </c>
      <c r="C4" s="197" t="s">
        <v>328</v>
      </c>
      <c r="D4" s="198">
        <v>193312.09151999999</v>
      </c>
      <c r="E4" s="198">
        <v>-33972.317760000005</v>
      </c>
      <c r="F4" s="199">
        <v>3931.5674596373428</v>
      </c>
      <c r="G4" s="199">
        <v>11948.385077831197</v>
      </c>
      <c r="H4" s="200">
        <v>0</v>
      </c>
      <c r="I4" s="200">
        <v>0</v>
      </c>
      <c r="J4" s="200">
        <v>-3261.3890661207638</v>
      </c>
      <c r="K4" s="198">
        <v>0</v>
      </c>
      <c r="L4" s="198">
        <v>171958.33723134774</v>
      </c>
      <c r="M4" s="198">
        <v>4813.6320000000005</v>
      </c>
      <c r="N4" s="201">
        <v>35.72319970270842</v>
      </c>
      <c r="O4" s="202">
        <v>-2.1132328260066936E-2</v>
      </c>
      <c r="P4" s="186">
        <v>106</v>
      </c>
      <c r="Q4" s="211">
        <f>D4+E4+F4+G4+H4+I4</f>
        <v>175219.7262974685</v>
      </c>
      <c r="S4" s="14"/>
      <c r="T4" s="203"/>
      <c r="U4" s="203">
        <f>IF(T4&gt;0, T4, D4+E4+F4+G4+H4+I4)</f>
        <v>175219.7262974685</v>
      </c>
      <c r="V4" s="203">
        <f>IF(R4&gt;0, R4, M4)</f>
        <v>4813.6320000000005</v>
      </c>
      <c r="W4" s="203"/>
      <c r="X4" s="203"/>
    </row>
    <row r="5" spans="1:25" x14ac:dyDescent="0.25">
      <c r="B5" s="196">
        <v>10015</v>
      </c>
      <c r="C5" s="197" t="s">
        <v>136</v>
      </c>
      <c r="D5" s="198">
        <v>202031.06472000002</v>
      </c>
      <c r="E5" s="198">
        <v>-35504.574359999999</v>
      </c>
      <c r="F5" s="199">
        <v>2322.7725069005364</v>
      </c>
      <c r="G5" s="199">
        <v>30078.719940598286</v>
      </c>
      <c r="H5" s="200">
        <v>0</v>
      </c>
      <c r="I5" s="200">
        <v>0</v>
      </c>
      <c r="J5" s="200">
        <v>0</v>
      </c>
      <c r="K5" s="198">
        <v>0</v>
      </c>
      <c r="L5" s="198">
        <v>198927.98280749886</v>
      </c>
      <c r="M5" s="198">
        <v>5033.232</v>
      </c>
      <c r="N5" s="201">
        <v>39.522911482621673</v>
      </c>
      <c r="O5" s="202">
        <v>2.710379036168771E-2</v>
      </c>
      <c r="P5" s="186">
        <v>9</v>
      </c>
      <c r="Q5" s="211">
        <f t="shared" ref="Q5:Q68" si="0">D5+E5+F5+G5+H5+I5</f>
        <v>198927.98280749886</v>
      </c>
      <c r="S5" s="14"/>
      <c r="T5" s="203"/>
      <c r="U5" s="203">
        <f t="shared" ref="U5:U68" si="1">IF(T5&gt;0, T5, D5+E5+F5+G5+H5+I5)</f>
        <v>198927.98280749886</v>
      </c>
      <c r="V5" s="203">
        <f t="shared" ref="V5:V68" si="2">IF(R5&gt;0, R5, M5)</f>
        <v>5033.232</v>
      </c>
      <c r="W5" s="203"/>
      <c r="X5" s="203"/>
    </row>
    <row r="6" spans="1:25" x14ac:dyDescent="0.25">
      <c r="B6" s="196">
        <v>10024</v>
      </c>
      <c r="C6" s="197" t="s">
        <v>137</v>
      </c>
      <c r="D6" s="198">
        <v>70862333.67216</v>
      </c>
      <c r="E6" s="198">
        <v>-12453218.512080001</v>
      </c>
      <c r="F6" s="199">
        <v>-1019138.4433696726</v>
      </c>
      <c r="G6" s="199">
        <v>3389052.1608673879</v>
      </c>
      <c r="H6" s="200">
        <v>0</v>
      </c>
      <c r="I6" s="200">
        <v>0</v>
      </c>
      <c r="J6" s="200">
        <v>0</v>
      </c>
      <c r="K6" s="198">
        <v>-3612607.5440000002</v>
      </c>
      <c r="L6" s="198">
        <v>57166421.333577715</v>
      </c>
      <c r="M6" s="198">
        <v>1711907.8910899854</v>
      </c>
      <c r="N6" s="201">
        <v>33.393397875617829</v>
      </c>
      <c r="O6" s="202">
        <v>-9.5813993963908967E-3</v>
      </c>
      <c r="P6" s="186">
        <v>66</v>
      </c>
      <c r="Q6" s="211">
        <f t="shared" si="0"/>
        <v>60779028.877577715</v>
      </c>
      <c r="S6" s="14"/>
      <c r="T6" s="203"/>
      <c r="U6" s="203">
        <f t="shared" si="1"/>
        <v>60779028.877577715</v>
      </c>
      <c r="V6" s="203">
        <f t="shared" si="2"/>
        <v>1711907.8910899854</v>
      </c>
      <c r="W6" s="203"/>
      <c r="X6" s="203"/>
    </row>
    <row r="7" spans="1:25" x14ac:dyDescent="0.25">
      <c r="B7" s="196">
        <v>10025</v>
      </c>
      <c r="C7" s="197" t="s">
        <v>138</v>
      </c>
      <c r="D7" s="198">
        <v>21040875.23976</v>
      </c>
      <c r="E7" s="198">
        <v>-3697685.4058800004</v>
      </c>
      <c r="F7" s="199">
        <v>193389.8999841226</v>
      </c>
      <c r="G7" s="199">
        <v>960566.94925870735</v>
      </c>
      <c r="H7" s="200">
        <v>0</v>
      </c>
      <c r="I7" s="200">
        <v>0</v>
      </c>
      <c r="J7" s="200">
        <v>-1105419.9200836672</v>
      </c>
      <c r="K7" s="198">
        <v>-959162.91549000004</v>
      </c>
      <c r="L7" s="198">
        <v>16432563.847549161</v>
      </c>
      <c r="M7" s="198">
        <v>519652.24540212768</v>
      </c>
      <c r="N7" s="201">
        <v>31.622231969445231</v>
      </c>
      <c r="O7" s="202">
        <v>3.4379595876419299E-3</v>
      </c>
      <c r="P7" s="186">
        <v>24</v>
      </c>
      <c r="Q7" s="211">
        <f t="shared" si="0"/>
        <v>18497146.683122829</v>
      </c>
      <c r="S7" s="14"/>
      <c r="T7" s="203"/>
      <c r="U7" s="203">
        <f t="shared" si="1"/>
        <v>18497146.683122829</v>
      </c>
      <c r="V7" s="203">
        <f t="shared" si="2"/>
        <v>519652.24540212768</v>
      </c>
      <c r="W7" s="203"/>
      <c r="X7" s="203"/>
    </row>
    <row r="8" spans="1:25" x14ac:dyDescent="0.25">
      <c r="B8" s="196">
        <v>10027</v>
      </c>
      <c r="C8" s="197" t="s">
        <v>139</v>
      </c>
      <c r="D8" s="198">
        <v>21582198.918720003</v>
      </c>
      <c r="E8" s="198">
        <v>-3792816.6513600005</v>
      </c>
      <c r="F8" s="199">
        <v>-382746.72654391848</v>
      </c>
      <c r="G8" s="199">
        <v>1294239.7322166399</v>
      </c>
      <c r="H8" s="200">
        <v>0</v>
      </c>
      <c r="I8" s="200">
        <v>0</v>
      </c>
      <c r="J8" s="200">
        <v>-1450184.2091445453</v>
      </c>
      <c r="K8" s="198">
        <v>-2425876.5778000001</v>
      </c>
      <c r="L8" s="198">
        <v>14824814.486088181</v>
      </c>
      <c r="M8" s="198">
        <v>537528.09600000002</v>
      </c>
      <c r="N8" s="201">
        <v>27.5796085756384</v>
      </c>
      <c r="O8" s="202">
        <v>3.193333782240427E-3</v>
      </c>
      <c r="P8" s="186">
        <v>26</v>
      </c>
      <c r="Q8" s="211">
        <f t="shared" si="0"/>
        <v>18700875.273032725</v>
      </c>
      <c r="S8" s="14"/>
      <c r="T8" s="203"/>
      <c r="U8" s="203">
        <f t="shared" si="1"/>
        <v>18700875.273032725</v>
      </c>
      <c r="V8" s="203">
        <f t="shared" si="2"/>
        <v>537528.09600000002</v>
      </c>
      <c r="W8" s="203"/>
      <c r="X8" s="203"/>
    </row>
    <row r="9" spans="1:25" x14ac:dyDescent="0.25">
      <c r="B9" s="196">
        <v>10029</v>
      </c>
      <c r="C9" s="197" t="s">
        <v>79</v>
      </c>
      <c r="D9" s="198">
        <v>6212891.1888000006</v>
      </c>
      <c r="E9" s="198">
        <v>-1091842.2744</v>
      </c>
      <c r="F9" s="199">
        <v>0</v>
      </c>
      <c r="G9" s="199">
        <v>0</v>
      </c>
      <c r="H9" s="200">
        <v>0</v>
      </c>
      <c r="I9" s="200">
        <v>0</v>
      </c>
      <c r="J9" s="200">
        <v>-409641.76101232087</v>
      </c>
      <c r="K9" s="198">
        <v>0</v>
      </c>
      <c r="L9" s="198" t="s">
        <v>249</v>
      </c>
      <c r="M9" s="198" t="s">
        <v>249</v>
      </c>
      <c r="N9" s="201" t="s">
        <v>249</v>
      </c>
      <c r="O9" s="202" t="s">
        <v>249</v>
      </c>
      <c r="P9" s="186" t="s">
        <v>249</v>
      </c>
      <c r="Q9" s="211">
        <f t="shared" si="0"/>
        <v>5121048.9144000001</v>
      </c>
      <c r="S9" s="14"/>
      <c r="T9" s="203"/>
      <c r="U9" s="203">
        <f t="shared" si="1"/>
        <v>5121048.9144000001</v>
      </c>
      <c r="V9" s="203" t="str">
        <f t="shared" si="2"/>
        <v/>
      </c>
      <c r="W9" s="203"/>
      <c r="X9" s="203"/>
    </row>
    <row r="10" spans="1:25" x14ac:dyDescent="0.25">
      <c r="B10" s="196">
        <v>10044</v>
      </c>
      <c r="C10" s="197" t="s">
        <v>140</v>
      </c>
      <c r="D10" s="198">
        <v>7162761.0405599996</v>
      </c>
      <c r="E10" s="198">
        <v>-1258770.68628</v>
      </c>
      <c r="F10" s="199">
        <v>260238.4022747493</v>
      </c>
      <c r="G10" s="199">
        <v>295574.41056952463</v>
      </c>
      <c r="H10" s="200">
        <v>0</v>
      </c>
      <c r="I10" s="200">
        <v>0</v>
      </c>
      <c r="J10" s="200">
        <v>0</v>
      </c>
      <c r="K10" s="198">
        <v>0</v>
      </c>
      <c r="L10" s="198">
        <v>6459803.1671242733</v>
      </c>
      <c r="M10" s="198">
        <v>178392.2208177353</v>
      </c>
      <c r="N10" s="201">
        <v>36.211238009780168</v>
      </c>
      <c r="O10" s="202">
        <v>1.7972770678642087E-3</v>
      </c>
      <c r="P10" s="186">
        <v>29</v>
      </c>
      <c r="Q10" s="211">
        <f t="shared" si="0"/>
        <v>6459803.1671242733</v>
      </c>
      <c r="S10" s="14"/>
      <c r="T10" s="203"/>
      <c r="U10" s="203">
        <f t="shared" si="1"/>
        <v>6459803.1671242733</v>
      </c>
      <c r="V10" s="203">
        <f t="shared" si="2"/>
        <v>178392.2208177353</v>
      </c>
      <c r="W10" s="203"/>
      <c r="X10" s="203"/>
    </row>
    <row r="11" spans="1:25" x14ac:dyDescent="0.25">
      <c r="B11" s="196">
        <v>10046</v>
      </c>
      <c r="C11" s="197" t="s">
        <v>80</v>
      </c>
      <c r="D11" s="198">
        <v>28867523.811120003</v>
      </c>
      <c r="E11" s="198">
        <v>-5073126.4875600003</v>
      </c>
      <c r="F11" s="199">
        <v>0</v>
      </c>
      <c r="G11" s="199">
        <v>0</v>
      </c>
      <c r="H11" s="200">
        <v>0</v>
      </c>
      <c r="I11" s="200">
        <v>0</v>
      </c>
      <c r="J11" s="200">
        <v>-1868392.6139223569</v>
      </c>
      <c r="K11" s="198">
        <v>-475358.73749000003</v>
      </c>
      <c r="L11" s="198" t="s">
        <v>249</v>
      </c>
      <c r="M11" s="198" t="s">
        <v>249</v>
      </c>
      <c r="N11" s="201" t="s">
        <v>249</v>
      </c>
      <c r="O11" s="202" t="s">
        <v>249</v>
      </c>
      <c r="P11" s="186" t="s">
        <v>249</v>
      </c>
      <c r="Q11" s="211">
        <f t="shared" si="0"/>
        <v>23794397.323560003</v>
      </c>
      <c r="S11" s="14"/>
      <c r="T11" s="203"/>
      <c r="U11" s="203">
        <f t="shared" si="1"/>
        <v>23794397.323560003</v>
      </c>
      <c r="V11" s="203" t="str">
        <f t="shared" si="2"/>
        <v/>
      </c>
      <c r="W11" s="203"/>
      <c r="X11" s="203"/>
    </row>
    <row r="12" spans="1:25" x14ac:dyDescent="0.25">
      <c r="B12" s="196">
        <v>10047</v>
      </c>
      <c r="C12" s="197" t="s">
        <v>141</v>
      </c>
      <c r="D12" s="198">
        <v>53718341.225760005</v>
      </c>
      <c r="E12" s="198">
        <v>-9440364.2488800008</v>
      </c>
      <c r="F12" s="199">
        <v>749064.11516524246</v>
      </c>
      <c r="G12" s="199">
        <v>1075907.9000328784</v>
      </c>
      <c r="H12" s="200">
        <v>28.870806628647262</v>
      </c>
      <c r="I12" s="200">
        <v>0</v>
      </c>
      <c r="J12" s="200">
        <v>0</v>
      </c>
      <c r="K12" s="198">
        <v>0</v>
      </c>
      <c r="L12" s="198">
        <v>46102977.862884752</v>
      </c>
      <c r="M12" s="198">
        <v>1337913.1021327446</v>
      </c>
      <c r="N12" s="201">
        <v>34.458873143100831</v>
      </c>
      <c r="O12" s="202">
        <v>-1.9192562946687065E-2</v>
      </c>
      <c r="P12" s="186">
        <v>98</v>
      </c>
      <c r="Q12" s="211">
        <f t="shared" si="0"/>
        <v>46102977.862884752</v>
      </c>
      <c r="S12" s="14"/>
      <c r="T12" s="203"/>
      <c r="U12" s="203">
        <f t="shared" si="1"/>
        <v>46102977.862884752</v>
      </c>
      <c r="V12" s="203">
        <f t="shared" si="2"/>
        <v>1337913.1021327446</v>
      </c>
      <c r="W12" s="203"/>
      <c r="X12" s="203"/>
    </row>
    <row r="13" spans="1:25" x14ac:dyDescent="0.25">
      <c r="B13" s="196">
        <v>10055</v>
      </c>
      <c r="C13" s="197" t="s">
        <v>142</v>
      </c>
      <c r="D13" s="198">
        <v>138008.89008000001</v>
      </c>
      <c r="E13" s="198">
        <v>-24253.433039999996</v>
      </c>
      <c r="F13" s="199">
        <v>4890.1443686349621</v>
      </c>
      <c r="G13" s="199">
        <v>7816.5149948717981</v>
      </c>
      <c r="H13" s="200">
        <v>24.604773963739905</v>
      </c>
      <c r="I13" s="200">
        <v>0</v>
      </c>
      <c r="J13" s="200">
        <v>0</v>
      </c>
      <c r="K13" s="198">
        <v>0</v>
      </c>
      <c r="L13" s="198">
        <v>126486.72117747052</v>
      </c>
      <c r="M13" s="198">
        <v>3430.8880157557596</v>
      </c>
      <c r="N13" s="201">
        <v>36.867050336997927</v>
      </c>
      <c r="O13" s="202">
        <v>-7.0531339800195643E-3</v>
      </c>
      <c r="P13" s="186">
        <v>56</v>
      </c>
      <c r="Q13" s="211">
        <f t="shared" si="0"/>
        <v>126486.72117747052</v>
      </c>
      <c r="S13" s="14"/>
      <c r="T13" s="203"/>
      <c r="U13" s="203">
        <f t="shared" si="1"/>
        <v>126486.72117747052</v>
      </c>
      <c r="V13" s="203">
        <f t="shared" si="2"/>
        <v>3430.8880157557596</v>
      </c>
      <c r="W13" s="203"/>
      <c r="X13" s="203"/>
    </row>
    <row r="14" spans="1:25" x14ac:dyDescent="0.25">
      <c r="B14" s="196">
        <v>10057</v>
      </c>
      <c r="C14" s="197" t="s">
        <v>143</v>
      </c>
      <c r="D14" s="198">
        <v>7051656.4106399994</v>
      </c>
      <c r="E14" s="198">
        <v>-1239245.35932</v>
      </c>
      <c r="F14" s="199">
        <v>305545.96400667884</v>
      </c>
      <c r="G14" s="199">
        <v>120542.63681741449</v>
      </c>
      <c r="H14" s="200">
        <v>2.1212620062695353</v>
      </c>
      <c r="I14" s="200">
        <v>0</v>
      </c>
      <c r="J14" s="200">
        <v>0</v>
      </c>
      <c r="K14" s="198">
        <v>0</v>
      </c>
      <c r="L14" s="198">
        <v>6238501.7734060995</v>
      </c>
      <c r="M14" s="198">
        <v>175626.98080505108</v>
      </c>
      <c r="N14" s="201">
        <v>35.521317651818784</v>
      </c>
      <c r="O14" s="202">
        <v>6.3751155341267539E-3</v>
      </c>
      <c r="P14" s="186">
        <v>19</v>
      </c>
      <c r="Q14" s="211">
        <f t="shared" si="0"/>
        <v>6238501.7734060995</v>
      </c>
      <c r="S14" s="14"/>
      <c r="T14" s="203"/>
      <c r="U14" s="203">
        <f t="shared" si="1"/>
        <v>6238501.7734060995</v>
      </c>
      <c r="V14" s="203">
        <f t="shared" si="2"/>
        <v>175626.98080505108</v>
      </c>
      <c r="W14" s="203"/>
      <c r="X14" s="203"/>
    </row>
    <row r="15" spans="1:25" x14ac:dyDescent="0.25">
      <c r="B15" s="196">
        <v>10059</v>
      </c>
      <c r="C15" s="197" t="s">
        <v>144</v>
      </c>
      <c r="D15" s="198">
        <v>2681707.0427999999</v>
      </c>
      <c r="E15" s="198">
        <v>-471278.35140000004</v>
      </c>
      <c r="F15" s="199">
        <v>51709.094611886801</v>
      </c>
      <c r="G15" s="199">
        <v>101047.72091757478</v>
      </c>
      <c r="H15" s="200">
        <v>-20.764110433828755</v>
      </c>
      <c r="I15" s="200">
        <v>0</v>
      </c>
      <c r="J15" s="200">
        <v>0</v>
      </c>
      <c r="K15" s="198">
        <v>0</v>
      </c>
      <c r="L15" s="198">
        <v>2363164.7428190275</v>
      </c>
      <c r="M15" s="198">
        <v>66796.621306156594</v>
      </c>
      <c r="N15" s="201">
        <v>35.378507125198212</v>
      </c>
      <c r="O15" s="202">
        <v>-1.99484414332044E-2</v>
      </c>
      <c r="P15" s="186">
        <v>102</v>
      </c>
      <c r="Q15" s="211">
        <f t="shared" si="0"/>
        <v>2363164.7428190275</v>
      </c>
      <c r="S15" s="14"/>
      <c r="T15" s="203"/>
      <c r="U15" s="203">
        <f t="shared" si="1"/>
        <v>2363164.7428190275</v>
      </c>
      <c r="V15" s="203">
        <f t="shared" si="2"/>
        <v>66796.621306156594</v>
      </c>
      <c r="W15" s="203"/>
      <c r="X15" s="203"/>
    </row>
    <row r="16" spans="1:25" x14ac:dyDescent="0.25">
      <c r="B16" s="196">
        <v>10061</v>
      </c>
      <c r="C16" s="197" t="s">
        <v>145</v>
      </c>
      <c r="D16" s="198">
        <v>3085021.8316799998</v>
      </c>
      <c r="E16" s="198">
        <v>-542156.16384000005</v>
      </c>
      <c r="F16" s="199">
        <v>67744.688194523449</v>
      </c>
      <c r="G16" s="199">
        <v>126980.79254639422</v>
      </c>
      <c r="H16" s="200">
        <v>0</v>
      </c>
      <c r="I16" s="200">
        <v>0</v>
      </c>
      <c r="J16" s="200">
        <v>0</v>
      </c>
      <c r="K16" s="198">
        <v>0</v>
      </c>
      <c r="L16" s="198">
        <v>2737591.1485809176</v>
      </c>
      <c r="M16" s="198">
        <v>76833.648000000001</v>
      </c>
      <c r="N16" s="201">
        <v>35.630107639571108</v>
      </c>
      <c r="O16" s="202">
        <v>-1.2086716759727762E-2</v>
      </c>
      <c r="P16" s="186">
        <v>75</v>
      </c>
      <c r="Q16" s="211">
        <f t="shared" si="0"/>
        <v>2737591.1485809176</v>
      </c>
      <c r="S16" s="14"/>
      <c r="T16" s="203"/>
      <c r="U16" s="203">
        <f t="shared" si="1"/>
        <v>2737591.1485809176</v>
      </c>
      <c r="V16" s="203">
        <f t="shared" si="2"/>
        <v>76833.648000000001</v>
      </c>
      <c r="W16" s="203"/>
      <c r="X16" s="203"/>
    </row>
    <row r="17" spans="2:24" x14ac:dyDescent="0.25">
      <c r="B17" s="196">
        <v>10062</v>
      </c>
      <c r="C17" s="197" t="s">
        <v>146</v>
      </c>
      <c r="D17" s="198">
        <v>1876323.0326399999</v>
      </c>
      <c r="E17" s="198">
        <v>-329741.62031999999</v>
      </c>
      <c r="F17" s="199">
        <v>243247.46309786738</v>
      </c>
      <c r="G17" s="199">
        <v>86113.7783560096</v>
      </c>
      <c r="H17" s="200">
        <v>0</v>
      </c>
      <c r="I17" s="200">
        <v>0</v>
      </c>
      <c r="J17" s="200">
        <v>0</v>
      </c>
      <c r="K17" s="198">
        <v>0</v>
      </c>
      <c r="L17" s="198">
        <v>1875942.6537738768</v>
      </c>
      <c r="M17" s="198">
        <v>46727.460214210078</v>
      </c>
      <c r="N17" s="201">
        <v>40.146471585960334</v>
      </c>
      <c r="O17" s="202">
        <v>3.7186625929803929E-2</v>
      </c>
      <c r="P17" s="186">
        <v>4</v>
      </c>
      <c r="Q17" s="211">
        <f t="shared" si="0"/>
        <v>1875942.6537738768</v>
      </c>
      <c r="S17" s="14"/>
      <c r="T17" s="203"/>
      <c r="U17" s="203">
        <f t="shared" si="1"/>
        <v>1875942.6537738768</v>
      </c>
      <c r="V17" s="203">
        <f t="shared" si="2"/>
        <v>46727.460214210078</v>
      </c>
      <c r="W17" s="203"/>
      <c r="X17" s="203"/>
    </row>
    <row r="18" spans="2:24" x14ac:dyDescent="0.25">
      <c r="B18" s="196">
        <v>10064</v>
      </c>
      <c r="C18" s="197" t="s">
        <v>147</v>
      </c>
      <c r="D18" s="198">
        <v>4960099.29672</v>
      </c>
      <c r="E18" s="198">
        <v>-871678.89036000008</v>
      </c>
      <c r="F18" s="199">
        <v>192404.46005972417</v>
      </c>
      <c r="G18" s="199">
        <v>276584.74909666134</v>
      </c>
      <c r="H18" s="200">
        <v>0</v>
      </c>
      <c r="I18" s="200">
        <v>0</v>
      </c>
      <c r="J18" s="200">
        <v>0</v>
      </c>
      <c r="K18" s="198">
        <v>0</v>
      </c>
      <c r="L18" s="198">
        <v>4557409.6155163851</v>
      </c>
      <c r="M18" s="198">
        <v>123538.17600000001</v>
      </c>
      <c r="N18" s="201">
        <v>36.89069859276848</v>
      </c>
      <c r="O18" s="202">
        <v>8.8224352334250779E-4</v>
      </c>
      <c r="P18" s="186">
        <v>32</v>
      </c>
      <c r="Q18" s="211">
        <f t="shared" si="0"/>
        <v>4557409.6155163851</v>
      </c>
      <c r="S18" s="14"/>
      <c r="T18" s="203"/>
      <c r="U18" s="203">
        <f t="shared" si="1"/>
        <v>4557409.6155163851</v>
      </c>
      <c r="V18" s="203">
        <f t="shared" si="2"/>
        <v>123538.17600000001</v>
      </c>
      <c r="W18" s="203"/>
      <c r="X18" s="203"/>
    </row>
    <row r="19" spans="2:24" x14ac:dyDescent="0.25">
      <c r="B19" s="196">
        <v>10065</v>
      </c>
      <c r="C19" s="197" t="s">
        <v>148</v>
      </c>
      <c r="D19" s="198">
        <v>838765.22184000001</v>
      </c>
      <c r="E19" s="198">
        <v>-147403.08491999999</v>
      </c>
      <c r="F19" s="199">
        <v>3379.762395826624</v>
      </c>
      <c r="G19" s="199">
        <v>8987.1702624999907</v>
      </c>
      <c r="H19" s="200">
        <v>0</v>
      </c>
      <c r="I19" s="200">
        <v>0</v>
      </c>
      <c r="J19" s="200">
        <v>-53362.668556082361</v>
      </c>
      <c r="K19" s="198">
        <v>0</v>
      </c>
      <c r="L19" s="198">
        <v>650366.40102224413</v>
      </c>
      <c r="M19" s="198">
        <v>20888.352000000003</v>
      </c>
      <c r="N19" s="201">
        <v>31.135361996113627</v>
      </c>
      <c r="O19" s="202">
        <v>-2.8802653919038464E-2</v>
      </c>
      <c r="P19" s="186">
        <v>115</v>
      </c>
      <c r="Q19" s="211">
        <f t="shared" si="0"/>
        <v>703729.06957832654</v>
      </c>
      <c r="S19" s="14"/>
      <c r="T19" s="203"/>
      <c r="U19" s="203">
        <f t="shared" si="1"/>
        <v>703729.06957832654</v>
      </c>
      <c r="V19" s="203">
        <f t="shared" si="2"/>
        <v>20888.352000000003</v>
      </c>
      <c r="W19" s="203"/>
      <c r="X19" s="203"/>
    </row>
    <row r="20" spans="2:24" x14ac:dyDescent="0.25">
      <c r="B20" s="196">
        <v>10066</v>
      </c>
      <c r="C20" s="197" t="s">
        <v>149</v>
      </c>
      <c r="D20" s="198">
        <v>8595163.7805599999</v>
      </c>
      <c r="E20" s="198">
        <v>-1510498.5562799999</v>
      </c>
      <c r="F20" s="199">
        <v>291063.15010667971</v>
      </c>
      <c r="G20" s="199">
        <v>363367.30899882468</v>
      </c>
      <c r="H20" s="200">
        <v>0</v>
      </c>
      <c r="I20" s="200">
        <v>0</v>
      </c>
      <c r="J20" s="200">
        <v>0</v>
      </c>
      <c r="K20" s="198">
        <v>0</v>
      </c>
      <c r="L20" s="198">
        <v>7739095.6833855044</v>
      </c>
      <c r="M20" s="198">
        <v>214074.864</v>
      </c>
      <c r="N20" s="201">
        <v>36.151351628958665</v>
      </c>
      <c r="O20" s="202">
        <v>-1.6449468158857027E-2</v>
      </c>
      <c r="P20" s="186">
        <v>92</v>
      </c>
      <c r="Q20" s="211">
        <f t="shared" si="0"/>
        <v>7739095.6833855044</v>
      </c>
      <c r="S20" s="14"/>
      <c r="T20" s="203"/>
      <c r="U20" s="203">
        <f t="shared" si="1"/>
        <v>7739095.6833855044</v>
      </c>
      <c r="V20" s="203">
        <f t="shared" si="2"/>
        <v>214074.864</v>
      </c>
      <c r="W20" s="203"/>
      <c r="X20" s="203"/>
    </row>
    <row r="21" spans="2:24" x14ac:dyDescent="0.25">
      <c r="B21" s="196">
        <v>10067</v>
      </c>
      <c r="C21" s="197" t="s">
        <v>150</v>
      </c>
      <c r="D21" s="198">
        <v>5578399.0533600003</v>
      </c>
      <c r="E21" s="198">
        <v>-980337.77267999994</v>
      </c>
      <c r="F21" s="199">
        <v>150909.59391930065</v>
      </c>
      <c r="G21" s="199">
        <v>522584.56241017632</v>
      </c>
      <c r="H21" s="200">
        <v>0</v>
      </c>
      <c r="I21" s="200">
        <v>0</v>
      </c>
      <c r="J21" s="200">
        <v>0</v>
      </c>
      <c r="K21" s="198">
        <v>0</v>
      </c>
      <c r="L21" s="198">
        <v>5271555.437009478</v>
      </c>
      <c r="M21" s="198">
        <v>138933.45363685692</v>
      </c>
      <c r="N21" s="201">
        <v>37.94302451293138</v>
      </c>
      <c r="O21" s="202">
        <v>-1.2000527104070789E-2</v>
      </c>
      <c r="P21" s="186">
        <v>74</v>
      </c>
      <c r="Q21" s="211">
        <f t="shared" si="0"/>
        <v>5271555.437009478</v>
      </c>
      <c r="S21" s="14"/>
      <c r="T21" s="203"/>
      <c r="U21" s="203">
        <f t="shared" si="1"/>
        <v>5271555.437009478</v>
      </c>
      <c r="V21" s="203">
        <f t="shared" si="2"/>
        <v>138933.45363685692</v>
      </c>
      <c r="W21" s="203"/>
      <c r="X21" s="203"/>
    </row>
    <row r="22" spans="2:24" x14ac:dyDescent="0.25">
      <c r="B22" s="196">
        <v>10068</v>
      </c>
      <c r="C22" s="197" t="s">
        <v>151</v>
      </c>
      <c r="D22" s="198">
        <v>889584.37992000009</v>
      </c>
      <c r="E22" s="198">
        <v>-156333.95196000001</v>
      </c>
      <c r="F22" s="199">
        <v>30498.633221526081</v>
      </c>
      <c r="G22" s="199">
        <v>47626.154299278838</v>
      </c>
      <c r="H22" s="200">
        <v>3.3845065063267978</v>
      </c>
      <c r="I22" s="200">
        <v>0</v>
      </c>
      <c r="J22" s="200">
        <v>0</v>
      </c>
      <c r="K22" s="198">
        <v>0</v>
      </c>
      <c r="L22" s="198">
        <v>811378.59998731141</v>
      </c>
      <c r="M22" s="198">
        <v>22152.745101559238</v>
      </c>
      <c r="N22" s="201">
        <v>36.62654882126558</v>
      </c>
      <c r="O22" s="202">
        <v>-1.3008933849059559E-3</v>
      </c>
      <c r="P22" s="186">
        <v>36</v>
      </c>
      <c r="Q22" s="211">
        <f t="shared" si="0"/>
        <v>811378.59998731141</v>
      </c>
      <c r="S22" s="14"/>
      <c r="T22" s="203"/>
      <c r="U22" s="203">
        <f t="shared" si="1"/>
        <v>811378.59998731141</v>
      </c>
      <c r="V22" s="203">
        <f t="shared" si="2"/>
        <v>22152.745101559238</v>
      </c>
      <c r="W22" s="203"/>
      <c r="X22" s="203"/>
    </row>
    <row r="23" spans="2:24" x14ac:dyDescent="0.25">
      <c r="B23" s="196">
        <v>10070</v>
      </c>
      <c r="C23" s="197" t="s">
        <v>152</v>
      </c>
      <c r="D23" s="198">
        <v>126549.66816000002</v>
      </c>
      <c r="E23" s="198">
        <v>-22239.610079999999</v>
      </c>
      <c r="F23" s="199">
        <v>4197.6496873662072</v>
      </c>
      <c r="G23" s="199">
        <v>6882.8899819444441</v>
      </c>
      <c r="H23" s="200">
        <v>0</v>
      </c>
      <c r="I23" s="200">
        <v>0</v>
      </c>
      <c r="J23" s="200">
        <v>0</v>
      </c>
      <c r="K23" s="198">
        <v>0</v>
      </c>
      <c r="L23" s="198">
        <v>115390.59774931068</v>
      </c>
      <c r="M23" s="198">
        <v>3153.4559999999997</v>
      </c>
      <c r="N23" s="201">
        <v>36.591789373091203</v>
      </c>
      <c r="O23" s="202">
        <v>-4.7369000476230735E-3</v>
      </c>
      <c r="P23" s="186">
        <v>42</v>
      </c>
      <c r="Q23" s="211">
        <f t="shared" si="0"/>
        <v>115390.59774931068</v>
      </c>
      <c r="S23" s="14"/>
      <c r="T23" s="203"/>
      <c r="U23" s="203">
        <f t="shared" si="1"/>
        <v>115390.59774931068</v>
      </c>
      <c r="V23" s="203">
        <f t="shared" si="2"/>
        <v>3153.4559999999997</v>
      </c>
      <c r="W23" s="203"/>
      <c r="X23" s="203"/>
    </row>
    <row r="24" spans="2:24" x14ac:dyDescent="0.25">
      <c r="B24" s="196">
        <v>10071</v>
      </c>
      <c r="C24" s="197" t="s">
        <v>153</v>
      </c>
      <c r="D24" s="198">
        <v>657659.69280000008</v>
      </c>
      <c r="E24" s="198">
        <v>-115575.92640000003</v>
      </c>
      <c r="F24" s="199">
        <v>18519.83202490296</v>
      </c>
      <c r="G24" s="199">
        <v>18809.565260683761</v>
      </c>
      <c r="H24" s="200">
        <v>16.313014700827154</v>
      </c>
      <c r="I24" s="200">
        <v>0</v>
      </c>
      <c r="J24" s="200">
        <v>0</v>
      </c>
      <c r="K24" s="198">
        <v>0</v>
      </c>
      <c r="L24" s="198">
        <v>579429.47670028755</v>
      </c>
      <c r="M24" s="198">
        <v>16379.736075081601</v>
      </c>
      <c r="N24" s="201">
        <v>35.374774907501127</v>
      </c>
      <c r="O24" s="202">
        <v>-1.135473143507615E-2</v>
      </c>
      <c r="P24" s="186">
        <v>72</v>
      </c>
      <c r="Q24" s="211">
        <f t="shared" si="0"/>
        <v>579429.47670028755</v>
      </c>
      <c r="S24" s="14"/>
      <c r="T24" s="203"/>
      <c r="U24" s="203">
        <f t="shared" si="1"/>
        <v>579429.47670028755</v>
      </c>
      <c r="V24" s="203">
        <f t="shared" si="2"/>
        <v>16379.736075081601</v>
      </c>
      <c r="W24" s="203"/>
      <c r="X24" s="203"/>
    </row>
    <row r="25" spans="2:24" x14ac:dyDescent="0.25">
      <c r="B25" s="196">
        <v>10072</v>
      </c>
      <c r="C25" s="197" t="s">
        <v>154</v>
      </c>
      <c r="D25" s="198">
        <v>8458151.344560001</v>
      </c>
      <c r="E25" s="198">
        <v>-1486420.2382799999</v>
      </c>
      <c r="F25" s="199">
        <v>254314.43089187783</v>
      </c>
      <c r="G25" s="199">
        <v>277675.74317657592</v>
      </c>
      <c r="H25" s="200">
        <v>0</v>
      </c>
      <c r="I25" s="200">
        <v>0</v>
      </c>
      <c r="J25" s="200">
        <v>0</v>
      </c>
      <c r="K25" s="198">
        <v>0</v>
      </c>
      <c r="L25" s="198">
        <v>7503721.2803484546</v>
      </c>
      <c r="M25" s="198">
        <v>210657.88800000001</v>
      </c>
      <c r="N25" s="201">
        <v>35.620414462469377</v>
      </c>
      <c r="O25" s="202">
        <v>-5.1296497190115855E-3</v>
      </c>
      <c r="P25" s="186">
        <v>44</v>
      </c>
      <c r="Q25" s="211">
        <f t="shared" si="0"/>
        <v>7503721.2803484546</v>
      </c>
      <c r="S25" s="14"/>
      <c r="T25" s="203"/>
      <c r="U25" s="203">
        <f t="shared" si="1"/>
        <v>7503721.2803484546</v>
      </c>
      <c r="V25" s="203">
        <f t="shared" si="2"/>
        <v>210657.88800000001</v>
      </c>
      <c r="W25" s="203"/>
      <c r="X25" s="203"/>
    </row>
    <row r="26" spans="2:24" x14ac:dyDescent="0.25">
      <c r="B26" s="196">
        <v>10074</v>
      </c>
      <c r="C26" s="197" t="s">
        <v>155</v>
      </c>
      <c r="D26" s="198">
        <v>9410263.2180000003</v>
      </c>
      <c r="E26" s="198">
        <v>-1653742.659</v>
      </c>
      <c r="F26" s="199">
        <v>307580.37447280786</v>
      </c>
      <c r="G26" s="199">
        <v>421627.92201490368</v>
      </c>
      <c r="H26" s="200">
        <v>0</v>
      </c>
      <c r="I26" s="200">
        <v>0</v>
      </c>
      <c r="J26" s="200">
        <v>0</v>
      </c>
      <c r="K26" s="198">
        <v>0</v>
      </c>
      <c r="L26" s="198">
        <v>8485728.8554877117</v>
      </c>
      <c r="M26" s="198">
        <v>234368.79007432098</v>
      </c>
      <c r="N26" s="201">
        <v>36.206735772270669</v>
      </c>
      <c r="O26" s="202">
        <v>-4.4840506629215422E-3</v>
      </c>
      <c r="P26" s="186">
        <v>39</v>
      </c>
      <c r="Q26" s="211">
        <f t="shared" si="0"/>
        <v>8485728.8554877117</v>
      </c>
      <c r="S26" s="14"/>
      <c r="T26" s="203"/>
      <c r="U26" s="203">
        <f t="shared" si="1"/>
        <v>8485728.8554877117</v>
      </c>
      <c r="V26" s="203">
        <f t="shared" si="2"/>
        <v>234368.79007432098</v>
      </c>
      <c r="W26" s="203"/>
      <c r="X26" s="203"/>
    </row>
    <row r="27" spans="2:24" x14ac:dyDescent="0.25">
      <c r="B27" s="196">
        <v>10076</v>
      </c>
      <c r="C27" s="197" t="s">
        <v>156</v>
      </c>
      <c r="D27" s="198">
        <v>1698954.2063999996</v>
      </c>
      <c r="E27" s="198">
        <v>-298571.14319999999</v>
      </c>
      <c r="F27" s="199">
        <v>36497.267190372077</v>
      </c>
      <c r="G27" s="199">
        <v>50261.956292254261</v>
      </c>
      <c r="H27" s="200">
        <v>0</v>
      </c>
      <c r="I27" s="200">
        <v>0</v>
      </c>
      <c r="J27" s="200">
        <v>0</v>
      </c>
      <c r="K27" s="198">
        <v>0</v>
      </c>
      <c r="L27" s="198">
        <v>1487142.2866826258</v>
      </c>
      <c r="M27" s="198">
        <v>42312.527999999998</v>
      </c>
      <c r="N27" s="201">
        <v>35.146618672432567</v>
      </c>
      <c r="O27" s="202">
        <v>-1.2881409605443008E-2</v>
      </c>
      <c r="P27" s="186">
        <v>80</v>
      </c>
      <c r="Q27" s="211">
        <f t="shared" si="0"/>
        <v>1487142.2866826258</v>
      </c>
      <c r="S27" s="14"/>
      <c r="T27" s="203"/>
      <c r="U27" s="203">
        <f t="shared" si="1"/>
        <v>1487142.2866826258</v>
      </c>
      <c r="V27" s="203">
        <f t="shared" si="2"/>
        <v>42312.527999999998</v>
      </c>
      <c r="W27" s="203"/>
      <c r="X27" s="203"/>
    </row>
    <row r="28" spans="2:24" x14ac:dyDescent="0.25">
      <c r="B28" s="196">
        <v>10078</v>
      </c>
      <c r="C28" s="197" t="s">
        <v>157</v>
      </c>
      <c r="D28" s="198">
        <v>1311333.5692799999</v>
      </c>
      <c r="E28" s="198">
        <v>-230451.39263999998</v>
      </c>
      <c r="F28" s="199">
        <v>51367.803071388742</v>
      </c>
      <c r="G28" s="199">
        <v>126756.9448877137</v>
      </c>
      <c r="H28" s="200">
        <v>0</v>
      </c>
      <c r="I28" s="200">
        <v>0</v>
      </c>
      <c r="J28" s="200">
        <v>0</v>
      </c>
      <c r="K28" s="198">
        <v>0</v>
      </c>
      <c r="L28" s="198">
        <v>1259006.9245991025</v>
      </c>
      <c r="M28" s="198">
        <v>32658.912</v>
      </c>
      <c r="N28" s="201">
        <v>38.550179644658783</v>
      </c>
      <c r="O28" s="202">
        <v>-9.4554475727437314E-3</v>
      </c>
      <c r="P28" s="186">
        <v>65</v>
      </c>
      <c r="Q28" s="211">
        <f t="shared" si="0"/>
        <v>1259006.9245991025</v>
      </c>
      <c r="S28" s="14"/>
      <c r="T28" s="203"/>
      <c r="U28" s="203">
        <f t="shared" si="1"/>
        <v>1259006.9245991025</v>
      </c>
      <c r="V28" s="203">
        <f t="shared" si="2"/>
        <v>32658.912</v>
      </c>
      <c r="W28" s="203"/>
      <c r="X28" s="203"/>
    </row>
    <row r="29" spans="2:24" x14ac:dyDescent="0.25">
      <c r="B29" s="196">
        <v>10079</v>
      </c>
      <c r="C29" s="197" t="s">
        <v>158</v>
      </c>
      <c r="D29" s="198">
        <v>28840121.323919997</v>
      </c>
      <c r="E29" s="198">
        <v>-5068310.8239599988</v>
      </c>
      <c r="F29" s="199">
        <v>667116.41318990523</v>
      </c>
      <c r="G29" s="199">
        <v>2363015.8064503749</v>
      </c>
      <c r="H29" s="200">
        <v>13.121531292033616</v>
      </c>
      <c r="I29" s="200">
        <v>0</v>
      </c>
      <c r="J29" s="200">
        <v>0</v>
      </c>
      <c r="K29" s="198">
        <v>0</v>
      </c>
      <c r="L29" s="198">
        <v>26801955.841131572</v>
      </c>
      <c r="M29" s="198">
        <v>718292.08229252719</v>
      </c>
      <c r="N29" s="201">
        <v>37.313450199241338</v>
      </c>
      <c r="O29" s="202">
        <v>-7.8843246660213803E-3</v>
      </c>
      <c r="P29" s="186">
        <v>60</v>
      </c>
      <c r="Q29" s="211">
        <f t="shared" si="0"/>
        <v>26801955.841131572</v>
      </c>
      <c r="S29" s="14"/>
      <c r="T29" s="203"/>
      <c r="U29" s="203">
        <f t="shared" si="1"/>
        <v>26801955.841131572</v>
      </c>
      <c r="V29" s="203">
        <f t="shared" si="2"/>
        <v>718292.08229252719</v>
      </c>
      <c r="W29" s="203"/>
      <c r="X29" s="203"/>
    </row>
    <row r="30" spans="2:24" x14ac:dyDescent="0.25">
      <c r="B30" s="196">
        <v>10080</v>
      </c>
      <c r="C30" s="197" t="s">
        <v>159</v>
      </c>
      <c r="D30" s="198">
        <v>2330456.9796000002</v>
      </c>
      <c r="E30" s="198">
        <v>-409550.29980000004</v>
      </c>
      <c r="F30" s="199">
        <v>61813.890070631693</v>
      </c>
      <c r="G30" s="199">
        <v>121101.45385998928</v>
      </c>
      <c r="H30" s="200">
        <v>-24.673970558223811</v>
      </c>
      <c r="I30" s="200">
        <v>0</v>
      </c>
      <c r="J30" s="200">
        <v>0</v>
      </c>
      <c r="K30" s="198">
        <v>0</v>
      </c>
      <c r="L30" s="198">
        <v>2103797.3497600625</v>
      </c>
      <c r="M30" s="198">
        <v>58048.338266056198</v>
      </c>
      <c r="N30" s="201">
        <v>36.242163214347507</v>
      </c>
      <c r="O30" s="202">
        <v>-7.076468503443979E-3</v>
      </c>
      <c r="P30" s="186">
        <v>57</v>
      </c>
      <c r="Q30" s="211">
        <f t="shared" si="0"/>
        <v>2103797.3497600625</v>
      </c>
      <c r="S30" s="14"/>
      <c r="T30" s="203"/>
      <c r="U30" s="203">
        <f t="shared" si="1"/>
        <v>2103797.3497600625</v>
      </c>
      <c r="V30" s="203">
        <f t="shared" si="2"/>
        <v>58048.338266056198</v>
      </c>
      <c r="W30" s="203"/>
      <c r="X30" s="203"/>
    </row>
    <row r="31" spans="2:24" x14ac:dyDescent="0.25">
      <c r="B31" s="196">
        <v>10081</v>
      </c>
      <c r="C31" s="197" t="s">
        <v>160</v>
      </c>
      <c r="D31" s="198">
        <v>3214062.6350400001</v>
      </c>
      <c r="E31" s="198">
        <v>-564833.5615200001</v>
      </c>
      <c r="F31" s="199">
        <v>194577.48805647684</v>
      </c>
      <c r="G31" s="199">
        <v>166282.920380422</v>
      </c>
      <c r="H31" s="200">
        <v>-3.8251094583256058</v>
      </c>
      <c r="I31" s="200">
        <v>0</v>
      </c>
      <c r="J31" s="200">
        <v>0</v>
      </c>
      <c r="K31" s="198">
        <v>0</v>
      </c>
      <c r="L31" s="198">
        <v>3010085.6568474402</v>
      </c>
      <c r="M31" s="198">
        <v>80049.160366932876</v>
      </c>
      <c r="N31" s="201">
        <v>37.60296351703974</v>
      </c>
      <c r="O31" s="202">
        <v>1.3584631247789879E-2</v>
      </c>
      <c r="P31" s="186">
        <v>13</v>
      </c>
      <c r="Q31" s="211">
        <f t="shared" si="0"/>
        <v>3010085.6568474402</v>
      </c>
      <c r="S31" s="14"/>
      <c r="T31" s="203"/>
      <c r="U31" s="203">
        <f t="shared" si="1"/>
        <v>3010085.6568474402</v>
      </c>
      <c r="V31" s="203">
        <f t="shared" si="2"/>
        <v>80049.160366932876</v>
      </c>
      <c r="W31" s="203"/>
      <c r="X31" s="203"/>
    </row>
    <row r="32" spans="2:24" x14ac:dyDescent="0.25">
      <c r="B32" s="196">
        <v>10082</v>
      </c>
      <c r="C32" s="197" t="s">
        <v>161</v>
      </c>
      <c r="D32" s="198">
        <v>34875.892800000001</v>
      </c>
      <c r="E32" s="198">
        <v>-6129.0264000000006</v>
      </c>
      <c r="F32" s="199">
        <v>986.02153813879772</v>
      </c>
      <c r="G32" s="199">
        <v>1837.906761725427</v>
      </c>
      <c r="H32" s="200">
        <v>-29.457236796167702</v>
      </c>
      <c r="I32" s="200">
        <v>0</v>
      </c>
      <c r="J32" s="200">
        <v>0</v>
      </c>
      <c r="K32" s="198">
        <v>0</v>
      </c>
      <c r="L32" s="198">
        <v>31541.337463068056</v>
      </c>
      <c r="M32" s="198">
        <v>873.99300398159994</v>
      </c>
      <c r="N32" s="201">
        <v>36.08877567598023</v>
      </c>
      <c r="O32" s="202">
        <v>-1.6227087582569258E-2</v>
      </c>
      <c r="P32" s="186">
        <v>91</v>
      </c>
      <c r="Q32" s="211">
        <f t="shared" si="0"/>
        <v>31541.337463068056</v>
      </c>
      <c r="S32" s="14"/>
      <c r="T32" s="203"/>
      <c r="U32" s="203">
        <f t="shared" si="1"/>
        <v>31541.337463068056</v>
      </c>
      <c r="V32" s="203">
        <f t="shared" si="2"/>
        <v>873.99300398159994</v>
      </c>
      <c r="W32" s="203"/>
      <c r="X32" s="203"/>
    </row>
    <row r="33" spans="2:24" x14ac:dyDescent="0.25">
      <c r="B33" s="196">
        <v>10083</v>
      </c>
      <c r="C33" s="197" t="s">
        <v>162</v>
      </c>
      <c r="D33" s="198">
        <v>2949504.0767999999</v>
      </c>
      <c r="E33" s="198">
        <v>-518340.5184</v>
      </c>
      <c r="F33" s="199">
        <v>88027.133830924533</v>
      </c>
      <c r="G33" s="199">
        <v>160035.91572045934</v>
      </c>
      <c r="H33" s="200">
        <v>0</v>
      </c>
      <c r="I33" s="200">
        <v>0</v>
      </c>
      <c r="J33" s="200">
        <v>0</v>
      </c>
      <c r="K33" s="198">
        <v>0</v>
      </c>
      <c r="L33" s="198">
        <v>2679226.607951384</v>
      </c>
      <c r="M33" s="198">
        <v>73460.59199999999</v>
      </c>
      <c r="N33" s="201">
        <v>36.471617434710907</v>
      </c>
      <c r="O33" s="202">
        <v>-6.5924106592112385E-3</v>
      </c>
      <c r="P33" s="186">
        <v>53</v>
      </c>
      <c r="Q33" s="211">
        <f t="shared" si="0"/>
        <v>2679226.607951384</v>
      </c>
      <c r="S33" s="14"/>
      <c r="T33" s="203"/>
      <c r="U33" s="203">
        <f t="shared" si="1"/>
        <v>2679226.607951384</v>
      </c>
      <c r="V33" s="203">
        <f t="shared" si="2"/>
        <v>73460.59199999999</v>
      </c>
      <c r="W33" s="203"/>
      <c r="X33" s="203"/>
    </row>
    <row r="34" spans="2:24" x14ac:dyDescent="0.25">
      <c r="B34" s="196">
        <v>10086</v>
      </c>
      <c r="C34" s="197" t="s">
        <v>163</v>
      </c>
      <c r="D34" s="198">
        <v>1364643.86256</v>
      </c>
      <c r="E34" s="198">
        <v>-239820.04728</v>
      </c>
      <c r="F34" s="199">
        <v>30858.016169173847</v>
      </c>
      <c r="G34" s="199">
        <v>73617.022972996812</v>
      </c>
      <c r="H34" s="200">
        <v>-1.0778484957335606</v>
      </c>
      <c r="I34" s="200">
        <v>0</v>
      </c>
      <c r="J34" s="200">
        <v>0</v>
      </c>
      <c r="K34" s="198">
        <v>0</v>
      </c>
      <c r="L34" s="198">
        <v>1229297.776573675</v>
      </c>
      <c r="M34" s="198">
        <v>33985.456155794316</v>
      </c>
      <c r="N34" s="201">
        <v>36.171289593359987</v>
      </c>
      <c r="O34" s="202">
        <v>-1.5626257653157415E-2</v>
      </c>
      <c r="P34" s="186">
        <v>88</v>
      </c>
      <c r="Q34" s="211">
        <f t="shared" si="0"/>
        <v>1229297.776573675</v>
      </c>
      <c r="S34" s="14"/>
      <c r="T34" s="203"/>
      <c r="U34" s="203">
        <f t="shared" si="1"/>
        <v>1229297.776573675</v>
      </c>
      <c r="V34" s="203">
        <f t="shared" si="2"/>
        <v>33985.456155794316</v>
      </c>
      <c r="W34" s="203"/>
      <c r="X34" s="203"/>
    </row>
    <row r="35" spans="2:24" x14ac:dyDescent="0.25">
      <c r="B35" s="196">
        <v>10087</v>
      </c>
      <c r="C35" s="197" t="s">
        <v>164</v>
      </c>
      <c r="D35" s="198">
        <v>16502525.132400002</v>
      </c>
      <c r="E35" s="198">
        <v>-2900123.9561999999</v>
      </c>
      <c r="F35" s="199">
        <v>178219.3224843186</v>
      </c>
      <c r="G35" s="199">
        <v>24923.911675000018</v>
      </c>
      <c r="H35" s="200">
        <v>-23.35231937262812</v>
      </c>
      <c r="I35" s="200">
        <v>0</v>
      </c>
      <c r="J35" s="200">
        <v>0</v>
      </c>
      <c r="K35" s="198">
        <v>0</v>
      </c>
      <c r="L35" s="198">
        <v>13805521.058039948</v>
      </c>
      <c r="M35" s="198">
        <v>411015.61388400779</v>
      </c>
      <c r="N35" s="201">
        <v>33.588799529002777</v>
      </c>
      <c r="O35" s="202">
        <v>-1.7673231789850835E-2</v>
      </c>
      <c r="P35" s="186">
        <v>94</v>
      </c>
      <c r="Q35" s="211">
        <f t="shared" si="0"/>
        <v>13805521.058039948</v>
      </c>
      <c r="S35" s="14"/>
      <c r="T35" s="203"/>
      <c r="U35" s="203">
        <f t="shared" si="1"/>
        <v>13805521.058039948</v>
      </c>
      <c r="V35" s="203">
        <f t="shared" si="2"/>
        <v>411015.61388400779</v>
      </c>
      <c r="W35" s="203"/>
      <c r="X35" s="203"/>
    </row>
    <row r="36" spans="2:24" x14ac:dyDescent="0.25">
      <c r="B36" s="196">
        <v>10089</v>
      </c>
      <c r="C36" s="197" t="s">
        <v>165</v>
      </c>
      <c r="D36" s="198">
        <v>36754208.740800001</v>
      </c>
      <c r="E36" s="198">
        <v>-6459118.2503999993</v>
      </c>
      <c r="F36" s="199">
        <v>1367533.5224085595</v>
      </c>
      <c r="G36" s="199">
        <v>1694608.0009146631</v>
      </c>
      <c r="H36" s="200">
        <v>0</v>
      </c>
      <c r="I36" s="200">
        <v>0</v>
      </c>
      <c r="J36" s="200">
        <v>0</v>
      </c>
      <c r="K36" s="198">
        <v>0</v>
      </c>
      <c r="L36" s="198">
        <v>33357232.013723224</v>
      </c>
      <c r="M36" s="198">
        <v>915404.33119603759</v>
      </c>
      <c r="N36" s="201">
        <v>36.439888775859025</v>
      </c>
      <c r="O36" s="202">
        <v>4.3748553905501707E-3</v>
      </c>
      <c r="P36" s="186">
        <v>22</v>
      </c>
      <c r="Q36" s="211">
        <f t="shared" si="0"/>
        <v>33357232.013723224</v>
      </c>
      <c r="S36" s="14"/>
      <c r="T36" s="203"/>
      <c r="U36" s="203">
        <f t="shared" si="1"/>
        <v>33357232.013723224</v>
      </c>
      <c r="V36" s="203">
        <f t="shared" si="2"/>
        <v>915404.33119603759</v>
      </c>
      <c r="W36" s="203"/>
      <c r="X36" s="203"/>
    </row>
    <row r="37" spans="2:24" x14ac:dyDescent="0.25">
      <c r="B37" s="196">
        <v>10091</v>
      </c>
      <c r="C37" s="197" t="s">
        <v>166</v>
      </c>
      <c r="D37" s="198">
        <v>3186411.0343200001</v>
      </c>
      <c r="E37" s="198">
        <v>-559974.11916</v>
      </c>
      <c r="F37" s="199">
        <v>89789.331338952426</v>
      </c>
      <c r="G37" s="199">
        <v>98180.890035176228</v>
      </c>
      <c r="H37" s="200">
        <v>-2.1291282127791784</v>
      </c>
      <c r="I37" s="200">
        <v>0</v>
      </c>
      <c r="J37" s="200">
        <v>0</v>
      </c>
      <c r="K37" s="198">
        <v>0</v>
      </c>
      <c r="L37" s="198">
        <v>2814405.0074059162</v>
      </c>
      <c r="M37" s="198">
        <v>79363.756363776047</v>
      </c>
      <c r="N37" s="201">
        <v>35.462094239915459</v>
      </c>
      <c r="O37" s="202">
        <v>-6.4217139420909434E-3</v>
      </c>
      <c r="P37" s="186">
        <v>50</v>
      </c>
      <c r="Q37" s="211">
        <f t="shared" si="0"/>
        <v>2814405.0074059162</v>
      </c>
      <c r="S37" s="14"/>
      <c r="T37" s="203"/>
      <c r="U37" s="203">
        <f t="shared" si="1"/>
        <v>2814405.0074059162</v>
      </c>
      <c r="V37" s="203">
        <f t="shared" si="2"/>
        <v>79363.756363776047</v>
      </c>
      <c r="W37" s="203"/>
      <c r="X37" s="203"/>
    </row>
    <row r="38" spans="2:24" x14ac:dyDescent="0.25">
      <c r="B38" s="196">
        <v>10094</v>
      </c>
      <c r="C38" s="197" t="s">
        <v>167</v>
      </c>
      <c r="D38" s="198">
        <v>1069444.34136</v>
      </c>
      <c r="E38" s="198">
        <v>-187942.21668000001</v>
      </c>
      <c r="F38" s="199">
        <v>27817.999369927486</v>
      </c>
      <c r="G38" s="199">
        <v>53335.040328018149</v>
      </c>
      <c r="H38" s="200">
        <v>-48.073211685344397</v>
      </c>
      <c r="I38" s="200">
        <v>0</v>
      </c>
      <c r="J38" s="200">
        <v>0</v>
      </c>
      <c r="K38" s="198">
        <v>0</v>
      </c>
      <c r="L38" s="198">
        <v>962607.09116626019</v>
      </c>
      <c r="M38" s="198">
        <v>26640.231122092919</v>
      </c>
      <c r="N38" s="201">
        <v>36.133586332438526</v>
      </c>
      <c r="O38" s="202">
        <v>-1.1226797761157394E-2</v>
      </c>
      <c r="P38" s="186">
        <v>70</v>
      </c>
      <c r="Q38" s="211">
        <f t="shared" si="0"/>
        <v>962607.09116626019</v>
      </c>
      <c r="S38" s="14"/>
      <c r="T38" s="203"/>
      <c r="U38" s="203">
        <f t="shared" si="1"/>
        <v>962607.09116626019</v>
      </c>
      <c r="V38" s="203">
        <f t="shared" si="2"/>
        <v>26640.231122092919</v>
      </c>
      <c r="W38" s="203"/>
      <c r="X38" s="203"/>
    </row>
    <row r="39" spans="2:24" x14ac:dyDescent="0.25">
      <c r="B39" s="196">
        <v>10095</v>
      </c>
      <c r="C39" s="197" t="s">
        <v>168</v>
      </c>
      <c r="D39" s="198">
        <v>1284927.5361600001</v>
      </c>
      <c r="E39" s="198">
        <v>-225810.84407999998</v>
      </c>
      <c r="F39" s="199">
        <v>21268.164874272457</v>
      </c>
      <c r="G39" s="199">
        <v>32835.040221447649</v>
      </c>
      <c r="H39" s="200">
        <v>0</v>
      </c>
      <c r="I39" s="200">
        <v>0</v>
      </c>
      <c r="J39" s="200">
        <v>0</v>
      </c>
      <c r="K39" s="198">
        <v>0</v>
      </c>
      <c r="L39" s="198">
        <v>1113219.8971757202</v>
      </c>
      <c r="M39" s="198">
        <v>32000.111999999997</v>
      </c>
      <c r="N39" s="201">
        <v>34.788000028741159</v>
      </c>
      <c r="O39" s="202">
        <v>-1.2534803761645492E-2</v>
      </c>
      <c r="P39" s="186">
        <v>78</v>
      </c>
      <c r="Q39" s="211">
        <f t="shared" si="0"/>
        <v>1113219.8971757202</v>
      </c>
      <c r="S39" s="14"/>
      <c r="T39" s="203"/>
      <c r="U39" s="203">
        <f t="shared" si="1"/>
        <v>1113219.8971757202</v>
      </c>
      <c r="V39" s="203">
        <f t="shared" si="2"/>
        <v>32000.111999999997</v>
      </c>
      <c r="W39" s="203"/>
      <c r="X39" s="203"/>
    </row>
    <row r="40" spans="2:24" x14ac:dyDescent="0.25">
      <c r="B40" s="196">
        <v>10097</v>
      </c>
      <c r="C40" s="197" t="s">
        <v>169</v>
      </c>
      <c r="D40" s="198">
        <v>704243.92103999993</v>
      </c>
      <c r="E40" s="198">
        <v>-123762.55452000001</v>
      </c>
      <c r="F40" s="199">
        <v>22036.950545417065</v>
      </c>
      <c r="G40" s="199">
        <v>42713.927012232904</v>
      </c>
      <c r="H40" s="200">
        <v>-10.27052109118562</v>
      </c>
      <c r="I40" s="200">
        <v>0</v>
      </c>
      <c r="J40" s="200">
        <v>0</v>
      </c>
      <c r="K40" s="198">
        <v>0</v>
      </c>
      <c r="L40" s="198">
        <v>645221.97355655872</v>
      </c>
      <c r="M40" s="198">
        <v>17543.17408039988</v>
      </c>
      <c r="N40" s="201">
        <v>36.779089724557501</v>
      </c>
      <c r="O40" s="202">
        <v>-1.5898795446914981E-2</v>
      </c>
      <c r="P40" s="186">
        <v>90</v>
      </c>
      <c r="Q40" s="211">
        <f t="shared" si="0"/>
        <v>645221.97355655872</v>
      </c>
      <c r="S40" s="14"/>
      <c r="T40" s="203"/>
      <c r="U40" s="203">
        <f t="shared" si="1"/>
        <v>645221.97355655872</v>
      </c>
      <c r="V40" s="203">
        <f t="shared" si="2"/>
        <v>17543.17408039988</v>
      </c>
      <c r="W40" s="203"/>
      <c r="X40" s="203"/>
    </row>
    <row r="41" spans="2:24" x14ac:dyDescent="0.25">
      <c r="B41" s="196">
        <v>10101</v>
      </c>
      <c r="C41" s="197" t="s">
        <v>170</v>
      </c>
      <c r="D41" s="198">
        <v>26813831.952239998</v>
      </c>
      <c r="E41" s="198">
        <v>-4712214.3901199996</v>
      </c>
      <c r="F41" s="199">
        <v>712816.65292706492</v>
      </c>
      <c r="G41" s="199">
        <v>1542503.2635639959</v>
      </c>
      <c r="H41" s="200">
        <v>0</v>
      </c>
      <c r="I41" s="200">
        <v>0</v>
      </c>
      <c r="J41" s="200">
        <v>-1241073.553143465</v>
      </c>
      <c r="K41" s="198">
        <v>0</v>
      </c>
      <c r="L41" s="198">
        <v>23115863.925467592</v>
      </c>
      <c r="M41" s="198">
        <v>667829.95200000005</v>
      </c>
      <c r="N41" s="201">
        <v>34.613398000854552</v>
      </c>
      <c r="O41" s="202">
        <v>-1.8371301711159842E-2</v>
      </c>
      <c r="P41" s="186">
        <v>95</v>
      </c>
      <c r="Q41" s="211">
        <f t="shared" si="0"/>
        <v>24356937.478611056</v>
      </c>
      <c r="S41" s="14"/>
      <c r="T41" s="203"/>
      <c r="U41" s="203">
        <f t="shared" si="1"/>
        <v>24356937.478611056</v>
      </c>
      <c r="V41" s="203">
        <f t="shared" si="2"/>
        <v>667829.95200000005</v>
      </c>
      <c r="W41" s="203"/>
      <c r="X41" s="203"/>
    </row>
    <row r="42" spans="2:24" x14ac:dyDescent="0.25">
      <c r="B42" s="196">
        <v>10103</v>
      </c>
      <c r="C42" s="197" t="s">
        <v>171</v>
      </c>
      <c r="D42" s="198">
        <v>57978929.758319989</v>
      </c>
      <c r="E42" s="198">
        <v>-10189112.38116</v>
      </c>
      <c r="F42" s="199">
        <v>534925.62584351201</v>
      </c>
      <c r="G42" s="199">
        <v>0</v>
      </c>
      <c r="H42" s="200">
        <v>0</v>
      </c>
      <c r="I42" s="200">
        <v>0</v>
      </c>
      <c r="J42" s="200">
        <v>0</v>
      </c>
      <c r="K42" s="198">
        <v>0</v>
      </c>
      <c r="L42" s="198">
        <v>48324743.0030035</v>
      </c>
      <c r="M42" s="198">
        <v>1444030.5175215565</v>
      </c>
      <c r="N42" s="201">
        <v>33.465181252502241</v>
      </c>
      <c r="O42" s="202">
        <v>-1.8605996157247062E-2</v>
      </c>
      <c r="P42" s="186">
        <v>96</v>
      </c>
      <c r="Q42" s="211">
        <f t="shared" si="0"/>
        <v>48324743.0030035</v>
      </c>
      <c r="S42" s="14"/>
      <c r="T42" s="203"/>
      <c r="U42" s="203">
        <f t="shared" si="1"/>
        <v>48324743.0030035</v>
      </c>
      <c r="V42" s="203">
        <f t="shared" si="2"/>
        <v>1444030.5175215565</v>
      </c>
      <c r="W42" s="203"/>
      <c r="X42" s="203"/>
    </row>
    <row r="43" spans="2:24" x14ac:dyDescent="0.25">
      <c r="B43" s="196">
        <v>10105</v>
      </c>
      <c r="C43" s="197" t="s">
        <v>172</v>
      </c>
      <c r="D43" s="198">
        <v>11518012.710720001</v>
      </c>
      <c r="E43" s="198">
        <v>-2024154.7473600002</v>
      </c>
      <c r="F43" s="199">
        <v>17173.126278666881</v>
      </c>
      <c r="G43" s="199">
        <v>0</v>
      </c>
      <c r="H43" s="200">
        <v>0</v>
      </c>
      <c r="I43" s="200">
        <v>0</v>
      </c>
      <c r="J43" s="200">
        <v>0</v>
      </c>
      <c r="K43" s="198">
        <v>0</v>
      </c>
      <c r="L43" s="198">
        <v>9511031.0896386672</v>
      </c>
      <c r="M43" s="198">
        <v>286868.6226905972</v>
      </c>
      <c r="N43" s="201">
        <v>33.154658046714339</v>
      </c>
      <c r="O43" s="202">
        <v>-1.9579953272228071E-2</v>
      </c>
      <c r="P43" s="186">
        <v>101</v>
      </c>
      <c r="Q43" s="211">
        <f t="shared" si="0"/>
        <v>9511031.0896386672</v>
      </c>
      <c r="S43" s="14"/>
      <c r="T43" s="203"/>
      <c r="U43" s="203">
        <f t="shared" si="1"/>
        <v>9511031.0896386672</v>
      </c>
      <c r="V43" s="203">
        <f t="shared" si="2"/>
        <v>286868.6226905972</v>
      </c>
      <c r="W43" s="203"/>
      <c r="X43" s="203"/>
    </row>
    <row r="44" spans="2:24" x14ac:dyDescent="0.25">
      <c r="B44" s="196">
        <v>10106</v>
      </c>
      <c r="C44" s="197" t="s">
        <v>7</v>
      </c>
      <c r="D44" s="198">
        <v>8421780.7706400007</v>
      </c>
      <c r="E44" s="198">
        <v>-1480028.53932</v>
      </c>
      <c r="F44" s="199">
        <v>0</v>
      </c>
      <c r="G44" s="199">
        <v>0</v>
      </c>
      <c r="H44" s="200">
        <v>0</v>
      </c>
      <c r="I44" s="200">
        <v>0</v>
      </c>
      <c r="J44" s="200">
        <v>-491030.34858757124</v>
      </c>
      <c r="K44" s="198">
        <v>0</v>
      </c>
      <c r="L44" s="198" t="s">
        <v>249</v>
      </c>
      <c r="M44" s="198" t="s">
        <v>249</v>
      </c>
      <c r="N44" s="201" t="s">
        <v>249</v>
      </c>
      <c r="O44" s="202" t="s">
        <v>249</v>
      </c>
      <c r="P44" s="186" t="s">
        <v>249</v>
      </c>
      <c r="Q44" s="211">
        <f t="shared" si="0"/>
        <v>6941752.2313200012</v>
      </c>
      <c r="S44" s="14"/>
      <c r="T44" s="203"/>
      <c r="U44" s="203">
        <f t="shared" si="1"/>
        <v>6941752.2313200012</v>
      </c>
      <c r="V44" s="203" t="str">
        <f t="shared" si="2"/>
        <v/>
      </c>
      <c r="W44" s="203"/>
      <c r="X44" s="203"/>
    </row>
    <row r="45" spans="2:24" x14ac:dyDescent="0.25">
      <c r="B45" s="196">
        <v>10109</v>
      </c>
      <c r="C45" s="197" t="s">
        <v>173</v>
      </c>
      <c r="D45" s="198">
        <v>4273791.5491199996</v>
      </c>
      <c r="E45" s="198">
        <v>-751068.40656000003</v>
      </c>
      <c r="F45" s="199">
        <v>-55313.581724077136</v>
      </c>
      <c r="G45" s="199">
        <v>434008.25651477033</v>
      </c>
      <c r="H45" s="200">
        <v>0</v>
      </c>
      <c r="I45" s="200">
        <v>0</v>
      </c>
      <c r="J45" s="200">
        <v>-334308.8160736601</v>
      </c>
      <c r="K45" s="198">
        <v>-244130.87595000005</v>
      </c>
      <c r="L45" s="198">
        <v>3322978.1253270325</v>
      </c>
      <c r="M45" s="198">
        <v>106443.95248791664</v>
      </c>
      <c r="N45" s="201">
        <v>31.218101617414593</v>
      </c>
      <c r="O45" s="202">
        <v>-2.5506108232613157E-2</v>
      </c>
      <c r="P45" s="186">
        <v>113</v>
      </c>
      <c r="Q45" s="211">
        <f t="shared" si="0"/>
        <v>3901417.817350693</v>
      </c>
      <c r="S45" s="14"/>
      <c r="T45" s="203"/>
      <c r="U45" s="203">
        <f t="shared" si="1"/>
        <v>3901417.817350693</v>
      </c>
      <c r="V45" s="203">
        <f t="shared" si="2"/>
        <v>106443.95248791664</v>
      </c>
      <c r="W45" s="203"/>
      <c r="X45" s="203"/>
    </row>
    <row r="46" spans="2:24" x14ac:dyDescent="0.25">
      <c r="B46" s="196">
        <v>10111</v>
      </c>
      <c r="C46" s="197" t="s">
        <v>174</v>
      </c>
      <c r="D46" s="198">
        <v>1106313.1423200001</v>
      </c>
      <c r="E46" s="198">
        <v>-194421.47315999999</v>
      </c>
      <c r="F46" s="199">
        <v>32792.586129959993</v>
      </c>
      <c r="G46" s="199">
        <v>65237.063042681628</v>
      </c>
      <c r="H46" s="200">
        <v>6.7627999872873996</v>
      </c>
      <c r="I46" s="200">
        <v>0</v>
      </c>
      <c r="J46" s="200">
        <v>-70694.96567928404</v>
      </c>
      <c r="K46" s="198">
        <v>-60483.898929999996</v>
      </c>
      <c r="L46" s="198">
        <v>878749.21652334498</v>
      </c>
      <c r="M46" s="198">
        <v>27554.403126302037</v>
      </c>
      <c r="N46" s="201">
        <v>31.891426299288462</v>
      </c>
      <c r="O46" s="202">
        <v>2.9136198846801916E-3</v>
      </c>
      <c r="P46" s="186">
        <v>28</v>
      </c>
      <c r="Q46" s="211">
        <f t="shared" si="0"/>
        <v>1009928.0811326291</v>
      </c>
      <c r="S46" s="14"/>
      <c r="T46" s="203"/>
      <c r="U46" s="203">
        <f t="shared" si="1"/>
        <v>1009928.0811326291</v>
      </c>
      <c r="V46" s="203">
        <f t="shared" si="2"/>
        <v>27554.403126302037</v>
      </c>
      <c r="W46" s="203"/>
      <c r="X46" s="203"/>
    </row>
    <row r="47" spans="2:24" x14ac:dyDescent="0.25">
      <c r="B47" s="196">
        <v>10112</v>
      </c>
      <c r="C47" s="197" t="s">
        <v>175</v>
      </c>
      <c r="D47" s="198">
        <v>20543893.767360002</v>
      </c>
      <c r="E47" s="198">
        <v>-3610346.7796800002</v>
      </c>
      <c r="F47" s="199">
        <v>483727.79806461523</v>
      </c>
      <c r="G47" s="199">
        <v>930597.55871116463</v>
      </c>
      <c r="H47" s="200">
        <v>0</v>
      </c>
      <c r="I47" s="200">
        <v>0</v>
      </c>
      <c r="J47" s="200">
        <v>0</v>
      </c>
      <c r="K47" s="198">
        <v>0</v>
      </c>
      <c r="L47" s="198">
        <v>18347872.344455782</v>
      </c>
      <c r="M47" s="198">
        <v>511668</v>
      </c>
      <c r="N47" s="201">
        <v>35.858940454466143</v>
      </c>
      <c r="O47" s="202">
        <v>-9.0333424492963048E-3</v>
      </c>
      <c r="P47" s="186">
        <v>63</v>
      </c>
      <c r="Q47" s="211">
        <f t="shared" si="0"/>
        <v>18347872.344455782</v>
      </c>
      <c r="S47" s="14"/>
      <c r="T47" s="203"/>
      <c r="U47" s="203">
        <f t="shared" si="1"/>
        <v>18347872.344455782</v>
      </c>
      <c r="V47" s="203">
        <f t="shared" si="2"/>
        <v>511668</v>
      </c>
      <c r="W47" s="203"/>
      <c r="X47" s="203"/>
    </row>
    <row r="48" spans="2:24" x14ac:dyDescent="0.25">
      <c r="B48" s="196">
        <v>10113</v>
      </c>
      <c r="C48" s="197" t="s">
        <v>10</v>
      </c>
      <c r="D48" s="198">
        <v>13293693.881279999</v>
      </c>
      <c r="E48" s="198">
        <v>-2336209.7486399999</v>
      </c>
      <c r="F48" s="199">
        <v>-55098.584228425985</v>
      </c>
      <c r="G48" s="199">
        <v>277915.47811292735</v>
      </c>
      <c r="H48" s="200">
        <v>0</v>
      </c>
      <c r="I48" s="200">
        <v>0</v>
      </c>
      <c r="J48" s="200">
        <v>-903752.61705640948</v>
      </c>
      <c r="K48" s="198">
        <v>-1557969.48034</v>
      </c>
      <c r="L48" s="198">
        <v>8718578.9291280918</v>
      </c>
      <c r="M48" s="198">
        <v>331095.31199999998</v>
      </c>
      <c r="N48" s="201">
        <v>26.332535113418015</v>
      </c>
      <c r="O48" s="202">
        <v>1.2955970233488179E-2</v>
      </c>
      <c r="P48" s="186">
        <v>14</v>
      </c>
      <c r="Q48" s="211">
        <f t="shared" si="0"/>
        <v>11180301.026524501</v>
      </c>
      <c r="S48" s="14"/>
      <c r="T48" s="203"/>
      <c r="U48" s="203">
        <f t="shared" si="1"/>
        <v>11180301.026524501</v>
      </c>
      <c r="V48" s="203">
        <f t="shared" si="2"/>
        <v>331095.31199999998</v>
      </c>
      <c r="W48" s="203"/>
      <c r="X48" s="203"/>
    </row>
    <row r="49" spans="2:24" x14ac:dyDescent="0.25">
      <c r="B49" s="196">
        <v>10116</v>
      </c>
      <c r="C49" s="197" t="s">
        <v>176</v>
      </c>
      <c r="D49" s="198">
        <v>80463.666959999988</v>
      </c>
      <c r="E49" s="198">
        <v>-14140.539480000001</v>
      </c>
      <c r="F49" s="199">
        <v>-591.47051697949314</v>
      </c>
      <c r="G49" s="199">
        <v>0</v>
      </c>
      <c r="H49" s="200">
        <v>0</v>
      </c>
      <c r="I49" s="200">
        <v>0</v>
      </c>
      <c r="J49" s="200">
        <v>0</v>
      </c>
      <c r="K49" s="198">
        <v>0</v>
      </c>
      <c r="L49" s="198">
        <v>65731.65696302049</v>
      </c>
      <c r="M49" s="198">
        <v>2002.7520000000002</v>
      </c>
      <c r="N49" s="201">
        <v>32.820667243383348</v>
      </c>
      <c r="O49" s="202">
        <v>-3.1037544630150189E-2</v>
      </c>
      <c r="P49" s="186">
        <v>116</v>
      </c>
      <c r="Q49" s="211">
        <f t="shared" si="0"/>
        <v>65731.65696302049</v>
      </c>
      <c r="S49" s="14"/>
      <c r="T49" s="203"/>
      <c r="U49" s="203">
        <f t="shared" si="1"/>
        <v>65731.65696302049</v>
      </c>
      <c r="V49" s="203">
        <f t="shared" si="2"/>
        <v>2002.7520000000002</v>
      </c>
      <c r="W49" s="203"/>
      <c r="X49" s="203"/>
    </row>
    <row r="50" spans="2:24" x14ac:dyDescent="0.25">
      <c r="B50" s="196">
        <v>10118</v>
      </c>
      <c r="C50" s="197" t="s">
        <v>11</v>
      </c>
      <c r="D50" s="198">
        <v>16108427.543760002</v>
      </c>
      <c r="E50" s="198">
        <v>-2830865.9578799997</v>
      </c>
      <c r="F50" s="199">
        <v>0</v>
      </c>
      <c r="G50" s="199">
        <v>0</v>
      </c>
      <c r="H50" s="200">
        <v>0</v>
      </c>
      <c r="I50" s="200">
        <v>0</v>
      </c>
      <c r="J50" s="200">
        <v>-929988.91398162278</v>
      </c>
      <c r="K50" s="198">
        <v>0</v>
      </c>
      <c r="L50" s="198" t="s">
        <v>249</v>
      </c>
      <c r="M50" s="198" t="s">
        <v>249</v>
      </c>
      <c r="N50" s="201" t="s">
        <v>249</v>
      </c>
      <c r="O50" s="202" t="s">
        <v>249</v>
      </c>
      <c r="P50" s="186" t="s">
        <v>249</v>
      </c>
      <c r="Q50" s="211">
        <f t="shared" si="0"/>
        <v>13277561.585880002</v>
      </c>
      <c r="S50" s="14"/>
      <c r="T50" s="203"/>
      <c r="U50" s="203">
        <f t="shared" si="1"/>
        <v>13277561.585880002</v>
      </c>
      <c r="V50" s="203" t="str">
        <f t="shared" si="2"/>
        <v/>
      </c>
      <c r="W50" s="203"/>
      <c r="X50" s="203"/>
    </row>
    <row r="51" spans="2:24" x14ac:dyDescent="0.25">
      <c r="B51" s="196">
        <v>10121</v>
      </c>
      <c r="C51" s="197" t="s">
        <v>81</v>
      </c>
      <c r="D51" s="198">
        <v>13928933.357279997</v>
      </c>
      <c r="E51" s="198">
        <v>-2447845.5866399999</v>
      </c>
      <c r="F51" s="199">
        <v>0</v>
      </c>
      <c r="G51" s="199">
        <v>0</v>
      </c>
      <c r="H51" s="200">
        <v>-5.8561217757005943</v>
      </c>
      <c r="I51" s="200">
        <v>0</v>
      </c>
      <c r="J51" s="200">
        <v>-688864.91487109323</v>
      </c>
      <c r="K51" s="198">
        <v>0</v>
      </c>
      <c r="L51" s="198" t="s">
        <v>249</v>
      </c>
      <c r="M51" s="198" t="s">
        <v>249</v>
      </c>
      <c r="N51" s="201" t="s">
        <v>249</v>
      </c>
      <c r="O51" s="202" t="s">
        <v>249</v>
      </c>
      <c r="P51" s="186" t="s">
        <v>249</v>
      </c>
      <c r="Q51" s="211">
        <f t="shared" si="0"/>
        <v>11481081.91451822</v>
      </c>
      <c r="S51" s="14"/>
      <c r="T51" s="203"/>
      <c r="U51" s="203">
        <f t="shared" si="1"/>
        <v>11481081.91451822</v>
      </c>
      <c r="V51" s="203" t="str">
        <f t="shared" si="2"/>
        <v/>
      </c>
      <c r="W51" s="203"/>
      <c r="X51" s="203"/>
    </row>
    <row r="52" spans="2:24" x14ac:dyDescent="0.25">
      <c r="B52" s="196">
        <v>10123</v>
      </c>
      <c r="C52" s="197" t="s">
        <v>177</v>
      </c>
      <c r="D52" s="198">
        <v>88359070.862880021</v>
      </c>
      <c r="E52" s="198">
        <v>-15528063.499440003</v>
      </c>
      <c r="F52" s="199">
        <v>21041.919822512078</v>
      </c>
      <c r="G52" s="199">
        <v>0</v>
      </c>
      <c r="H52" s="200">
        <v>0</v>
      </c>
      <c r="I52" s="200">
        <v>0</v>
      </c>
      <c r="J52" s="200">
        <v>0</v>
      </c>
      <c r="K52" s="198">
        <v>0</v>
      </c>
      <c r="L52" s="198">
        <v>72852049.283262536</v>
      </c>
      <c r="M52" s="198">
        <v>2200688.8374991771</v>
      </c>
      <c r="N52" s="201">
        <v>33.104202666856928</v>
      </c>
      <c r="O52" s="202">
        <v>-1.9270453298211733E-2</v>
      </c>
      <c r="P52" s="186">
        <v>100</v>
      </c>
      <c r="Q52" s="211">
        <f t="shared" si="0"/>
        <v>72852049.283262536</v>
      </c>
      <c r="S52" s="14"/>
      <c r="T52" s="203"/>
      <c r="U52" s="203">
        <f t="shared" si="1"/>
        <v>72852049.283262536</v>
      </c>
      <c r="V52" s="203">
        <f t="shared" si="2"/>
        <v>2200688.8374991771</v>
      </c>
      <c r="W52" s="203"/>
      <c r="X52" s="203"/>
    </row>
    <row r="53" spans="2:24" x14ac:dyDescent="0.25">
      <c r="B53" s="196">
        <v>10136</v>
      </c>
      <c r="C53" s="197" t="s">
        <v>82</v>
      </c>
      <c r="D53" s="198">
        <v>6487912.5148800015</v>
      </c>
      <c r="E53" s="198">
        <v>-1140174.02544</v>
      </c>
      <c r="F53" s="199">
        <v>0</v>
      </c>
      <c r="G53" s="199">
        <v>0</v>
      </c>
      <c r="H53" s="200">
        <v>10.179475606172055</v>
      </c>
      <c r="I53" s="200">
        <v>0</v>
      </c>
      <c r="J53" s="200">
        <v>-374342.40682409261</v>
      </c>
      <c r="K53" s="198">
        <v>0</v>
      </c>
      <c r="L53" s="198" t="s">
        <v>249</v>
      </c>
      <c r="M53" s="198" t="s">
        <v>249</v>
      </c>
      <c r="N53" s="201" t="s">
        <v>249</v>
      </c>
      <c r="O53" s="202" t="s">
        <v>249</v>
      </c>
      <c r="P53" s="186" t="s">
        <v>249</v>
      </c>
      <c r="Q53" s="211">
        <f t="shared" si="0"/>
        <v>5347748.668915608</v>
      </c>
      <c r="S53" s="14"/>
      <c r="T53" s="203"/>
      <c r="U53" s="203">
        <f t="shared" si="1"/>
        <v>5347748.668915608</v>
      </c>
      <c r="V53" s="203" t="str">
        <f t="shared" si="2"/>
        <v/>
      </c>
      <c r="W53" s="203"/>
      <c r="X53" s="203"/>
    </row>
    <row r="54" spans="2:24" x14ac:dyDescent="0.25">
      <c r="B54" s="196">
        <v>10142</v>
      </c>
      <c r="C54" s="197" t="s">
        <v>178</v>
      </c>
      <c r="D54" s="198">
        <v>947627.83007999999</v>
      </c>
      <c r="E54" s="198">
        <v>-166534.40304</v>
      </c>
      <c r="F54" s="199">
        <v>17095.07490677468</v>
      </c>
      <c r="G54" s="199">
        <v>68564.015360844031</v>
      </c>
      <c r="H54" s="200">
        <v>0</v>
      </c>
      <c r="I54" s="200">
        <v>0</v>
      </c>
      <c r="J54" s="200">
        <v>-26725.138094133312</v>
      </c>
      <c r="K54" s="198">
        <v>-66752.929880000011</v>
      </c>
      <c r="L54" s="198">
        <v>773274.44933348522</v>
      </c>
      <c r="M54" s="198">
        <v>23602.608</v>
      </c>
      <c r="N54" s="201">
        <v>32.762245991353382</v>
      </c>
      <c r="O54" s="202">
        <v>9.6687902686252436E-3</v>
      </c>
      <c r="P54" s="186">
        <v>16</v>
      </c>
      <c r="Q54" s="211">
        <f t="shared" si="0"/>
        <v>866752.51730761863</v>
      </c>
      <c r="S54" s="14"/>
      <c r="T54" s="203"/>
      <c r="U54" s="203">
        <f t="shared" si="1"/>
        <v>866752.51730761863</v>
      </c>
      <c r="V54" s="203">
        <f t="shared" si="2"/>
        <v>23602.608</v>
      </c>
      <c r="W54" s="203"/>
      <c r="X54" s="203"/>
    </row>
    <row r="55" spans="2:24" x14ac:dyDescent="0.25">
      <c r="B55" s="196">
        <v>10144</v>
      </c>
      <c r="C55" s="197" t="s">
        <v>179</v>
      </c>
      <c r="D55" s="198">
        <v>1148662.4407199998</v>
      </c>
      <c r="E55" s="198">
        <v>-201863.86235999997</v>
      </c>
      <c r="F55" s="199">
        <v>36581.38852770003</v>
      </c>
      <c r="G55" s="199">
        <v>85312.802363595096</v>
      </c>
      <c r="H55" s="200">
        <v>16.097277449092619</v>
      </c>
      <c r="I55" s="200">
        <v>0</v>
      </c>
      <c r="J55" s="200">
        <v>0</v>
      </c>
      <c r="K55" s="198">
        <v>0</v>
      </c>
      <c r="L55" s="198">
        <v>1068708.8665287439</v>
      </c>
      <c r="M55" s="198">
        <v>28607.096131136837</v>
      </c>
      <c r="N55" s="201">
        <v>37.358173707310634</v>
      </c>
      <c r="O55" s="202">
        <v>-1.2818167712593403E-2</v>
      </c>
      <c r="P55" s="186">
        <v>79</v>
      </c>
      <c r="Q55" s="211">
        <f t="shared" si="0"/>
        <v>1068708.8665287439</v>
      </c>
      <c r="S55" s="14"/>
      <c r="T55" s="203"/>
      <c r="U55" s="203">
        <f t="shared" si="1"/>
        <v>1068708.8665287439</v>
      </c>
      <c r="V55" s="203">
        <f t="shared" si="2"/>
        <v>28607.096131136837</v>
      </c>
      <c r="W55" s="203"/>
      <c r="X55" s="203"/>
    </row>
    <row r="56" spans="2:24" x14ac:dyDescent="0.25">
      <c r="B56" s="196">
        <v>10156</v>
      </c>
      <c r="C56" s="197" t="s">
        <v>180</v>
      </c>
      <c r="D56" s="198">
        <v>11369790.16632</v>
      </c>
      <c r="E56" s="198">
        <v>-1998106.3851600001</v>
      </c>
      <c r="F56" s="199">
        <v>353783.65456241032</v>
      </c>
      <c r="G56" s="199">
        <v>687047.24206247309</v>
      </c>
      <c r="H56" s="200">
        <v>0</v>
      </c>
      <c r="I56" s="200">
        <v>0</v>
      </c>
      <c r="J56" s="200">
        <v>0</v>
      </c>
      <c r="K56" s="198">
        <v>0</v>
      </c>
      <c r="L56" s="198">
        <v>10412514.677784884</v>
      </c>
      <c r="M56" s="198">
        <v>283178.592</v>
      </c>
      <c r="N56" s="201">
        <v>36.770133661039196</v>
      </c>
      <c r="O56" s="202">
        <v>-1.1881611633175223E-2</v>
      </c>
      <c r="P56" s="186">
        <v>73</v>
      </c>
      <c r="Q56" s="211">
        <f t="shared" si="0"/>
        <v>10412514.677784884</v>
      </c>
      <c r="S56" s="14"/>
      <c r="T56" s="203"/>
      <c r="U56" s="203">
        <f t="shared" si="1"/>
        <v>10412514.677784884</v>
      </c>
      <c r="V56" s="203">
        <f t="shared" si="2"/>
        <v>283178.592</v>
      </c>
      <c r="W56" s="203"/>
      <c r="X56" s="203"/>
    </row>
    <row r="57" spans="2:24" x14ac:dyDescent="0.25">
      <c r="B57" s="196">
        <v>10157</v>
      </c>
      <c r="C57" s="197" t="s">
        <v>15</v>
      </c>
      <c r="D57" s="198">
        <v>8409075.9811199997</v>
      </c>
      <c r="E57" s="198">
        <v>-1477795.8225599998</v>
      </c>
      <c r="F57" s="199">
        <v>150318.92591832331</v>
      </c>
      <c r="G57" s="199">
        <v>0</v>
      </c>
      <c r="H57" s="200">
        <v>0</v>
      </c>
      <c r="I57" s="200">
        <v>0</v>
      </c>
      <c r="J57" s="200">
        <v>-481083.13539192401</v>
      </c>
      <c r="K57" s="198">
        <v>0</v>
      </c>
      <c r="L57" s="198">
        <v>6600515.9490863997</v>
      </c>
      <c r="M57" s="198">
        <v>209439.78291001619</v>
      </c>
      <c r="N57" s="201">
        <v>31.515101177899179</v>
      </c>
      <c r="O57" s="202">
        <v>-1.0613265541155771E-2</v>
      </c>
      <c r="P57" s="186">
        <v>68</v>
      </c>
      <c r="Q57" s="211">
        <f t="shared" si="0"/>
        <v>7081599.0844783233</v>
      </c>
      <c r="R57" s="93">
        <v>438831.0712271682</v>
      </c>
      <c r="S57" s="15">
        <f>(D57+E57+F57)/M57</f>
        <v>33.812100958492998</v>
      </c>
      <c r="T57" s="203">
        <f>S57*R57</f>
        <v>14837800.484056642</v>
      </c>
      <c r="U57" s="203">
        <f t="shared" si="1"/>
        <v>14837800.484056642</v>
      </c>
      <c r="V57" s="203">
        <f t="shared" si="2"/>
        <v>438831.0712271682</v>
      </c>
      <c r="W57" s="203"/>
      <c r="X57" s="203"/>
    </row>
    <row r="58" spans="2:24" x14ac:dyDescent="0.25">
      <c r="B58" s="196">
        <v>10158</v>
      </c>
      <c r="C58" s="197" t="s">
        <v>181</v>
      </c>
      <c r="D58" s="198">
        <v>800152.62624000013</v>
      </c>
      <c r="E58" s="198">
        <v>-140617.37712000002</v>
      </c>
      <c r="F58" s="199">
        <v>16123.713245298692</v>
      </c>
      <c r="G58" s="199">
        <v>39105.256602029913</v>
      </c>
      <c r="H58" s="200">
        <v>0.34261521936379724</v>
      </c>
      <c r="I58" s="200">
        <v>0</v>
      </c>
      <c r="J58" s="200">
        <v>0</v>
      </c>
      <c r="K58" s="198">
        <v>0</v>
      </c>
      <c r="L58" s="198">
        <v>714764.56158254808</v>
      </c>
      <c r="M58" s="198">
        <v>19930.845091349278</v>
      </c>
      <c r="N58" s="201">
        <v>35.86223054298798</v>
      </c>
      <c r="O58" s="202">
        <v>-1.2973364599788035E-2</v>
      </c>
      <c r="P58" s="186">
        <v>81</v>
      </c>
      <c r="Q58" s="211">
        <f t="shared" si="0"/>
        <v>714764.56158254808</v>
      </c>
      <c r="S58" s="14"/>
      <c r="T58" s="203"/>
      <c r="U58" s="203">
        <f t="shared" si="1"/>
        <v>714764.56158254808</v>
      </c>
      <c r="V58" s="203">
        <f t="shared" si="2"/>
        <v>19930.845091349278</v>
      </c>
      <c r="W58" s="203"/>
      <c r="X58" s="203"/>
    </row>
    <row r="59" spans="2:24" x14ac:dyDescent="0.25">
      <c r="B59" s="196">
        <v>10170</v>
      </c>
      <c r="C59" s="197" t="s">
        <v>182</v>
      </c>
      <c r="D59" s="198">
        <v>36579331.049759999</v>
      </c>
      <c r="E59" s="198">
        <v>-6428385.5608799998</v>
      </c>
      <c r="F59" s="199">
        <v>837902.95613211731</v>
      </c>
      <c r="G59" s="199">
        <v>0</v>
      </c>
      <c r="H59" s="200">
        <v>0</v>
      </c>
      <c r="I59" s="200">
        <v>0</v>
      </c>
      <c r="J59" s="200">
        <v>0</v>
      </c>
      <c r="K59" s="198">
        <v>0</v>
      </c>
      <c r="L59" s="198">
        <v>30988848.445012119</v>
      </c>
      <c r="M59" s="198">
        <v>911051.88974899997</v>
      </c>
      <c r="N59" s="201">
        <v>34.014361633726182</v>
      </c>
      <c r="O59" s="202">
        <v>-6.0276442904312012E-3</v>
      </c>
      <c r="P59" s="186">
        <v>49</v>
      </c>
      <c r="Q59" s="211">
        <f t="shared" si="0"/>
        <v>30988848.445012119</v>
      </c>
      <c r="S59" s="14"/>
      <c r="T59" s="203"/>
      <c r="U59" s="203">
        <f t="shared" si="1"/>
        <v>30988848.445012119</v>
      </c>
      <c r="V59" s="203">
        <f t="shared" si="2"/>
        <v>911051.88974899997</v>
      </c>
      <c r="W59" s="203"/>
      <c r="X59" s="203"/>
    </row>
    <row r="60" spans="2:24" x14ac:dyDescent="0.25">
      <c r="B60" s="196">
        <v>10172</v>
      </c>
      <c r="C60" s="197" t="s">
        <v>183</v>
      </c>
      <c r="D60" s="198">
        <v>1859632.4268</v>
      </c>
      <c r="E60" s="198">
        <v>-326808.44339999999</v>
      </c>
      <c r="F60" s="199">
        <v>38393.470435758034</v>
      </c>
      <c r="G60" s="199">
        <v>137232.96968856838</v>
      </c>
      <c r="H60" s="200">
        <v>10.739651190077712</v>
      </c>
      <c r="I60" s="200">
        <v>0</v>
      </c>
      <c r="J60" s="200">
        <v>0</v>
      </c>
      <c r="K60" s="198">
        <v>0</v>
      </c>
      <c r="L60" s="198">
        <v>1708461.1631755168</v>
      </c>
      <c r="M60" s="198">
        <v>46316.436212304594</v>
      </c>
      <c r="N60" s="201">
        <v>36.886714585386009</v>
      </c>
      <c r="O60" s="202">
        <v>-4.6790016472061276E-3</v>
      </c>
      <c r="P60" s="186">
        <v>41</v>
      </c>
      <c r="Q60" s="211">
        <f t="shared" si="0"/>
        <v>1708461.1631755168</v>
      </c>
      <c r="S60" s="14"/>
      <c r="T60" s="203"/>
      <c r="U60" s="203">
        <f t="shared" si="1"/>
        <v>1708461.1631755168</v>
      </c>
      <c r="V60" s="203">
        <f t="shared" si="2"/>
        <v>46316.436212304594</v>
      </c>
      <c r="W60" s="203"/>
      <c r="X60" s="203"/>
    </row>
    <row r="61" spans="2:24" x14ac:dyDescent="0.25">
      <c r="B61" s="196">
        <v>10173</v>
      </c>
      <c r="C61" s="197" t="s">
        <v>83</v>
      </c>
      <c r="D61" s="198">
        <v>11684420.542079998</v>
      </c>
      <c r="E61" s="198">
        <v>-2053398.9590399999</v>
      </c>
      <c r="F61" s="199">
        <v>0</v>
      </c>
      <c r="G61" s="199">
        <v>0</v>
      </c>
      <c r="H61" s="200">
        <v>0</v>
      </c>
      <c r="I61" s="200">
        <v>0</v>
      </c>
      <c r="J61" s="200">
        <v>-816473.99723338266</v>
      </c>
      <c r="K61" s="198">
        <v>-512666.65372</v>
      </c>
      <c r="L61" s="198" t="s">
        <v>249</v>
      </c>
      <c r="M61" s="198" t="s">
        <v>249</v>
      </c>
      <c r="N61" s="201" t="s">
        <v>249</v>
      </c>
      <c r="O61" s="202" t="s">
        <v>249</v>
      </c>
      <c r="P61" s="186" t="s">
        <v>249</v>
      </c>
      <c r="Q61" s="211">
        <f t="shared" si="0"/>
        <v>9631021.583039999</v>
      </c>
      <c r="S61" s="14"/>
      <c r="T61" s="203"/>
      <c r="U61" s="203">
        <f t="shared" si="1"/>
        <v>9631021.583039999</v>
      </c>
      <c r="V61" s="203" t="str">
        <f t="shared" si="2"/>
        <v/>
      </c>
      <c r="W61" s="203"/>
      <c r="X61" s="203"/>
    </row>
    <row r="62" spans="2:24" x14ac:dyDescent="0.25">
      <c r="B62" s="196">
        <v>10174</v>
      </c>
      <c r="C62" s="197" t="s">
        <v>184</v>
      </c>
      <c r="D62" s="198">
        <v>174877.69104000001</v>
      </c>
      <c r="E62" s="198">
        <v>-30732.68952</v>
      </c>
      <c r="F62" s="199">
        <v>4765.9165786673993</v>
      </c>
      <c r="G62" s="199">
        <v>5423.8762712606795</v>
      </c>
      <c r="H62" s="200">
        <v>13.554085636356641</v>
      </c>
      <c r="I62" s="200">
        <v>0</v>
      </c>
      <c r="J62" s="200">
        <v>0</v>
      </c>
      <c r="K62" s="198">
        <v>0</v>
      </c>
      <c r="L62" s="198">
        <v>154348.34845556444</v>
      </c>
      <c r="M62" s="198">
        <v>4354.8500199648797</v>
      </c>
      <c r="N62" s="201">
        <v>35.442862038405906</v>
      </c>
      <c r="O62" s="202">
        <v>-7.9412448334141138E-3</v>
      </c>
      <c r="P62" s="186">
        <v>61</v>
      </c>
      <c r="Q62" s="211">
        <f t="shared" si="0"/>
        <v>154348.34845556444</v>
      </c>
      <c r="S62" s="14"/>
      <c r="T62" s="203"/>
      <c r="U62" s="203">
        <f t="shared" si="1"/>
        <v>154348.34845556444</v>
      </c>
      <c r="V62" s="203">
        <f t="shared" si="2"/>
        <v>4354.8500199648797</v>
      </c>
      <c r="W62" s="203"/>
      <c r="X62" s="203"/>
    </row>
    <row r="63" spans="2:24" x14ac:dyDescent="0.25">
      <c r="B63" s="196">
        <v>10177</v>
      </c>
      <c r="C63" s="197" t="s">
        <v>185</v>
      </c>
      <c r="D63" s="198">
        <v>3053135.30112</v>
      </c>
      <c r="E63" s="198">
        <v>-536552.48256000003</v>
      </c>
      <c r="F63" s="199">
        <v>90671.70460106495</v>
      </c>
      <c r="G63" s="199">
        <v>85564.236218696518</v>
      </c>
      <c r="H63" s="200">
        <v>-6.3689258130046076</v>
      </c>
      <c r="I63" s="200">
        <v>0</v>
      </c>
      <c r="J63" s="200">
        <v>-188496.86733177639</v>
      </c>
      <c r="K63" s="198">
        <v>0</v>
      </c>
      <c r="L63" s="198">
        <v>2504315.5231221719</v>
      </c>
      <c r="M63" s="198">
        <v>76044.034348560628</v>
      </c>
      <c r="N63" s="201">
        <v>32.932439008209641</v>
      </c>
      <c r="O63" s="202">
        <v>-4.5215097512248913E-3</v>
      </c>
      <c r="P63" s="186">
        <v>40</v>
      </c>
      <c r="Q63" s="211">
        <f t="shared" si="0"/>
        <v>2692812.3904539482</v>
      </c>
      <c r="S63" s="14"/>
      <c r="T63" s="203"/>
      <c r="U63" s="203">
        <f t="shared" si="1"/>
        <v>2692812.3904539482</v>
      </c>
      <c r="V63" s="203">
        <f t="shared" si="2"/>
        <v>76044.034348560628</v>
      </c>
      <c r="W63" s="203"/>
      <c r="X63" s="203"/>
    </row>
    <row r="64" spans="2:24" x14ac:dyDescent="0.25">
      <c r="B64" s="196">
        <v>10179</v>
      </c>
      <c r="C64" s="197" t="s">
        <v>84</v>
      </c>
      <c r="D64" s="198">
        <v>58835382.040080003</v>
      </c>
      <c r="E64" s="198">
        <v>-10339623.75804</v>
      </c>
      <c r="F64" s="199">
        <v>0</v>
      </c>
      <c r="G64" s="199">
        <v>0</v>
      </c>
      <c r="H64" s="200">
        <v>0</v>
      </c>
      <c r="I64" s="200">
        <v>0</v>
      </c>
      <c r="J64" s="200">
        <v>0</v>
      </c>
      <c r="K64" s="198">
        <v>0</v>
      </c>
      <c r="L64" s="198" t="s">
        <v>249</v>
      </c>
      <c r="M64" s="198" t="s">
        <v>249</v>
      </c>
      <c r="N64" s="201" t="s">
        <v>249</v>
      </c>
      <c r="O64" s="202" t="s">
        <v>249</v>
      </c>
      <c r="P64" s="186" t="s">
        <v>249</v>
      </c>
      <c r="Q64" s="211">
        <f t="shared" si="0"/>
        <v>48495758.28204</v>
      </c>
      <c r="S64" s="14"/>
      <c r="T64" s="203"/>
      <c r="U64" s="203">
        <f t="shared" si="1"/>
        <v>48495758.28204</v>
      </c>
      <c r="V64" s="203" t="str">
        <f t="shared" si="2"/>
        <v/>
      </c>
      <c r="W64" s="203"/>
      <c r="X64" s="203"/>
    </row>
    <row r="65" spans="2:24" x14ac:dyDescent="0.25">
      <c r="B65" s="196">
        <v>10183</v>
      </c>
      <c r="C65" s="197" t="s">
        <v>186</v>
      </c>
      <c r="D65" s="198">
        <v>21987008.388719998</v>
      </c>
      <c r="E65" s="198">
        <v>-3863957.1363599999</v>
      </c>
      <c r="F65" s="199">
        <v>373763.27958553639</v>
      </c>
      <c r="G65" s="199">
        <v>0</v>
      </c>
      <c r="H65" s="200">
        <v>0</v>
      </c>
      <c r="I65" s="200">
        <v>0</v>
      </c>
      <c r="J65" s="200">
        <v>0</v>
      </c>
      <c r="K65" s="198">
        <v>-1092291.84779</v>
      </c>
      <c r="L65" s="198">
        <v>17404522.684155535</v>
      </c>
      <c r="M65" s="198">
        <v>547614.05966807751</v>
      </c>
      <c r="N65" s="201">
        <v>31.782461346417673</v>
      </c>
      <c r="O65" s="202">
        <v>2.9262023424428034E-3</v>
      </c>
      <c r="P65" s="186">
        <v>27</v>
      </c>
      <c r="Q65" s="211">
        <f t="shared" si="0"/>
        <v>18496814.531945534</v>
      </c>
      <c r="S65" s="14"/>
      <c r="T65" s="203"/>
      <c r="U65" s="203">
        <f t="shared" si="1"/>
        <v>18496814.531945534</v>
      </c>
      <c r="V65" s="203">
        <f t="shared" si="2"/>
        <v>547614.05966807751</v>
      </c>
      <c r="W65" s="203"/>
      <c r="X65" s="203"/>
    </row>
    <row r="66" spans="2:24" x14ac:dyDescent="0.25">
      <c r="B66" s="196">
        <v>10186</v>
      </c>
      <c r="C66" s="197" t="s">
        <v>187</v>
      </c>
      <c r="D66" s="198">
        <v>6223852.1836799998</v>
      </c>
      <c r="E66" s="198">
        <v>-1093768.5398399998</v>
      </c>
      <c r="F66" s="199">
        <v>113053.32803385516</v>
      </c>
      <c r="G66" s="199">
        <v>304818.56167275651</v>
      </c>
      <c r="H66" s="200">
        <v>-5.7050919674593024</v>
      </c>
      <c r="I66" s="200">
        <v>0</v>
      </c>
      <c r="J66" s="200">
        <v>-388356.48799182515</v>
      </c>
      <c r="K66" s="198">
        <v>0</v>
      </c>
      <c r="L66" s="198">
        <v>5159593.3404628197</v>
      </c>
      <c r="M66" s="198">
        <v>155012.09571054493</v>
      </c>
      <c r="N66" s="201">
        <v>33.285101506513151</v>
      </c>
      <c r="O66" s="202">
        <v>-1.0832469620940265E-2</v>
      </c>
      <c r="P66" s="186">
        <v>69</v>
      </c>
      <c r="Q66" s="211">
        <f t="shared" si="0"/>
        <v>5547949.8284546444</v>
      </c>
      <c r="S66" s="14"/>
      <c r="T66" s="203"/>
      <c r="U66" s="203">
        <f t="shared" si="1"/>
        <v>5547949.8284546444</v>
      </c>
      <c r="V66" s="203">
        <f t="shared" si="2"/>
        <v>155012.09571054493</v>
      </c>
      <c r="W66" s="203"/>
      <c r="X66" s="203"/>
    </row>
    <row r="67" spans="2:24" x14ac:dyDescent="0.25">
      <c r="B67" s="196">
        <v>10190</v>
      </c>
      <c r="C67" s="197" t="s">
        <v>188</v>
      </c>
      <c r="D67" s="198">
        <v>1831233.4855200001</v>
      </c>
      <c r="E67" s="198">
        <v>-321817.66476000001</v>
      </c>
      <c r="F67" s="199">
        <v>100829.4720446602</v>
      </c>
      <c r="G67" s="199">
        <v>166826.35745763886</v>
      </c>
      <c r="H67" s="200">
        <v>0</v>
      </c>
      <c r="I67" s="200">
        <v>0</v>
      </c>
      <c r="J67" s="200">
        <v>0</v>
      </c>
      <c r="K67" s="198">
        <v>0</v>
      </c>
      <c r="L67" s="198">
        <v>1777071.6502622992</v>
      </c>
      <c r="M67" s="198">
        <v>45606.527999999998</v>
      </c>
      <c r="N67" s="201">
        <v>38.965291334220822</v>
      </c>
      <c r="O67" s="202">
        <v>-5.3962364267908149E-3</v>
      </c>
      <c r="P67" s="186">
        <v>45</v>
      </c>
      <c r="Q67" s="211">
        <f t="shared" si="0"/>
        <v>1777071.6502622992</v>
      </c>
      <c r="S67" s="14"/>
      <c r="T67" s="203"/>
      <c r="U67" s="203">
        <f t="shared" si="1"/>
        <v>1777071.6502622992</v>
      </c>
      <c r="V67" s="203">
        <f t="shared" si="2"/>
        <v>45606.527999999998</v>
      </c>
      <c r="W67" s="203"/>
      <c r="X67" s="203"/>
    </row>
    <row r="68" spans="2:24" x14ac:dyDescent="0.25">
      <c r="B68" s="196">
        <v>10191</v>
      </c>
      <c r="C68" s="197" t="s">
        <v>189</v>
      </c>
      <c r="D68" s="198">
        <v>42486809.063040003</v>
      </c>
      <c r="E68" s="198">
        <v>-7466555.0755199995</v>
      </c>
      <c r="F68" s="199">
        <v>4091014.0589906322</v>
      </c>
      <c r="G68" s="199">
        <v>1393634.2342493585</v>
      </c>
      <c r="H68" s="200">
        <v>-583738.28611385624</v>
      </c>
      <c r="I68" s="200">
        <v>0</v>
      </c>
      <c r="J68" s="200">
        <v>0</v>
      </c>
      <c r="K68" s="198">
        <v>0</v>
      </c>
      <c r="L68" s="198">
        <v>39921163.994646139</v>
      </c>
      <c r="M68" s="198">
        <v>1144918.8718504987</v>
      </c>
      <c r="N68" s="201">
        <v>34.868115965389528</v>
      </c>
      <c r="O68" s="202">
        <v>-1.9270112604992971E-2</v>
      </c>
      <c r="P68" s="186">
        <v>99</v>
      </c>
      <c r="Q68" s="211">
        <f t="shared" si="0"/>
        <v>39921163.994646139</v>
      </c>
      <c r="S68" s="14"/>
      <c r="T68" s="203"/>
      <c r="U68" s="203">
        <f t="shared" si="1"/>
        <v>39921163.994646139</v>
      </c>
      <c r="V68" s="203">
        <f t="shared" si="2"/>
        <v>1144918.8718504987</v>
      </c>
      <c r="W68" s="203"/>
      <c r="X68" s="203"/>
    </row>
    <row r="69" spans="2:24" x14ac:dyDescent="0.25">
      <c r="B69" s="196">
        <v>10197</v>
      </c>
      <c r="C69" s="197" t="s">
        <v>190</v>
      </c>
      <c r="D69" s="198">
        <v>8024693.8197599994</v>
      </c>
      <c r="E69" s="198">
        <v>-1410245.19588</v>
      </c>
      <c r="F69" s="199">
        <v>-92750.432311249693</v>
      </c>
      <c r="G69" s="199">
        <v>389328.45674254815</v>
      </c>
      <c r="H69" s="200">
        <v>0</v>
      </c>
      <c r="I69" s="200">
        <v>0</v>
      </c>
      <c r="J69" s="200">
        <v>-600265.78048867045</v>
      </c>
      <c r="K69" s="198">
        <v>-1155833.8018499999</v>
      </c>
      <c r="L69" s="198">
        <v>5154927.0659726262</v>
      </c>
      <c r="M69" s="198">
        <v>199862.08591613767</v>
      </c>
      <c r="N69" s="201">
        <v>25.79242102044126</v>
      </c>
      <c r="O69" s="202">
        <v>3.4916537218304004E-2</v>
      </c>
      <c r="P69" s="186">
        <v>5</v>
      </c>
      <c r="Q69" s="211">
        <f t="shared" ref="Q69:Q132" si="3">D69+E69+F69+G69+H69+I69</f>
        <v>6911026.6483112974</v>
      </c>
      <c r="S69" s="14"/>
      <c r="T69" s="203"/>
      <c r="U69" s="203">
        <f t="shared" ref="U69:U132" si="4">IF(T69&gt;0, T69, D69+E69+F69+G69+H69+I69)</f>
        <v>6911026.6483112974</v>
      </c>
      <c r="V69" s="203">
        <f t="shared" ref="V69:V132" si="5">IF(R69&gt;0, R69, M69)</f>
        <v>199862.08591613767</v>
      </c>
      <c r="W69" s="203"/>
      <c r="X69" s="203"/>
    </row>
    <row r="70" spans="2:24" x14ac:dyDescent="0.25">
      <c r="B70" s="196">
        <v>10202</v>
      </c>
      <c r="C70" s="197" t="s">
        <v>191</v>
      </c>
      <c r="D70" s="198">
        <v>4619810.2283999994</v>
      </c>
      <c r="E70" s="198">
        <v>-811877.10420000006</v>
      </c>
      <c r="F70" s="199">
        <v>270070.19819845713</v>
      </c>
      <c r="G70" s="199">
        <v>195936.06707251613</v>
      </c>
      <c r="H70" s="200">
        <v>0</v>
      </c>
      <c r="I70" s="200">
        <v>0</v>
      </c>
      <c r="J70" s="200">
        <v>0</v>
      </c>
      <c r="K70" s="198">
        <v>0</v>
      </c>
      <c r="L70" s="198">
        <v>4273939.3894709731</v>
      </c>
      <c r="M70" s="198">
        <v>115059.0175274198</v>
      </c>
      <c r="N70" s="201">
        <v>37.145627359910733</v>
      </c>
      <c r="O70" s="202">
        <v>8.8188546249622704E-3</v>
      </c>
      <c r="P70" s="186">
        <v>18</v>
      </c>
      <c r="Q70" s="211">
        <f t="shared" si="3"/>
        <v>4273939.3894709731</v>
      </c>
      <c r="S70" s="14"/>
      <c r="T70" s="203"/>
      <c r="U70" s="203">
        <f t="shared" si="4"/>
        <v>4273939.3894709731</v>
      </c>
      <c r="V70" s="203">
        <f t="shared" si="5"/>
        <v>115059.0175274198</v>
      </c>
      <c r="W70" s="203"/>
      <c r="X70" s="203"/>
    </row>
    <row r="71" spans="2:24" x14ac:dyDescent="0.25">
      <c r="B71" s="196">
        <v>10203</v>
      </c>
      <c r="C71" s="197" t="s">
        <v>192</v>
      </c>
      <c r="D71" s="198">
        <v>2191202.5219200002</v>
      </c>
      <c r="E71" s="198">
        <v>-385077.97295999998</v>
      </c>
      <c r="F71" s="199">
        <v>93762.130483808287</v>
      </c>
      <c r="G71" s="199">
        <v>115010.53484511218</v>
      </c>
      <c r="H71" s="200">
        <v>0</v>
      </c>
      <c r="I71" s="200">
        <v>0</v>
      </c>
      <c r="J71" s="200">
        <v>-152756.64491332858</v>
      </c>
      <c r="K71" s="198">
        <v>0</v>
      </c>
      <c r="L71" s="198">
        <v>1862140.5693755921</v>
      </c>
      <c r="M71" s="198">
        <v>54574.991999999998</v>
      </c>
      <c r="N71" s="201">
        <v>34.120766694305551</v>
      </c>
      <c r="O71" s="202">
        <v>-6.0020853384686592E-3</v>
      </c>
      <c r="P71" s="186">
        <v>48</v>
      </c>
      <c r="Q71" s="211">
        <f t="shared" si="3"/>
        <v>2014897.2142889206</v>
      </c>
      <c r="S71" s="14"/>
      <c r="T71" s="203"/>
      <c r="U71" s="203">
        <f t="shared" si="4"/>
        <v>2014897.2142889206</v>
      </c>
      <c r="V71" s="203">
        <f t="shared" si="5"/>
        <v>54574.991999999998</v>
      </c>
      <c r="W71" s="203"/>
      <c r="X71" s="203"/>
    </row>
    <row r="72" spans="2:24" x14ac:dyDescent="0.25">
      <c r="B72" s="196">
        <v>10204</v>
      </c>
      <c r="C72" s="197" t="s">
        <v>193</v>
      </c>
      <c r="D72" s="198">
        <v>14386554.893519998</v>
      </c>
      <c r="E72" s="198">
        <v>-2528267.1687599993</v>
      </c>
      <c r="F72" s="199">
        <v>191592.17966849613</v>
      </c>
      <c r="G72" s="199">
        <v>0</v>
      </c>
      <c r="H72" s="200">
        <v>0</v>
      </c>
      <c r="I72" s="200">
        <v>0</v>
      </c>
      <c r="J72" s="200">
        <v>0</v>
      </c>
      <c r="K72" s="198">
        <v>0</v>
      </c>
      <c r="L72" s="198">
        <v>12049879.904428493</v>
      </c>
      <c r="M72" s="198">
        <v>358312.94915337389</v>
      </c>
      <c r="N72" s="201">
        <v>33.629484876000419</v>
      </c>
      <c r="O72" s="202">
        <v>-1.217074646346333E-2</v>
      </c>
      <c r="P72" s="186">
        <v>77</v>
      </c>
      <c r="Q72" s="211">
        <f t="shared" si="3"/>
        <v>12049879.904428493</v>
      </c>
      <c r="S72" s="14"/>
      <c r="T72" s="203"/>
      <c r="U72" s="203">
        <f t="shared" si="4"/>
        <v>12049879.904428493</v>
      </c>
      <c r="V72" s="203">
        <f t="shared" si="5"/>
        <v>358312.94915337389</v>
      </c>
      <c r="W72" s="203"/>
      <c r="X72" s="203"/>
    </row>
    <row r="73" spans="2:24" x14ac:dyDescent="0.25">
      <c r="B73" s="196">
        <v>10209</v>
      </c>
      <c r="C73" s="197" t="s">
        <v>194</v>
      </c>
      <c r="D73" s="198">
        <v>36993108.606479995</v>
      </c>
      <c r="E73" s="198">
        <v>-6501102.0812400002</v>
      </c>
      <c r="F73" s="199">
        <v>1299795.9093768131</v>
      </c>
      <c r="G73" s="199">
        <v>2665414.0181708862</v>
      </c>
      <c r="H73" s="200">
        <v>0</v>
      </c>
      <c r="I73" s="200">
        <v>0</v>
      </c>
      <c r="J73" s="200">
        <v>-2940949.2121326602</v>
      </c>
      <c r="K73" s="198">
        <v>-695503.95056999999</v>
      </c>
      <c r="L73" s="198">
        <v>30820763.29008504</v>
      </c>
      <c r="M73" s="198">
        <v>921349.75322331162</v>
      </c>
      <c r="N73" s="201">
        <v>33.451751826339148</v>
      </c>
      <c r="O73" s="202">
        <v>-1.0529069170870202E-2</v>
      </c>
      <c r="P73" s="186">
        <v>67</v>
      </c>
      <c r="Q73" s="211">
        <f t="shared" si="3"/>
        <v>34457216.452787697</v>
      </c>
      <c r="S73" s="14"/>
      <c r="T73" s="203"/>
      <c r="U73" s="203">
        <f t="shared" si="4"/>
        <v>34457216.452787697</v>
      </c>
      <c r="V73" s="203">
        <f t="shared" si="5"/>
        <v>921349.75322331162</v>
      </c>
      <c r="W73" s="203"/>
      <c r="X73" s="203"/>
    </row>
    <row r="74" spans="2:24" x14ac:dyDescent="0.25">
      <c r="B74" s="196">
        <v>10230</v>
      </c>
      <c r="C74" s="197" t="s">
        <v>195</v>
      </c>
      <c r="D74" s="198">
        <v>3421823.31072</v>
      </c>
      <c r="E74" s="198">
        <v>-601345.04735999997</v>
      </c>
      <c r="F74" s="199">
        <v>152569.73634138948</v>
      </c>
      <c r="G74" s="199">
        <v>354014.34128448187</v>
      </c>
      <c r="H74" s="200">
        <v>0</v>
      </c>
      <c r="I74" s="200">
        <v>0</v>
      </c>
      <c r="J74" s="200">
        <v>-296170.96077260951</v>
      </c>
      <c r="K74" s="198">
        <v>0</v>
      </c>
      <c r="L74" s="198">
        <v>3030891.380213262</v>
      </c>
      <c r="M74" s="198">
        <v>85218.409390651839</v>
      </c>
      <c r="N74" s="201">
        <v>35.566157616475536</v>
      </c>
      <c r="O74" s="202">
        <v>-2.0895547179657385E-3</v>
      </c>
      <c r="P74" s="186">
        <v>38</v>
      </c>
      <c r="Q74" s="211">
        <f t="shared" si="3"/>
        <v>3327062.3409858714</v>
      </c>
      <c r="S74" s="14"/>
      <c r="T74" s="203"/>
      <c r="U74" s="203">
        <f t="shared" si="4"/>
        <v>3327062.3409858714</v>
      </c>
      <c r="V74" s="203">
        <f t="shared" si="5"/>
        <v>85218.409390651839</v>
      </c>
      <c r="W74" s="203"/>
      <c r="X74" s="203"/>
    </row>
    <row r="75" spans="2:24" x14ac:dyDescent="0.25">
      <c r="B75" s="196">
        <v>10231</v>
      </c>
      <c r="C75" s="197" t="s">
        <v>196</v>
      </c>
      <c r="D75" s="198">
        <v>12928991.688000001</v>
      </c>
      <c r="E75" s="198">
        <v>-2272117.6439999999</v>
      </c>
      <c r="F75" s="199">
        <v>694268.45162848954</v>
      </c>
      <c r="G75" s="199">
        <v>401204.94348141062</v>
      </c>
      <c r="H75" s="200">
        <v>0</v>
      </c>
      <c r="I75" s="200">
        <v>0</v>
      </c>
      <c r="J75" s="200">
        <v>-1276443.6172170544</v>
      </c>
      <c r="K75" s="198">
        <v>-250290.67452999999</v>
      </c>
      <c r="L75" s="198">
        <v>10225613.147362847</v>
      </c>
      <c r="M75" s="198">
        <v>322012.65600000002</v>
      </c>
      <c r="N75" s="201">
        <v>31.755314447525461</v>
      </c>
      <c r="O75" s="202">
        <v>-7.7940425936092938E-3</v>
      </c>
      <c r="P75" s="186">
        <v>58</v>
      </c>
      <c r="Q75" s="211">
        <f t="shared" si="3"/>
        <v>11752347.439109901</v>
      </c>
      <c r="S75" s="14"/>
      <c r="T75" s="203"/>
      <c r="U75" s="203">
        <f t="shared" si="4"/>
        <v>11752347.439109901</v>
      </c>
      <c r="V75" s="203">
        <f t="shared" si="5"/>
        <v>322012.65600000002</v>
      </c>
      <c r="W75" s="203"/>
      <c r="X75" s="203"/>
    </row>
    <row r="76" spans="2:24" x14ac:dyDescent="0.25">
      <c r="B76" s="196">
        <v>10234</v>
      </c>
      <c r="C76" s="197" t="s">
        <v>197</v>
      </c>
      <c r="D76" s="198">
        <v>17986494.371040002</v>
      </c>
      <c r="E76" s="198">
        <v>-3160914.0295200003</v>
      </c>
      <c r="F76" s="199">
        <v>817714.7987373037</v>
      </c>
      <c r="G76" s="199">
        <v>1848351.691703392</v>
      </c>
      <c r="H76" s="200">
        <v>0</v>
      </c>
      <c r="I76" s="200">
        <v>0</v>
      </c>
      <c r="J76" s="200">
        <v>0</v>
      </c>
      <c r="K76" s="198">
        <v>0</v>
      </c>
      <c r="L76" s="198">
        <v>17491646.831960697</v>
      </c>
      <c r="M76" s="198">
        <v>447975.21600000001</v>
      </c>
      <c r="N76" s="201">
        <v>39.046014616935182</v>
      </c>
      <c r="O76" s="202">
        <v>-5.2280111666867912E-5</v>
      </c>
      <c r="P76" s="186">
        <v>34</v>
      </c>
      <c r="Q76" s="211">
        <f t="shared" si="3"/>
        <v>17491646.831960697</v>
      </c>
      <c r="S76" s="14"/>
      <c r="T76" s="203"/>
      <c r="U76" s="203">
        <f t="shared" si="4"/>
        <v>17491646.831960697</v>
      </c>
      <c r="V76" s="203">
        <f t="shared" si="5"/>
        <v>447975.21600000001</v>
      </c>
      <c r="W76" s="203"/>
      <c r="X76" s="203"/>
    </row>
    <row r="77" spans="2:24" x14ac:dyDescent="0.25">
      <c r="B77" s="196">
        <v>10235</v>
      </c>
      <c r="C77" s="197" t="s">
        <v>198</v>
      </c>
      <c r="D77" s="198">
        <v>10663802.45064</v>
      </c>
      <c r="E77" s="198">
        <v>-1874037.3793200001</v>
      </c>
      <c r="F77" s="199">
        <v>292543.65962391032</v>
      </c>
      <c r="G77" s="199">
        <v>499216.11016645317</v>
      </c>
      <c r="H77" s="200">
        <v>-25.716793310551441</v>
      </c>
      <c r="I77" s="200">
        <v>0</v>
      </c>
      <c r="J77" s="200">
        <v>0</v>
      </c>
      <c r="K77" s="198">
        <v>0</v>
      </c>
      <c r="L77" s="198">
        <v>9581499.1243170537</v>
      </c>
      <c r="M77" s="198">
        <v>265596.84521743102</v>
      </c>
      <c r="N77" s="201">
        <v>36.075349902869341</v>
      </c>
      <c r="O77" s="202">
        <v>-6.967030514149858E-3</v>
      </c>
      <c r="P77" s="186">
        <v>55</v>
      </c>
      <c r="Q77" s="211">
        <f t="shared" si="3"/>
        <v>9581499.1243170537</v>
      </c>
      <c r="S77" s="14"/>
      <c r="T77" s="203"/>
      <c r="U77" s="203">
        <f t="shared" si="4"/>
        <v>9581499.1243170537</v>
      </c>
      <c r="V77" s="203">
        <f t="shared" si="5"/>
        <v>265596.84521743102</v>
      </c>
      <c r="W77" s="203"/>
      <c r="X77" s="203"/>
    </row>
    <row r="78" spans="2:24" x14ac:dyDescent="0.25">
      <c r="B78" s="196">
        <v>10236</v>
      </c>
      <c r="C78" s="197" t="s">
        <v>85</v>
      </c>
      <c r="D78" s="198">
        <v>9901016.8524000011</v>
      </c>
      <c r="E78" s="198">
        <v>-1739986.8161999998</v>
      </c>
      <c r="F78" s="199">
        <v>0</v>
      </c>
      <c r="G78" s="199">
        <v>0</v>
      </c>
      <c r="H78" s="200">
        <v>-20.347393971515121</v>
      </c>
      <c r="I78" s="200">
        <v>0</v>
      </c>
      <c r="J78" s="200">
        <v>-530465.62977239199</v>
      </c>
      <c r="K78" s="198">
        <v>0</v>
      </c>
      <c r="L78" s="198" t="s">
        <v>249</v>
      </c>
      <c r="M78" s="198" t="s">
        <v>249</v>
      </c>
      <c r="N78" s="201" t="s">
        <v>249</v>
      </c>
      <c r="O78" s="202" t="s">
        <v>249</v>
      </c>
      <c r="P78" s="186" t="s">
        <v>249</v>
      </c>
      <c r="Q78" s="211">
        <f t="shared" si="3"/>
        <v>8161009.68880603</v>
      </c>
      <c r="S78" s="14"/>
      <c r="T78" s="203"/>
      <c r="U78" s="203">
        <f t="shared" si="4"/>
        <v>8161009.68880603</v>
      </c>
      <c r="V78" s="203" t="str">
        <f t="shared" si="5"/>
        <v/>
      </c>
      <c r="W78" s="203"/>
      <c r="X78" s="203"/>
    </row>
    <row r="79" spans="2:24" x14ac:dyDescent="0.25">
      <c r="B79" s="196">
        <v>10237</v>
      </c>
      <c r="C79" s="197" t="s">
        <v>199</v>
      </c>
      <c r="D79" s="198">
        <v>16189638.551280001</v>
      </c>
      <c r="E79" s="198">
        <v>-2845137.8336399999</v>
      </c>
      <c r="F79" s="199">
        <v>105997.69757389235</v>
      </c>
      <c r="G79" s="199">
        <v>0</v>
      </c>
      <c r="H79" s="200">
        <v>0</v>
      </c>
      <c r="I79" s="200">
        <v>0</v>
      </c>
      <c r="J79" s="200">
        <v>-726508.38110261655</v>
      </c>
      <c r="K79" s="198">
        <v>0</v>
      </c>
      <c r="L79" s="198">
        <v>12723990.034111278</v>
      </c>
      <c r="M79" s="198">
        <v>403220.02757912123</v>
      </c>
      <c r="N79" s="201">
        <v>31.55594753193288</v>
      </c>
      <c r="O79" s="202">
        <v>-2.0954119527630061E-2</v>
      </c>
      <c r="P79" s="186">
        <v>105</v>
      </c>
      <c r="Q79" s="211">
        <f t="shared" si="3"/>
        <v>13450498.415213894</v>
      </c>
      <c r="R79" s="93">
        <v>999021.89478996932</v>
      </c>
      <c r="S79" s="15">
        <f>(D79+E79+F79)/M79</f>
        <v>33.357714139272488</v>
      </c>
      <c r="T79" s="203">
        <f>S79*R79</f>
        <v>33325086.785278153</v>
      </c>
      <c r="U79" s="203">
        <f t="shared" si="4"/>
        <v>33325086.785278153</v>
      </c>
      <c r="V79" s="203">
        <f t="shared" si="5"/>
        <v>999021.89478996932</v>
      </c>
      <c r="W79" s="203"/>
      <c r="X79" s="203"/>
    </row>
    <row r="80" spans="2:24" x14ac:dyDescent="0.25">
      <c r="B80" s="196">
        <v>10239</v>
      </c>
      <c r="C80" s="197" t="s">
        <v>86</v>
      </c>
      <c r="D80" s="198">
        <v>4937679.0799200013</v>
      </c>
      <c r="E80" s="198">
        <v>-867738.80196000007</v>
      </c>
      <c r="F80" s="199">
        <v>0</v>
      </c>
      <c r="G80" s="199">
        <v>0</v>
      </c>
      <c r="H80" s="200">
        <v>0</v>
      </c>
      <c r="I80" s="200">
        <v>0</v>
      </c>
      <c r="J80" s="200">
        <v>-307056.64427069237</v>
      </c>
      <c r="K80" s="198">
        <v>0</v>
      </c>
      <c r="L80" s="198" t="s">
        <v>249</v>
      </c>
      <c r="M80" s="198" t="s">
        <v>249</v>
      </c>
      <c r="N80" s="201" t="s">
        <v>249</v>
      </c>
      <c r="O80" s="202" t="s">
        <v>249</v>
      </c>
      <c r="P80" s="186" t="s">
        <v>249</v>
      </c>
      <c r="Q80" s="211">
        <f t="shared" si="3"/>
        <v>4069940.2779600015</v>
      </c>
      <c r="S80" s="14"/>
      <c r="T80" s="203"/>
      <c r="U80" s="203">
        <f t="shared" si="4"/>
        <v>4069940.2779600015</v>
      </c>
      <c r="V80" s="203" t="str">
        <f t="shared" si="5"/>
        <v/>
      </c>
      <c r="W80" s="203"/>
      <c r="X80" s="203"/>
    </row>
    <row r="81" spans="2:24" x14ac:dyDescent="0.25">
      <c r="B81" s="196">
        <v>10242</v>
      </c>
      <c r="C81" s="197" t="s">
        <v>200</v>
      </c>
      <c r="D81" s="198">
        <v>3359544.9307200001</v>
      </c>
      <c r="E81" s="198">
        <v>-590400.35736000002</v>
      </c>
      <c r="F81" s="199">
        <v>44798.771707534826</v>
      </c>
      <c r="G81" s="199">
        <v>227184.58315184285</v>
      </c>
      <c r="H81" s="200">
        <v>0</v>
      </c>
      <c r="I81" s="200">
        <v>0</v>
      </c>
      <c r="J81" s="200">
        <v>-252589.84128558199</v>
      </c>
      <c r="K81" s="198">
        <v>-434556.40358000004</v>
      </c>
      <c r="L81" s="198">
        <v>2353981.6833537952</v>
      </c>
      <c r="M81" s="198">
        <v>83676.384000000005</v>
      </c>
      <c r="N81" s="201">
        <v>28.131971899667594</v>
      </c>
      <c r="O81" s="202">
        <v>2.4607505878223985E-2</v>
      </c>
      <c r="P81" s="186">
        <v>11</v>
      </c>
      <c r="Q81" s="211">
        <f t="shared" si="3"/>
        <v>3041127.9282193775</v>
      </c>
      <c r="S81" s="14"/>
      <c r="T81" s="203"/>
      <c r="U81" s="203">
        <f t="shared" si="4"/>
        <v>3041127.9282193775</v>
      </c>
      <c r="V81" s="203">
        <f t="shared" si="5"/>
        <v>83676.384000000005</v>
      </c>
      <c r="W81" s="203"/>
      <c r="X81" s="203"/>
    </row>
    <row r="82" spans="2:24" x14ac:dyDescent="0.25">
      <c r="B82" s="196">
        <v>10244</v>
      </c>
      <c r="C82" s="197" t="s">
        <v>28</v>
      </c>
      <c r="D82" s="198">
        <v>30344268.757679999</v>
      </c>
      <c r="E82" s="198">
        <v>-5332646.9768399997</v>
      </c>
      <c r="F82" s="199">
        <v>1284228.6032600878</v>
      </c>
      <c r="G82" s="199">
        <v>2007273.9301954329</v>
      </c>
      <c r="H82" s="200">
        <v>0</v>
      </c>
      <c r="I82" s="200">
        <v>0</v>
      </c>
      <c r="J82" s="200">
        <v>-1973053.8963859489</v>
      </c>
      <c r="K82" s="198">
        <v>0</v>
      </c>
      <c r="L82" s="198">
        <v>26330070.41790957</v>
      </c>
      <c r="M82" s="198">
        <v>755757.79200000002</v>
      </c>
      <c r="N82" s="201">
        <v>34.83929732068124</v>
      </c>
      <c r="O82" s="202">
        <v>-1.4546395759965044E-2</v>
      </c>
      <c r="P82" s="186">
        <v>85</v>
      </c>
      <c r="Q82" s="211">
        <f t="shared" si="3"/>
        <v>28303124.314295519</v>
      </c>
      <c r="S82" s="14"/>
      <c r="T82" s="203"/>
      <c r="U82" s="203">
        <f t="shared" si="4"/>
        <v>28303124.314295519</v>
      </c>
      <c r="V82" s="203">
        <f t="shared" si="5"/>
        <v>755757.79200000002</v>
      </c>
      <c r="W82" s="203"/>
      <c r="X82" s="203"/>
    </row>
    <row r="83" spans="2:24" x14ac:dyDescent="0.25">
      <c r="B83" s="196">
        <v>10246</v>
      </c>
      <c r="C83" s="197" t="s">
        <v>201</v>
      </c>
      <c r="D83" s="198">
        <v>3169471.3149600001</v>
      </c>
      <c r="E83" s="198">
        <v>-556997.1634800001</v>
      </c>
      <c r="F83" s="199">
        <v>102178.12965518096</v>
      </c>
      <c r="G83" s="199">
        <v>261956.15559513896</v>
      </c>
      <c r="H83" s="200">
        <v>0</v>
      </c>
      <c r="I83" s="200">
        <v>0</v>
      </c>
      <c r="J83" s="200">
        <v>0</v>
      </c>
      <c r="K83" s="198">
        <v>0</v>
      </c>
      <c r="L83" s="198">
        <v>2976608.4367303201</v>
      </c>
      <c r="M83" s="198">
        <v>78941.808000000005</v>
      </c>
      <c r="N83" s="201">
        <v>37.70636259978135</v>
      </c>
      <c r="O83" s="202">
        <v>4.5174850817700014E-2</v>
      </c>
      <c r="P83" s="186">
        <v>2</v>
      </c>
      <c r="Q83" s="211">
        <f t="shared" si="3"/>
        <v>2976608.4367303201</v>
      </c>
      <c r="S83" s="14"/>
      <c r="T83" s="203"/>
      <c r="U83" s="203">
        <f t="shared" si="4"/>
        <v>2976608.4367303201</v>
      </c>
      <c r="V83" s="203">
        <f t="shared" si="5"/>
        <v>78941.808000000005</v>
      </c>
      <c r="W83" s="203"/>
      <c r="X83" s="203"/>
    </row>
    <row r="84" spans="2:24" x14ac:dyDescent="0.25">
      <c r="B84" s="196">
        <v>10247</v>
      </c>
      <c r="C84" s="197" t="s">
        <v>202</v>
      </c>
      <c r="D84" s="198">
        <v>28189685.923199996</v>
      </c>
      <c r="E84" s="198">
        <v>-4954004.4815999996</v>
      </c>
      <c r="F84" s="199">
        <v>740622.91585097625</v>
      </c>
      <c r="G84" s="199">
        <v>1331663.0931152778</v>
      </c>
      <c r="H84" s="200">
        <v>0</v>
      </c>
      <c r="I84" s="200">
        <v>0</v>
      </c>
      <c r="J84" s="200">
        <v>0</v>
      </c>
      <c r="K84" s="198">
        <v>0</v>
      </c>
      <c r="L84" s="198">
        <v>25307967.450566247</v>
      </c>
      <c r="M84" s="198">
        <v>702096.33600000001</v>
      </c>
      <c r="N84" s="201">
        <v>36.04628902459654</v>
      </c>
      <c r="O84" s="202">
        <v>3.7988956686783322E-2</v>
      </c>
      <c r="P84" s="186">
        <v>3</v>
      </c>
      <c r="Q84" s="211">
        <f t="shared" si="3"/>
        <v>25307967.450566247</v>
      </c>
      <c r="S84" s="14"/>
      <c r="T84" s="203"/>
      <c r="U84" s="203">
        <f t="shared" si="4"/>
        <v>25307967.450566247</v>
      </c>
      <c r="V84" s="203">
        <f t="shared" si="5"/>
        <v>702096.33600000001</v>
      </c>
      <c r="W84" s="203"/>
      <c r="X84" s="203"/>
    </row>
    <row r="85" spans="2:24" x14ac:dyDescent="0.25">
      <c r="B85" s="196">
        <v>10256</v>
      </c>
      <c r="C85" s="197" t="s">
        <v>203</v>
      </c>
      <c r="D85" s="198">
        <v>16486581.867120001</v>
      </c>
      <c r="E85" s="198">
        <v>-2897322.1155600003</v>
      </c>
      <c r="F85" s="199">
        <v>316004.61561491608</v>
      </c>
      <c r="G85" s="199">
        <v>1041792.2591199522</v>
      </c>
      <c r="H85" s="200">
        <v>0</v>
      </c>
      <c r="I85" s="200">
        <v>0</v>
      </c>
      <c r="J85" s="200">
        <v>-1197062.7171121626</v>
      </c>
      <c r="K85" s="198">
        <v>-480031.36298000009</v>
      </c>
      <c r="L85" s="198">
        <v>13269962.546202704</v>
      </c>
      <c r="M85" s="198">
        <v>410616.864</v>
      </c>
      <c r="N85" s="201">
        <v>32.317139673549072</v>
      </c>
      <c r="O85" s="202">
        <v>-3.2193140688472358E-2</v>
      </c>
      <c r="P85" s="186">
        <v>117</v>
      </c>
      <c r="Q85" s="211">
        <f t="shared" si="3"/>
        <v>14947056.626294868</v>
      </c>
      <c r="S85" s="14"/>
      <c r="T85" s="203"/>
      <c r="U85" s="203">
        <f t="shared" si="4"/>
        <v>14947056.626294868</v>
      </c>
      <c r="V85" s="203">
        <f t="shared" si="5"/>
        <v>410616.864</v>
      </c>
      <c r="W85" s="203"/>
      <c r="X85" s="203"/>
    </row>
    <row r="86" spans="2:24" x14ac:dyDescent="0.25">
      <c r="B86" s="196">
        <v>10258</v>
      </c>
      <c r="C86" s="197" t="s">
        <v>204</v>
      </c>
      <c r="D86" s="198">
        <v>13385118.543119997</v>
      </c>
      <c r="E86" s="198">
        <v>-2352276.5535599999</v>
      </c>
      <c r="F86" s="199">
        <v>862041.18622468505</v>
      </c>
      <c r="G86" s="199">
        <v>786091.21246263396</v>
      </c>
      <c r="H86" s="200">
        <v>0</v>
      </c>
      <c r="I86" s="200">
        <v>0</v>
      </c>
      <c r="J86" s="200">
        <v>-688495.51474765514</v>
      </c>
      <c r="K86" s="198">
        <v>-212737.84454000002</v>
      </c>
      <c r="L86" s="198">
        <v>11779741.02895966</v>
      </c>
      <c r="M86" s="198">
        <v>333369.80452810961</v>
      </c>
      <c r="N86" s="201">
        <v>35.335356918824949</v>
      </c>
      <c r="O86" s="202">
        <v>5.4723000563563868E-3</v>
      </c>
      <c r="P86" s="186">
        <v>21</v>
      </c>
      <c r="Q86" s="211">
        <f t="shared" si="3"/>
        <v>12680974.388247315</v>
      </c>
      <c r="S86" s="14"/>
      <c r="T86" s="203"/>
      <c r="U86" s="203">
        <f t="shared" si="4"/>
        <v>12680974.388247315</v>
      </c>
      <c r="V86" s="203">
        <f t="shared" si="5"/>
        <v>333369.80452810961</v>
      </c>
      <c r="W86" s="203"/>
      <c r="X86" s="203"/>
    </row>
    <row r="87" spans="2:24" x14ac:dyDescent="0.25">
      <c r="B87" s="196">
        <v>10259</v>
      </c>
      <c r="C87" s="197" t="s">
        <v>205</v>
      </c>
      <c r="D87" s="198">
        <v>9517132.9180800002</v>
      </c>
      <c r="E87" s="198">
        <v>-1672523.7470399998</v>
      </c>
      <c r="F87" s="199">
        <v>337444.43101479777</v>
      </c>
      <c r="G87" s="199">
        <v>601802.52522622864</v>
      </c>
      <c r="H87" s="200">
        <v>0</v>
      </c>
      <c r="I87" s="200">
        <v>0</v>
      </c>
      <c r="J87" s="200">
        <v>-708160.76330206555</v>
      </c>
      <c r="K87" s="198">
        <v>0</v>
      </c>
      <c r="L87" s="198">
        <v>8075695.3639789615</v>
      </c>
      <c r="M87" s="198">
        <v>237036.24</v>
      </c>
      <c r="N87" s="201">
        <v>34.069454375326579</v>
      </c>
      <c r="O87" s="202">
        <v>-1.5643233793546818E-2</v>
      </c>
      <c r="P87" s="186">
        <v>89</v>
      </c>
      <c r="Q87" s="211">
        <f t="shared" si="3"/>
        <v>8783856.1272810269</v>
      </c>
      <c r="S87" s="14"/>
      <c r="T87" s="203"/>
      <c r="U87" s="203">
        <f t="shared" si="4"/>
        <v>8783856.1272810269</v>
      </c>
      <c r="V87" s="203">
        <f t="shared" si="5"/>
        <v>237036.24</v>
      </c>
      <c r="W87" s="203"/>
      <c r="X87" s="203"/>
    </row>
    <row r="88" spans="2:24" x14ac:dyDescent="0.25">
      <c r="B88" s="196">
        <v>10260</v>
      </c>
      <c r="C88" s="197" t="s">
        <v>206</v>
      </c>
      <c r="D88" s="198">
        <v>9270261.41976</v>
      </c>
      <c r="E88" s="198">
        <v>-1629138.9958799998</v>
      </c>
      <c r="F88" s="199">
        <v>297884.43337890389</v>
      </c>
      <c r="G88" s="199">
        <v>647256.22252115374</v>
      </c>
      <c r="H88" s="200">
        <v>0</v>
      </c>
      <c r="I88" s="200">
        <v>0</v>
      </c>
      <c r="J88" s="200">
        <v>0</v>
      </c>
      <c r="K88" s="198">
        <v>0</v>
      </c>
      <c r="L88" s="198">
        <v>8586263.0797800571</v>
      </c>
      <c r="M88" s="198">
        <v>230887.44</v>
      </c>
      <c r="N88" s="201">
        <v>37.18809078475666</v>
      </c>
      <c r="O88" s="202">
        <v>-9.3081076591609874E-3</v>
      </c>
      <c r="P88" s="186">
        <v>64</v>
      </c>
      <c r="Q88" s="211">
        <f t="shared" si="3"/>
        <v>8586263.0797800571</v>
      </c>
      <c r="S88" s="14"/>
      <c r="T88" s="203"/>
      <c r="U88" s="203">
        <f t="shared" si="4"/>
        <v>8586263.0797800571</v>
      </c>
      <c r="V88" s="203">
        <f t="shared" si="5"/>
        <v>230887.44</v>
      </c>
      <c r="W88" s="203"/>
      <c r="X88" s="203"/>
    </row>
    <row r="89" spans="2:24" x14ac:dyDescent="0.25">
      <c r="B89" s="196">
        <v>10273</v>
      </c>
      <c r="C89" s="197" t="s">
        <v>207</v>
      </c>
      <c r="D89" s="198">
        <v>2074119.1675199997</v>
      </c>
      <c r="E89" s="198">
        <v>-364501.95575999998</v>
      </c>
      <c r="F89" s="199">
        <v>84481.710529210133</v>
      </c>
      <c r="G89" s="199">
        <v>238051.20006885685</v>
      </c>
      <c r="H89" s="200">
        <v>0</v>
      </c>
      <c r="I89" s="200">
        <v>0</v>
      </c>
      <c r="J89" s="200">
        <v>-195561.1905710845</v>
      </c>
      <c r="K89" s="198">
        <v>-110169.82925</v>
      </c>
      <c r="L89" s="198">
        <v>1726419.1025369819</v>
      </c>
      <c r="M89" s="198">
        <v>51658.704000000005</v>
      </c>
      <c r="N89" s="201">
        <v>33.419713791832287</v>
      </c>
      <c r="O89" s="202">
        <v>2.5663435303695772E-2</v>
      </c>
      <c r="P89" s="186">
        <v>10</v>
      </c>
      <c r="Q89" s="211">
        <f t="shared" si="3"/>
        <v>2032150.1223580665</v>
      </c>
      <c r="S89" s="14"/>
      <c r="T89" s="203"/>
      <c r="U89" s="203">
        <f t="shared" si="4"/>
        <v>2032150.1223580665</v>
      </c>
      <c r="V89" s="203">
        <f t="shared" si="5"/>
        <v>51658.704000000005</v>
      </c>
      <c r="W89" s="203"/>
      <c r="X89" s="203"/>
    </row>
    <row r="90" spans="2:24" x14ac:dyDescent="0.25">
      <c r="B90" s="196">
        <v>10278</v>
      </c>
      <c r="C90" s="197" t="s">
        <v>33</v>
      </c>
      <c r="D90" s="198">
        <v>12671159.194799999</v>
      </c>
      <c r="E90" s="198">
        <v>-2226806.6274000001</v>
      </c>
      <c r="F90" s="199">
        <v>0</v>
      </c>
      <c r="G90" s="199">
        <v>0</v>
      </c>
      <c r="H90" s="200">
        <v>0</v>
      </c>
      <c r="I90" s="200">
        <v>0</v>
      </c>
      <c r="J90" s="200">
        <v>-747020.6311504523</v>
      </c>
      <c r="K90" s="198">
        <v>0</v>
      </c>
      <c r="L90" s="198" t="s">
        <v>249</v>
      </c>
      <c r="M90" s="198" t="s">
        <v>249</v>
      </c>
      <c r="N90" s="201" t="s">
        <v>249</v>
      </c>
      <c r="O90" s="202" t="s">
        <v>249</v>
      </c>
      <c r="P90" s="186" t="s">
        <v>249</v>
      </c>
      <c r="Q90" s="211">
        <f t="shared" si="3"/>
        <v>10444352.567399999</v>
      </c>
      <c r="S90" s="14"/>
      <c r="T90" s="203"/>
      <c r="U90" s="203">
        <f t="shared" si="4"/>
        <v>10444352.567399999</v>
      </c>
      <c r="V90" s="203" t="str">
        <f t="shared" si="5"/>
        <v/>
      </c>
      <c r="W90" s="203"/>
      <c r="X90" s="203"/>
    </row>
    <row r="91" spans="2:24" x14ac:dyDescent="0.25">
      <c r="B91" s="196">
        <v>10279</v>
      </c>
      <c r="C91" s="197" t="s">
        <v>208</v>
      </c>
      <c r="D91" s="198">
        <v>22841467.762320001</v>
      </c>
      <c r="E91" s="198">
        <v>-4014118.2831599992</v>
      </c>
      <c r="F91" s="199">
        <v>615303.82887154829</v>
      </c>
      <c r="G91" s="199">
        <v>0</v>
      </c>
      <c r="H91" s="200">
        <v>0</v>
      </c>
      <c r="I91" s="200">
        <v>0</v>
      </c>
      <c r="J91" s="200">
        <v>0</v>
      </c>
      <c r="K91" s="198">
        <v>0</v>
      </c>
      <c r="L91" s="198">
        <v>19442653.308031552</v>
      </c>
      <c r="M91" s="198">
        <v>568893.3880820974</v>
      </c>
      <c r="N91" s="201">
        <v>34.176268726866923</v>
      </c>
      <c r="O91" s="202">
        <v>-5.1018554138396194E-3</v>
      </c>
      <c r="P91" s="186">
        <v>43</v>
      </c>
      <c r="Q91" s="211">
        <f t="shared" si="3"/>
        <v>19442653.308031552</v>
      </c>
      <c r="S91" s="14"/>
      <c r="T91" s="203"/>
      <c r="U91" s="203">
        <f t="shared" si="4"/>
        <v>19442653.308031552</v>
      </c>
      <c r="V91" s="203">
        <f t="shared" si="5"/>
        <v>568893.3880820974</v>
      </c>
      <c r="W91" s="203"/>
      <c r="X91" s="203"/>
    </row>
    <row r="92" spans="2:24" x14ac:dyDescent="0.25">
      <c r="B92" s="196">
        <v>10284</v>
      </c>
      <c r="C92" s="197" t="s">
        <v>209</v>
      </c>
      <c r="D92" s="198">
        <v>3582501.5311199999</v>
      </c>
      <c r="E92" s="198">
        <v>-629582.34756000002</v>
      </c>
      <c r="F92" s="199">
        <v>104580.6819703778</v>
      </c>
      <c r="G92" s="199">
        <v>247030.09364775641</v>
      </c>
      <c r="H92" s="200">
        <v>0</v>
      </c>
      <c r="I92" s="200">
        <v>0</v>
      </c>
      <c r="J92" s="200">
        <v>-176466.06382714896</v>
      </c>
      <c r="K92" s="198">
        <v>0</v>
      </c>
      <c r="L92" s="198">
        <v>3128063.8953509852</v>
      </c>
      <c r="M92" s="198">
        <v>89227.871999999988</v>
      </c>
      <c r="N92" s="201">
        <v>35.057026747774344</v>
      </c>
      <c r="O92" s="202">
        <v>-2.1630656178480468E-2</v>
      </c>
      <c r="P92" s="186">
        <v>107</v>
      </c>
      <c r="Q92" s="211">
        <f t="shared" si="3"/>
        <v>3304529.9591781343</v>
      </c>
      <c r="S92" s="14"/>
      <c r="T92" s="203"/>
      <c r="U92" s="203">
        <f t="shared" si="4"/>
        <v>3304529.9591781343</v>
      </c>
      <c r="V92" s="203">
        <f t="shared" si="5"/>
        <v>89227.871999999988</v>
      </c>
      <c r="W92" s="203"/>
      <c r="X92" s="203"/>
    </row>
    <row r="93" spans="2:24" x14ac:dyDescent="0.25">
      <c r="B93" s="196">
        <v>10285</v>
      </c>
      <c r="C93" s="197" t="s">
        <v>87</v>
      </c>
      <c r="D93" s="198">
        <v>2302556.2653600001</v>
      </c>
      <c r="E93" s="198">
        <v>-404647.07867999992</v>
      </c>
      <c r="F93" s="199">
        <v>0</v>
      </c>
      <c r="G93" s="199">
        <v>0</v>
      </c>
      <c r="H93" s="200">
        <v>0</v>
      </c>
      <c r="I93" s="200">
        <v>0</v>
      </c>
      <c r="J93" s="200">
        <v>-147058.16633412143</v>
      </c>
      <c r="K93" s="198">
        <v>0</v>
      </c>
      <c r="L93" s="198" t="s">
        <v>249</v>
      </c>
      <c r="M93" s="198" t="s">
        <v>249</v>
      </c>
      <c r="N93" s="201" t="s">
        <v>249</v>
      </c>
      <c r="O93" s="202" t="s">
        <v>249</v>
      </c>
      <c r="P93" s="186" t="s">
        <v>249</v>
      </c>
      <c r="Q93" s="211">
        <f t="shared" si="3"/>
        <v>1897909.1866800003</v>
      </c>
      <c r="S93" s="14"/>
      <c r="T93" s="203"/>
      <c r="U93" s="203">
        <f t="shared" si="4"/>
        <v>1897909.1866800003</v>
      </c>
      <c r="V93" s="203" t="str">
        <f t="shared" si="5"/>
        <v/>
      </c>
      <c r="W93" s="203"/>
      <c r="X93" s="203"/>
    </row>
    <row r="94" spans="2:24" x14ac:dyDescent="0.25">
      <c r="B94" s="196">
        <v>10286</v>
      </c>
      <c r="C94" s="197" t="s">
        <v>210</v>
      </c>
      <c r="D94" s="198">
        <v>16192129.686480001</v>
      </c>
      <c r="E94" s="198">
        <v>-2845575.6212400002</v>
      </c>
      <c r="F94" s="199">
        <v>928230.1835679888</v>
      </c>
      <c r="G94" s="199">
        <v>0</v>
      </c>
      <c r="H94" s="200">
        <v>0</v>
      </c>
      <c r="I94" s="200">
        <v>0</v>
      </c>
      <c r="J94" s="200">
        <v>0</v>
      </c>
      <c r="K94" s="198">
        <v>-641072.3070700001</v>
      </c>
      <c r="L94" s="198">
        <v>13633711.941737989</v>
      </c>
      <c r="M94" s="198">
        <v>403282.22584857157</v>
      </c>
      <c r="N94" s="201">
        <v>33.806875353979301</v>
      </c>
      <c r="O94" s="202">
        <v>5.6214283553025881E-3</v>
      </c>
      <c r="P94" s="186">
        <v>20</v>
      </c>
      <c r="Q94" s="211">
        <f t="shared" si="3"/>
        <v>14274784.248807989</v>
      </c>
      <c r="S94" s="14"/>
      <c r="T94" s="203"/>
      <c r="U94" s="203">
        <f t="shared" si="4"/>
        <v>14274784.248807989</v>
      </c>
      <c r="V94" s="203">
        <f t="shared" si="5"/>
        <v>403282.22584857157</v>
      </c>
      <c r="W94" s="203"/>
      <c r="X94" s="203"/>
    </row>
    <row r="95" spans="2:24" x14ac:dyDescent="0.25">
      <c r="B95" s="196">
        <v>10288</v>
      </c>
      <c r="C95" s="197" t="s">
        <v>88</v>
      </c>
      <c r="D95" s="198">
        <v>8680360.6043999996</v>
      </c>
      <c r="E95" s="198">
        <v>-1525470.8922000001</v>
      </c>
      <c r="F95" s="199">
        <v>0</v>
      </c>
      <c r="G95" s="199">
        <v>0</v>
      </c>
      <c r="H95" s="200">
        <v>-17.459561739735946</v>
      </c>
      <c r="I95" s="200">
        <v>0</v>
      </c>
      <c r="J95" s="200">
        <v>-429292.33515829552</v>
      </c>
      <c r="K95" s="198">
        <v>0</v>
      </c>
      <c r="L95" s="198" t="s">
        <v>249</v>
      </c>
      <c r="M95" s="198" t="s">
        <v>249</v>
      </c>
      <c r="N95" s="201" t="s">
        <v>249</v>
      </c>
      <c r="O95" s="202" t="s">
        <v>249</v>
      </c>
      <c r="P95" s="186" t="s">
        <v>249</v>
      </c>
      <c r="Q95" s="211">
        <f t="shared" si="3"/>
        <v>7154872.252638259</v>
      </c>
      <c r="S95" s="14"/>
      <c r="T95" s="203"/>
      <c r="U95" s="203">
        <f t="shared" si="4"/>
        <v>7154872.252638259</v>
      </c>
      <c r="V95" s="203" t="str">
        <f t="shared" si="5"/>
        <v/>
      </c>
      <c r="W95" s="203"/>
      <c r="X95" s="203"/>
    </row>
    <row r="96" spans="2:24" x14ac:dyDescent="0.25">
      <c r="B96" s="196">
        <v>10291</v>
      </c>
      <c r="C96" s="197" t="s">
        <v>211</v>
      </c>
      <c r="D96" s="198">
        <v>27574126.415279999</v>
      </c>
      <c r="E96" s="198">
        <v>-4845827.1656399993</v>
      </c>
      <c r="F96" s="199">
        <v>639406.0100294681</v>
      </c>
      <c r="G96" s="199">
        <v>1572771.2592525911</v>
      </c>
      <c r="H96" s="200">
        <v>18.869923993181438</v>
      </c>
      <c r="I96" s="200">
        <v>0</v>
      </c>
      <c r="J96" s="200">
        <v>-1247024.7694423029</v>
      </c>
      <c r="K96" s="198">
        <v>-419535.15356999997</v>
      </c>
      <c r="L96" s="198">
        <v>23273935.465833753</v>
      </c>
      <c r="M96" s="198">
        <v>686765.45214799501</v>
      </c>
      <c r="N96" s="201">
        <v>33.889205394709229</v>
      </c>
      <c r="O96" s="202">
        <v>-7.8722650940123741E-3</v>
      </c>
      <c r="P96" s="186">
        <v>59</v>
      </c>
      <c r="Q96" s="211">
        <f t="shared" si="3"/>
        <v>24940495.388846055</v>
      </c>
      <c r="S96" s="14"/>
      <c r="T96" s="203"/>
      <c r="U96" s="203">
        <f t="shared" si="4"/>
        <v>24940495.388846055</v>
      </c>
      <c r="V96" s="203">
        <f t="shared" si="5"/>
        <v>686765.45214799501</v>
      </c>
      <c r="W96" s="203"/>
      <c r="X96" s="203"/>
    </row>
    <row r="97" spans="2:24" x14ac:dyDescent="0.25">
      <c r="B97" s="196">
        <v>10294</v>
      </c>
      <c r="C97" s="197" t="s">
        <v>212</v>
      </c>
      <c r="D97" s="198">
        <v>12811908.3336</v>
      </c>
      <c r="E97" s="198">
        <v>-2251541.6268000002</v>
      </c>
      <c r="F97" s="199">
        <v>280095.30524227093</v>
      </c>
      <c r="G97" s="199">
        <v>696235.23844505905</v>
      </c>
      <c r="H97" s="200">
        <v>0</v>
      </c>
      <c r="I97" s="200">
        <v>0</v>
      </c>
      <c r="J97" s="200">
        <v>0</v>
      </c>
      <c r="K97" s="198">
        <v>0</v>
      </c>
      <c r="L97" s="198">
        <v>11536697.250487328</v>
      </c>
      <c r="M97" s="198">
        <v>319096.36799999996</v>
      </c>
      <c r="N97" s="201">
        <v>36.154273152013218</v>
      </c>
      <c r="O97" s="202">
        <v>-2.5506381811004761E-2</v>
      </c>
      <c r="P97" s="186">
        <v>114</v>
      </c>
      <c r="Q97" s="211">
        <f t="shared" si="3"/>
        <v>11536697.250487328</v>
      </c>
      <c r="S97" s="14"/>
      <c r="T97" s="203"/>
      <c r="U97" s="203">
        <f t="shared" si="4"/>
        <v>11536697.250487328</v>
      </c>
      <c r="V97" s="203">
        <f t="shared" si="5"/>
        <v>319096.36799999996</v>
      </c>
      <c r="W97" s="203"/>
      <c r="X97" s="203"/>
    </row>
    <row r="98" spans="2:24" x14ac:dyDescent="0.25">
      <c r="B98" s="196">
        <v>10304</v>
      </c>
      <c r="C98" s="197" t="s">
        <v>213</v>
      </c>
      <c r="D98" s="198">
        <v>4730914.8583199997</v>
      </c>
      <c r="E98" s="198">
        <v>-831402.43115999992</v>
      </c>
      <c r="F98" s="199">
        <v>110906.70263652815</v>
      </c>
      <c r="G98" s="199">
        <v>205145.72071148502</v>
      </c>
      <c r="H98" s="200">
        <v>-1.7130549001935289</v>
      </c>
      <c r="I98" s="200">
        <v>0</v>
      </c>
      <c r="J98" s="200">
        <v>0</v>
      </c>
      <c r="K98" s="198">
        <v>0</v>
      </c>
      <c r="L98" s="198">
        <v>4215563.1374531128</v>
      </c>
      <c r="M98" s="198">
        <v>117828.83054010404</v>
      </c>
      <c r="N98" s="201">
        <v>35.777009057374208</v>
      </c>
      <c r="O98" s="202">
        <v>-1.1328230266542984E-2</v>
      </c>
      <c r="P98" s="186">
        <v>71</v>
      </c>
      <c r="Q98" s="211">
        <f t="shared" si="3"/>
        <v>4215563.1374531128</v>
      </c>
      <c r="S98" s="14"/>
      <c r="T98" s="203"/>
      <c r="U98" s="203">
        <f t="shared" si="4"/>
        <v>4215563.1374531128</v>
      </c>
      <c r="V98" s="203">
        <f t="shared" si="5"/>
        <v>117828.83054010404</v>
      </c>
      <c r="W98" s="203"/>
      <c r="X98" s="203"/>
    </row>
    <row r="99" spans="2:24" x14ac:dyDescent="0.25">
      <c r="B99" s="196">
        <v>10306</v>
      </c>
      <c r="C99" s="197" t="s">
        <v>214</v>
      </c>
      <c r="D99" s="198">
        <v>9088408.5501599982</v>
      </c>
      <c r="E99" s="198">
        <v>-1597180.5010800003</v>
      </c>
      <c r="F99" s="199">
        <v>1135136.0720034665</v>
      </c>
      <c r="G99" s="199">
        <v>0</v>
      </c>
      <c r="H99" s="200">
        <v>0</v>
      </c>
      <c r="I99" s="200">
        <v>0</v>
      </c>
      <c r="J99" s="200">
        <v>0</v>
      </c>
      <c r="K99" s="198">
        <v>0</v>
      </c>
      <c r="L99" s="198">
        <v>8626364.1210834645</v>
      </c>
      <c r="M99" s="198">
        <v>226354.89703757645</v>
      </c>
      <c r="N99" s="201">
        <v>38.109907203162606</v>
      </c>
      <c r="O99" s="202">
        <v>3.2498030618613734E-2</v>
      </c>
      <c r="P99" s="186">
        <v>7</v>
      </c>
      <c r="Q99" s="211">
        <f t="shared" si="3"/>
        <v>8626364.1210834645</v>
      </c>
      <c r="S99" s="14"/>
      <c r="T99" s="203"/>
      <c r="U99" s="203">
        <f t="shared" si="4"/>
        <v>8626364.1210834645</v>
      </c>
      <c r="V99" s="203">
        <f t="shared" si="5"/>
        <v>226354.89703757645</v>
      </c>
      <c r="W99" s="203"/>
      <c r="X99" s="203"/>
    </row>
    <row r="100" spans="2:24" x14ac:dyDescent="0.25">
      <c r="B100" s="196">
        <v>10307</v>
      </c>
      <c r="C100" s="197" t="s">
        <v>215</v>
      </c>
      <c r="D100" s="198">
        <v>24217072.619760003</v>
      </c>
      <c r="E100" s="198">
        <v>-4255864.5958799999</v>
      </c>
      <c r="F100" s="199">
        <v>800126.0580846197</v>
      </c>
      <c r="G100" s="199">
        <v>1554393.7408193378</v>
      </c>
      <c r="H100" s="200">
        <v>8.1718033164879316</v>
      </c>
      <c r="I100" s="200">
        <v>0</v>
      </c>
      <c r="J100" s="200">
        <v>0</v>
      </c>
      <c r="K100" s="198">
        <v>0</v>
      </c>
      <c r="L100" s="198">
        <v>22315735.99458728</v>
      </c>
      <c r="M100" s="198">
        <v>603152.14576473762</v>
      </c>
      <c r="N100" s="201">
        <v>36.998518783835415</v>
      </c>
      <c r="O100" s="202">
        <v>-6.5661746820828417E-3</v>
      </c>
      <c r="P100" s="186">
        <v>52</v>
      </c>
      <c r="Q100" s="211">
        <f t="shared" si="3"/>
        <v>22315735.99458728</v>
      </c>
      <c r="S100" s="14"/>
      <c r="T100" s="203"/>
      <c r="U100" s="203">
        <f t="shared" si="4"/>
        <v>22315735.99458728</v>
      </c>
      <c r="V100" s="203">
        <f t="shared" si="5"/>
        <v>603152.14576473762</v>
      </c>
      <c r="W100" s="203"/>
      <c r="X100" s="203"/>
    </row>
    <row r="101" spans="2:24" x14ac:dyDescent="0.25">
      <c r="B101" s="196">
        <v>10326</v>
      </c>
      <c r="C101" s="197" t="s">
        <v>216</v>
      </c>
      <c r="D101" s="198">
        <v>10742771.436479999</v>
      </c>
      <c r="E101" s="198">
        <v>-1887915.2462399998</v>
      </c>
      <c r="F101" s="199">
        <v>66786.477929037981</v>
      </c>
      <c r="G101" s="199">
        <v>369269.81337799126</v>
      </c>
      <c r="H101" s="200">
        <v>0</v>
      </c>
      <c r="I101" s="200">
        <v>0</v>
      </c>
      <c r="J101" s="200">
        <v>0</v>
      </c>
      <c r="K101" s="198">
        <v>0</v>
      </c>
      <c r="L101" s="198">
        <v>9290912.4815470278</v>
      </c>
      <c r="M101" s="198">
        <v>267560.64</v>
      </c>
      <c r="N101" s="201">
        <v>34.724511353938411</v>
      </c>
      <c r="O101" s="202">
        <v>-1.3305881268877951E-2</v>
      </c>
      <c r="P101" s="186">
        <v>83</v>
      </c>
      <c r="Q101" s="211">
        <f t="shared" si="3"/>
        <v>9290912.4815470278</v>
      </c>
      <c r="S101" s="14"/>
      <c r="T101" s="203"/>
      <c r="U101" s="203">
        <f t="shared" si="4"/>
        <v>9290912.4815470278</v>
      </c>
      <c r="V101" s="203">
        <f t="shared" si="5"/>
        <v>267560.64</v>
      </c>
      <c r="W101" s="203"/>
      <c r="X101" s="203"/>
    </row>
    <row r="102" spans="2:24" x14ac:dyDescent="0.25">
      <c r="B102" s="196">
        <v>10331</v>
      </c>
      <c r="C102" s="197" t="s">
        <v>89</v>
      </c>
      <c r="D102" s="198">
        <v>12470871.924720002</v>
      </c>
      <c r="E102" s="198">
        <v>-2191608.5043600001</v>
      </c>
      <c r="F102" s="199">
        <v>0</v>
      </c>
      <c r="G102" s="199">
        <v>0</v>
      </c>
      <c r="H102" s="200">
        <v>5.2302277373219841</v>
      </c>
      <c r="I102" s="200">
        <v>0</v>
      </c>
      <c r="J102" s="200">
        <v>-719548.80554114177</v>
      </c>
      <c r="K102" s="198">
        <v>-1539814.9470600002</v>
      </c>
      <c r="L102" s="198" t="s">
        <v>249</v>
      </c>
      <c r="M102" s="198" t="s">
        <v>249</v>
      </c>
      <c r="N102" s="201" t="s">
        <v>249</v>
      </c>
      <c r="O102" s="202" t="s">
        <v>249</v>
      </c>
      <c r="P102" s="186" t="s">
        <v>249</v>
      </c>
      <c r="Q102" s="211">
        <f t="shared" si="3"/>
        <v>10279268.650587739</v>
      </c>
      <c r="S102" s="14"/>
      <c r="T102" s="203"/>
      <c r="U102" s="203">
        <f t="shared" si="4"/>
        <v>10279268.650587739</v>
      </c>
      <c r="V102" s="203" t="str">
        <f t="shared" si="5"/>
        <v/>
      </c>
      <c r="W102" s="203"/>
      <c r="X102" s="203"/>
    </row>
    <row r="103" spans="2:24" x14ac:dyDescent="0.25">
      <c r="B103" s="196">
        <v>10333</v>
      </c>
      <c r="C103" s="197" t="s">
        <v>90</v>
      </c>
      <c r="D103" s="198">
        <v>6530012.6997600012</v>
      </c>
      <c r="E103" s="198">
        <v>-1147572.63588</v>
      </c>
      <c r="F103" s="199">
        <v>0</v>
      </c>
      <c r="G103" s="199">
        <v>0</v>
      </c>
      <c r="H103" s="200">
        <v>0</v>
      </c>
      <c r="I103" s="200">
        <v>0</v>
      </c>
      <c r="J103" s="200">
        <v>-380244.75309506035</v>
      </c>
      <c r="K103" s="198">
        <v>0</v>
      </c>
      <c r="L103" s="198" t="s">
        <v>249</v>
      </c>
      <c r="M103" s="198" t="s">
        <v>249</v>
      </c>
      <c r="N103" s="201" t="s">
        <v>249</v>
      </c>
      <c r="O103" s="202" t="s">
        <v>249</v>
      </c>
      <c r="P103" s="186" t="s">
        <v>249</v>
      </c>
      <c r="Q103" s="211">
        <f t="shared" si="3"/>
        <v>5382440.0638800012</v>
      </c>
      <c r="S103" s="14"/>
      <c r="T103" s="203"/>
      <c r="U103" s="203">
        <f t="shared" si="4"/>
        <v>5382440.0638800012</v>
      </c>
      <c r="V103" s="203" t="str">
        <f t="shared" si="5"/>
        <v/>
      </c>
      <c r="W103" s="203"/>
      <c r="X103" s="203"/>
    </row>
    <row r="104" spans="2:24" x14ac:dyDescent="0.25">
      <c r="B104" s="196">
        <v>10338</v>
      </c>
      <c r="C104" s="197" t="s">
        <v>217</v>
      </c>
      <c r="D104" s="198">
        <v>837021.4271999998</v>
      </c>
      <c r="E104" s="198">
        <v>-147096.6336</v>
      </c>
      <c r="F104" s="199">
        <v>5848.4936240533134</v>
      </c>
      <c r="G104" s="199">
        <v>37075.182641907035</v>
      </c>
      <c r="H104" s="200">
        <v>0</v>
      </c>
      <c r="I104" s="200">
        <v>0</v>
      </c>
      <c r="J104" s="200">
        <v>-25524.62116916207</v>
      </c>
      <c r="K104" s="198">
        <v>-48075.779699999999</v>
      </c>
      <c r="L104" s="198">
        <v>659248.06899679801</v>
      </c>
      <c r="M104" s="198">
        <v>20844.432000000001</v>
      </c>
      <c r="N104" s="201">
        <v>31.627058439241615</v>
      </c>
      <c r="O104" s="202">
        <v>1.1719082694155239E-4</v>
      </c>
      <c r="P104" s="186">
        <v>33</v>
      </c>
      <c r="Q104" s="211">
        <f t="shared" si="3"/>
        <v>732848.46986596007</v>
      </c>
      <c r="S104" s="14"/>
      <c r="T104" s="203"/>
      <c r="U104" s="203">
        <f t="shared" si="4"/>
        <v>732848.46986596007</v>
      </c>
      <c r="V104" s="203">
        <f t="shared" si="5"/>
        <v>20844.432000000001</v>
      </c>
      <c r="W104" s="203"/>
      <c r="X104" s="203"/>
    </row>
    <row r="105" spans="2:24" x14ac:dyDescent="0.25">
      <c r="B105" s="196">
        <v>10342</v>
      </c>
      <c r="C105" s="197" t="s">
        <v>218</v>
      </c>
      <c r="D105" s="198">
        <v>13478536.113119999</v>
      </c>
      <c r="E105" s="198">
        <v>-2368693.5885600001</v>
      </c>
      <c r="F105" s="199">
        <v>498708.11667469901</v>
      </c>
      <c r="G105" s="199">
        <v>816213.57665210986</v>
      </c>
      <c r="H105" s="200">
        <v>-12.359905953460839</v>
      </c>
      <c r="I105" s="200">
        <v>0</v>
      </c>
      <c r="J105" s="200">
        <v>0</v>
      </c>
      <c r="K105" s="198">
        <v>0</v>
      </c>
      <c r="L105" s="198">
        <v>12424751.857980855</v>
      </c>
      <c r="M105" s="198">
        <v>335699.96453877463</v>
      </c>
      <c r="N105" s="201">
        <v>37.011478017435863</v>
      </c>
      <c r="O105" s="202">
        <v>3.3686307035713172E-3</v>
      </c>
      <c r="P105" s="186">
        <v>25</v>
      </c>
      <c r="Q105" s="211">
        <f t="shared" si="3"/>
        <v>12424751.857980855</v>
      </c>
      <c r="S105" s="14"/>
      <c r="T105" s="203"/>
      <c r="U105" s="203">
        <f t="shared" si="4"/>
        <v>12424751.857980855</v>
      </c>
      <c r="V105" s="203">
        <f t="shared" si="5"/>
        <v>335699.96453877463</v>
      </c>
      <c r="W105" s="203"/>
      <c r="X105" s="203"/>
    </row>
    <row r="106" spans="2:24" x14ac:dyDescent="0.25">
      <c r="B106" s="196">
        <v>10343</v>
      </c>
      <c r="C106" s="197" t="s">
        <v>219</v>
      </c>
      <c r="D106" s="198">
        <v>4217741.0071199993</v>
      </c>
      <c r="E106" s="198">
        <v>-741218.1855599999</v>
      </c>
      <c r="F106" s="199">
        <v>16659.510823914552</v>
      </c>
      <c r="G106" s="199">
        <v>0</v>
      </c>
      <c r="H106" s="200">
        <v>4.2972293863764213</v>
      </c>
      <c r="I106" s="200">
        <v>0</v>
      </c>
      <c r="J106" s="200">
        <v>-244523.06407293104</v>
      </c>
      <c r="K106" s="198">
        <v>-121550.49777</v>
      </c>
      <c r="L106" s="198">
        <v>3127113.0677703694</v>
      </c>
      <c r="M106" s="198">
        <v>105047.21748151763</v>
      </c>
      <c r="N106" s="201">
        <v>29.768642547058086</v>
      </c>
      <c r="O106" s="202">
        <v>-1.7639892922822652E-2</v>
      </c>
      <c r="P106" s="186">
        <v>93</v>
      </c>
      <c r="Q106" s="211">
        <f t="shared" si="3"/>
        <v>3493186.6296133003</v>
      </c>
      <c r="S106" s="14"/>
      <c r="T106" s="203"/>
      <c r="U106" s="203">
        <f t="shared" si="4"/>
        <v>3493186.6296133003</v>
      </c>
      <c r="V106" s="203">
        <f t="shared" si="5"/>
        <v>105047.21748151763</v>
      </c>
      <c r="W106" s="203"/>
      <c r="X106" s="203"/>
    </row>
    <row r="107" spans="2:24" x14ac:dyDescent="0.25">
      <c r="B107" s="196">
        <v>10349</v>
      </c>
      <c r="C107" s="197" t="s">
        <v>220</v>
      </c>
      <c r="D107" s="198">
        <v>162625789.89936</v>
      </c>
      <c r="E107" s="198">
        <v>-28579562.545680001</v>
      </c>
      <c r="F107" s="199">
        <v>17436728.352192163</v>
      </c>
      <c r="G107" s="199">
        <v>0</v>
      </c>
      <c r="H107" s="200">
        <v>0</v>
      </c>
      <c r="I107" s="200">
        <v>0</v>
      </c>
      <c r="J107" s="200">
        <v>0</v>
      </c>
      <c r="K107" s="198">
        <v>0</v>
      </c>
      <c r="L107" s="198">
        <v>151482955.70587218</v>
      </c>
      <c r="M107" s="198">
        <v>4050381.4745661439</v>
      </c>
      <c r="N107" s="201">
        <v>37.399676217435363</v>
      </c>
      <c r="O107" s="202">
        <v>2.9086796760136435E-2</v>
      </c>
      <c r="P107" s="186">
        <v>8</v>
      </c>
      <c r="Q107" s="211">
        <f t="shared" si="3"/>
        <v>151482955.70587218</v>
      </c>
      <c r="S107" s="14"/>
      <c r="T107" s="203"/>
      <c r="U107" s="203">
        <f t="shared" si="4"/>
        <v>151482955.70587218</v>
      </c>
      <c r="V107" s="203">
        <f t="shared" si="5"/>
        <v>4050381.4745661439</v>
      </c>
      <c r="W107" s="203"/>
      <c r="X107" s="203"/>
    </row>
    <row r="108" spans="2:24" x14ac:dyDescent="0.25">
      <c r="B108" s="196">
        <v>10352</v>
      </c>
      <c r="C108" s="197" t="s">
        <v>221</v>
      </c>
      <c r="D108" s="198">
        <v>5602313.9512799997</v>
      </c>
      <c r="E108" s="198">
        <v>-984540.53363999992</v>
      </c>
      <c r="F108" s="199">
        <v>160453.39890202502</v>
      </c>
      <c r="G108" s="199">
        <v>292040.0151685095</v>
      </c>
      <c r="H108" s="200">
        <v>-10.476184421765211</v>
      </c>
      <c r="I108" s="200">
        <v>0</v>
      </c>
      <c r="J108" s="200">
        <v>-253512.81777630557</v>
      </c>
      <c r="K108" s="198">
        <v>0</v>
      </c>
      <c r="L108" s="198">
        <v>4816743.5377498064</v>
      </c>
      <c r="M108" s="198">
        <v>139535.39663958718</v>
      </c>
      <c r="N108" s="201">
        <v>34.519868461700867</v>
      </c>
      <c r="O108" s="202">
        <v>-1.4310235292503594E-2</v>
      </c>
      <c r="P108" s="186">
        <v>84</v>
      </c>
      <c r="Q108" s="211">
        <f t="shared" si="3"/>
        <v>5070256.355526112</v>
      </c>
      <c r="S108" s="14"/>
      <c r="T108" s="203"/>
      <c r="U108" s="203">
        <f t="shared" si="4"/>
        <v>5070256.355526112</v>
      </c>
      <c r="V108" s="203">
        <f t="shared" si="5"/>
        <v>139535.39663958718</v>
      </c>
      <c r="W108" s="203"/>
      <c r="X108" s="203"/>
    </row>
    <row r="109" spans="2:24" x14ac:dyDescent="0.25">
      <c r="B109" s="196">
        <v>10354</v>
      </c>
      <c r="C109" s="197" t="s">
        <v>222</v>
      </c>
      <c r="D109" s="198">
        <v>125405738.87615997</v>
      </c>
      <c r="E109" s="198">
        <v>-22038578.014079995</v>
      </c>
      <c r="F109" s="199">
        <v>1054897.6522286274</v>
      </c>
      <c r="G109" s="199">
        <v>0</v>
      </c>
      <c r="H109" s="200">
        <v>0</v>
      </c>
      <c r="I109" s="200">
        <v>0</v>
      </c>
      <c r="J109" s="200">
        <v>0</v>
      </c>
      <c r="K109" s="198">
        <v>0</v>
      </c>
      <c r="L109" s="198">
        <v>104422058.5143086</v>
      </c>
      <c r="M109" s="198">
        <v>3123377.4775135312</v>
      </c>
      <c r="N109" s="201">
        <v>33.432417076093301</v>
      </c>
      <c r="O109" s="202">
        <v>-1.9142995110547921E-2</v>
      </c>
      <c r="P109" s="186">
        <v>97</v>
      </c>
      <c r="Q109" s="211">
        <f t="shared" si="3"/>
        <v>104422058.5143086</v>
      </c>
      <c r="S109" s="14"/>
      <c r="T109" s="203"/>
      <c r="U109" s="203">
        <f t="shared" si="4"/>
        <v>104422058.5143086</v>
      </c>
      <c r="V109" s="203">
        <f t="shared" si="5"/>
        <v>3123377.4775135312</v>
      </c>
      <c r="W109" s="203"/>
      <c r="X109" s="203"/>
    </row>
    <row r="110" spans="2:24" x14ac:dyDescent="0.25">
      <c r="B110" s="196">
        <v>10360</v>
      </c>
      <c r="C110" s="197" t="s">
        <v>223</v>
      </c>
      <c r="D110" s="198">
        <v>2386009.2945599998</v>
      </c>
      <c r="E110" s="198">
        <v>-419312.96327999997</v>
      </c>
      <c r="F110" s="199">
        <v>-5722.6380377075402</v>
      </c>
      <c r="G110" s="199">
        <v>110794.4274658387</v>
      </c>
      <c r="H110" s="200">
        <v>0</v>
      </c>
      <c r="I110" s="200">
        <v>0</v>
      </c>
      <c r="J110" s="200">
        <v>-105605.04950545283</v>
      </c>
      <c r="K110" s="198">
        <v>-231508.0638</v>
      </c>
      <c r="L110" s="198">
        <v>1734655.007402678</v>
      </c>
      <c r="M110" s="198">
        <v>59423.759999999995</v>
      </c>
      <c r="N110" s="201">
        <v>29.191269744672471</v>
      </c>
      <c r="O110" s="202">
        <v>9.2486187861136725E-3</v>
      </c>
      <c r="P110" s="186">
        <v>17</v>
      </c>
      <c r="Q110" s="211">
        <f t="shared" si="3"/>
        <v>2071768.120708131</v>
      </c>
      <c r="S110" s="14"/>
      <c r="T110" s="203"/>
      <c r="U110" s="203">
        <f t="shared" si="4"/>
        <v>2071768.120708131</v>
      </c>
      <c r="V110" s="203">
        <f t="shared" si="5"/>
        <v>59423.759999999995</v>
      </c>
      <c r="W110" s="203"/>
      <c r="X110" s="203"/>
    </row>
    <row r="111" spans="2:24" x14ac:dyDescent="0.25">
      <c r="B111" s="196">
        <v>10363</v>
      </c>
      <c r="C111" s="197" t="s">
        <v>224</v>
      </c>
      <c r="D111" s="198">
        <v>32111978.295600001</v>
      </c>
      <c r="E111" s="198">
        <v>-5643301.0578000005</v>
      </c>
      <c r="F111" s="199">
        <v>881707.19540129963</v>
      </c>
      <c r="G111" s="199">
        <v>955257.30700649007</v>
      </c>
      <c r="H111" s="200">
        <v>5.0093674285744783</v>
      </c>
      <c r="I111" s="200">
        <v>0</v>
      </c>
      <c r="J111" s="200">
        <v>0</v>
      </c>
      <c r="K111" s="198">
        <v>0</v>
      </c>
      <c r="L111" s="198">
        <v>28305646.74957522</v>
      </c>
      <c r="M111" s="198">
        <v>799782.45566605811</v>
      </c>
      <c r="N111" s="201">
        <v>35.391682511967964</v>
      </c>
      <c r="O111" s="202">
        <v>-6.4980987138360709E-3</v>
      </c>
      <c r="P111" s="186">
        <v>51</v>
      </c>
      <c r="Q111" s="211">
        <f t="shared" si="3"/>
        <v>28305646.74957522</v>
      </c>
      <c r="S111" s="14"/>
      <c r="T111" s="203"/>
      <c r="U111" s="203">
        <f t="shared" si="4"/>
        <v>28305646.74957522</v>
      </c>
      <c r="V111" s="203">
        <f t="shared" si="5"/>
        <v>799782.45566605811</v>
      </c>
      <c r="W111" s="203"/>
      <c r="X111" s="203"/>
    </row>
    <row r="112" spans="2:24" x14ac:dyDescent="0.25">
      <c r="B112" s="196">
        <v>10369</v>
      </c>
      <c r="C112" s="197" t="s">
        <v>225</v>
      </c>
      <c r="D112" s="198">
        <v>5795376.9292799998</v>
      </c>
      <c r="E112" s="198">
        <v>-1018469.07264</v>
      </c>
      <c r="F112" s="199">
        <v>191996.26853672028</v>
      </c>
      <c r="G112" s="199">
        <v>326147.01398904924</v>
      </c>
      <c r="H112" s="200">
        <v>0</v>
      </c>
      <c r="I112" s="200">
        <v>0</v>
      </c>
      <c r="J112" s="200">
        <v>-414526.58440308267</v>
      </c>
      <c r="K112" s="198">
        <v>-534660.1245700001</v>
      </c>
      <c r="L112" s="198">
        <v>4345864.4301926866</v>
      </c>
      <c r="M112" s="198">
        <v>144338.41766162813</v>
      </c>
      <c r="N112" s="201">
        <v>30.108854597399535</v>
      </c>
      <c r="O112" s="202">
        <v>3.3955600460315587E-2</v>
      </c>
      <c r="P112" s="186">
        <v>6</v>
      </c>
      <c r="Q112" s="211">
        <f t="shared" si="3"/>
        <v>5295051.1391657693</v>
      </c>
      <c r="S112" s="14"/>
      <c r="T112" s="203"/>
      <c r="U112" s="203">
        <f t="shared" si="4"/>
        <v>5295051.1391657693</v>
      </c>
      <c r="V112" s="203">
        <f t="shared" si="5"/>
        <v>144338.41766162813</v>
      </c>
      <c r="W112" s="203"/>
      <c r="X112" s="203"/>
    </row>
    <row r="113" spans="2:24" x14ac:dyDescent="0.25">
      <c r="B113" s="196">
        <v>10370</v>
      </c>
      <c r="C113" s="197" t="s">
        <v>226</v>
      </c>
      <c r="D113" s="198">
        <v>56330047.369440004</v>
      </c>
      <c r="E113" s="198">
        <v>-9899340.768720001</v>
      </c>
      <c r="F113" s="199">
        <v>243640.55517288132</v>
      </c>
      <c r="G113" s="199">
        <v>0</v>
      </c>
      <c r="H113" s="200">
        <v>0</v>
      </c>
      <c r="I113" s="200">
        <v>0</v>
      </c>
      <c r="J113" s="200">
        <v>0</v>
      </c>
      <c r="K113" s="198">
        <v>0</v>
      </c>
      <c r="L113" s="198">
        <v>46674347.155892886</v>
      </c>
      <c r="M113" s="198">
        <v>1402965.8315045713</v>
      </c>
      <c r="N113" s="201">
        <v>33.26834204211395</v>
      </c>
      <c r="O113" s="202">
        <v>-2.2787315523158901E-2</v>
      </c>
      <c r="P113" s="186">
        <v>111</v>
      </c>
      <c r="Q113" s="211">
        <f t="shared" si="3"/>
        <v>46674347.155892886</v>
      </c>
      <c r="S113" s="14"/>
      <c r="T113" s="203"/>
      <c r="U113" s="203">
        <f t="shared" si="4"/>
        <v>46674347.155892886</v>
      </c>
      <c r="V113" s="203">
        <f t="shared" si="5"/>
        <v>1402965.8315045713</v>
      </c>
      <c r="W113" s="203"/>
      <c r="X113" s="203"/>
    </row>
    <row r="114" spans="2:24" x14ac:dyDescent="0.25">
      <c r="B114" s="196">
        <v>10371</v>
      </c>
      <c r="C114" s="197" t="s">
        <v>227</v>
      </c>
      <c r="D114" s="198">
        <v>3890904.0688800002</v>
      </c>
      <c r="E114" s="198">
        <v>-683780.45244000002</v>
      </c>
      <c r="F114" s="199">
        <v>108513.64035458316</v>
      </c>
      <c r="G114" s="199">
        <v>58701.024431196587</v>
      </c>
      <c r="H114" s="200">
        <v>0</v>
      </c>
      <c r="I114" s="200">
        <v>0</v>
      </c>
      <c r="J114" s="200">
        <v>0</v>
      </c>
      <c r="K114" s="198">
        <v>0</v>
      </c>
      <c r="L114" s="198">
        <v>3374338.2812257796</v>
      </c>
      <c r="M114" s="198">
        <v>96905.088000000003</v>
      </c>
      <c r="N114" s="201">
        <v>34.821064103731885</v>
      </c>
      <c r="O114" s="202">
        <v>-5.9389220983257687E-3</v>
      </c>
      <c r="P114" s="186">
        <v>47</v>
      </c>
      <c r="Q114" s="211">
        <f t="shared" si="3"/>
        <v>3374338.2812257796</v>
      </c>
      <c r="S114" s="14"/>
      <c r="T114" s="203"/>
      <c r="U114" s="203">
        <f t="shared" si="4"/>
        <v>3374338.2812257796</v>
      </c>
      <c r="V114" s="203">
        <f t="shared" si="5"/>
        <v>96905.088000000003</v>
      </c>
      <c r="W114" s="203"/>
      <c r="X114" s="203"/>
    </row>
    <row r="115" spans="2:24" x14ac:dyDescent="0.25">
      <c r="B115" s="196">
        <v>10376</v>
      </c>
      <c r="C115" s="197" t="s">
        <v>228</v>
      </c>
      <c r="D115" s="198">
        <v>19760431.746959999</v>
      </c>
      <c r="E115" s="198">
        <v>-3472662.5794799994</v>
      </c>
      <c r="F115" s="199">
        <v>327829.742892457</v>
      </c>
      <c r="G115" s="199">
        <v>496288.27798851492</v>
      </c>
      <c r="H115" s="200">
        <v>4249.6702374828837</v>
      </c>
      <c r="I115" s="200">
        <v>0</v>
      </c>
      <c r="J115" s="200">
        <v>0</v>
      </c>
      <c r="K115" s="198">
        <v>0</v>
      </c>
      <c r="L115" s="198">
        <v>17116136.858598452</v>
      </c>
      <c r="M115" s="198">
        <v>491527.28425594611</v>
      </c>
      <c r="N115" s="201">
        <v>34.82235352307687</v>
      </c>
      <c r="O115" s="202">
        <v>-2.0686718416075316E-2</v>
      </c>
      <c r="P115" s="186">
        <v>104</v>
      </c>
      <c r="Q115" s="211">
        <f t="shared" si="3"/>
        <v>17116136.858598452</v>
      </c>
      <c r="S115" s="14"/>
      <c r="T115" s="203"/>
      <c r="U115" s="203">
        <f t="shared" si="4"/>
        <v>17116136.858598452</v>
      </c>
      <c r="V115" s="203">
        <f t="shared" si="5"/>
        <v>491527.28425594611</v>
      </c>
      <c r="W115" s="203"/>
      <c r="X115" s="203"/>
    </row>
    <row r="116" spans="2:24" x14ac:dyDescent="0.25">
      <c r="B116" s="196">
        <v>10378</v>
      </c>
      <c r="C116" s="197" t="s">
        <v>229</v>
      </c>
      <c r="D116" s="198">
        <v>712713.78072000004</v>
      </c>
      <c r="E116" s="198">
        <v>-125251.03236000001</v>
      </c>
      <c r="F116" s="199">
        <v>36425.623696858333</v>
      </c>
      <c r="G116" s="199">
        <v>62721.046891666672</v>
      </c>
      <c r="H116" s="200">
        <v>0</v>
      </c>
      <c r="I116" s="200">
        <v>0</v>
      </c>
      <c r="J116" s="200">
        <v>0</v>
      </c>
      <c r="K116" s="198">
        <v>0</v>
      </c>
      <c r="L116" s="198">
        <v>686609.4189485251</v>
      </c>
      <c r="M116" s="198">
        <v>17752.464</v>
      </c>
      <c r="N116" s="201">
        <v>38.67685178511136</v>
      </c>
      <c r="O116" s="202">
        <v>-6.8977316379221897E-3</v>
      </c>
      <c r="P116" s="186">
        <v>54</v>
      </c>
      <c r="Q116" s="211">
        <f t="shared" si="3"/>
        <v>686609.4189485251</v>
      </c>
      <c r="S116" s="14"/>
      <c r="T116" s="203"/>
      <c r="U116" s="203">
        <f t="shared" si="4"/>
        <v>686609.4189485251</v>
      </c>
      <c r="V116" s="203">
        <f t="shared" si="5"/>
        <v>17752.464</v>
      </c>
      <c r="W116" s="203"/>
      <c r="X116" s="203"/>
    </row>
    <row r="117" spans="2:24" x14ac:dyDescent="0.25">
      <c r="B117" s="196">
        <v>10379</v>
      </c>
      <c r="C117" s="197" t="s">
        <v>230</v>
      </c>
      <c r="D117" s="198">
        <v>1618739.6529599999</v>
      </c>
      <c r="E117" s="198">
        <v>-284474.38248000003</v>
      </c>
      <c r="F117" s="199">
        <v>43810.183705613679</v>
      </c>
      <c r="G117" s="199">
        <v>90893.685742895308</v>
      </c>
      <c r="H117" s="200">
        <v>15.720036274944579</v>
      </c>
      <c r="I117" s="200">
        <v>0</v>
      </c>
      <c r="J117" s="200">
        <v>0</v>
      </c>
      <c r="K117" s="198">
        <v>0</v>
      </c>
      <c r="L117" s="198">
        <v>1468984.859964784</v>
      </c>
      <c r="M117" s="198">
        <v>40316.224184803126</v>
      </c>
      <c r="N117" s="201">
        <v>36.436568395670989</v>
      </c>
      <c r="O117" s="202">
        <v>-8.9667673116879589E-3</v>
      </c>
      <c r="P117" s="186">
        <v>62</v>
      </c>
      <c r="Q117" s="211">
        <f t="shared" si="3"/>
        <v>1468984.859964784</v>
      </c>
      <c r="S117" s="14"/>
      <c r="T117" s="203"/>
      <c r="U117" s="203">
        <f t="shared" si="4"/>
        <v>1468984.859964784</v>
      </c>
      <c r="V117" s="203">
        <f t="shared" si="5"/>
        <v>40316.224184803126</v>
      </c>
      <c r="W117" s="203"/>
      <c r="X117" s="203"/>
    </row>
    <row r="118" spans="2:24" x14ac:dyDescent="0.25">
      <c r="B118" s="196">
        <v>10388</v>
      </c>
      <c r="C118" s="197" t="s">
        <v>231</v>
      </c>
      <c r="D118" s="198">
        <v>39931900.801920004</v>
      </c>
      <c r="E118" s="198">
        <v>-7017560.1129600015</v>
      </c>
      <c r="F118" s="199">
        <v>1456120.9547590092</v>
      </c>
      <c r="G118" s="199">
        <v>0</v>
      </c>
      <c r="H118" s="200">
        <v>0</v>
      </c>
      <c r="I118" s="200">
        <v>0</v>
      </c>
      <c r="J118" s="200">
        <v>-2693526.1048083766</v>
      </c>
      <c r="K118" s="198">
        <v>-2646896.9803900002</v>
      </c>
      <c r="L118" s="198">
        <v>29030038.558520634</v>
      </c>
      <c r="M118" s="198">
        <v>994550.83199999994</v>
      </c>
      <c r="N118" s="201">
        <v>29.189094840072123</v>
      </c>
      <c r="O118" s="202">
        <v>5.0525817335117518E-2</v>
      </c>
      <c r="P118" s="186">
        <v>1</v>
      </c>
      <c r="Q118" s="211">
        <f t="shared" si="3"/>
        <v>34370461.64371901</v>
      </c>
      <c r="S118" s="14"/>
      <c r="T118" s="203"/>
      <c r="U118" s="203">
        <f t="shared" si="4"/>
        <v>34370461.64371901</v>
      </c>
      <c r="V118" s="203">
        <f t="shared" si="5"/>
        <v>994550.83199999994</v>
      </c>
      <c r="W118" s="203"/>
      <c r="X118" s="203"/>
    </row>
    <row r="119" spans="2:24" x14ac:dyDescent="0.25">
      <c r="B119" s="196">
        <v>10391</v>
      </c>
      <c r="C119" s="197" t="s">
        <v>232</v>
      </c>
      <c r="D119" s="198">
        <v>10572377.788800001</v>
      </c>
      <c r="E119" s="198">
        <v>-1857970.5744000003</v>
      </c>
      <c r="F119" s="199">
        <v>2192.1878753571295</v>
      </c>
      <c r="G119" s="199">
        <v>544490.07532905985</v>
      </c>
      <c r="H119" s="200">
        <v>0</v>
      </c>
      <c r="I119" s="200">
        <v>0</v>
      </c>
      <c r="J119" s="200">
        <v>-352691.8961011027</v>
      </c>
      <c r="K119" s="198">
        <v>-512205.67021000001</v>
      </c>
      <c r="L119" s="198">
        <v>8396191.9112933148</v>
      </c>
      <c r="M119" s="198">
        <v>263317.96799999999</v>
      </c>
      <c r="N119" s="201">
        <v>31.886133616576121</v>
      </c>
      <c r="O119" s="202">
        <v>-1.2990062259408984E-2</v>
      </c>
      <c r="P119" s="186">
        <v>82</v>
      </c>
      <c r="Q119" s="211">
        <f t="shared" si="3"/>
        <v>9261089.4776044171</v>
      </c>
      <c r="S119" s="14"/>
      <c r="T119" s="203"/>
      <c r="U119" s="203">
        <f t="shared" si="4"/>
        <v>9261089.4776044171</v>
      </c>
      <c r="V119" s="203">
        <f t="shared" si="5"/>
        <v>263317.96799999999</v>
      </c>
      <c r="W119" s="203"/>
      <c r="X119" s="203"/>
    </row>
    <row r="120" spans="2:24" x14ac:dyDescent="0.25">
      <c r="B120" s="196">
        <v>10406</v>
      </c>
      <c r="C120" s="197" t="s">
        <v>233</v>
      </c>
      <c r="D120" s="198">
        <v>161425.56096</v>
      </c>
      <c r="E120" s="198">
        <v>-28368.636479999997</v>
      </c>
      <c r="F120" s="199">
        <v>6438.1620486534812</v>
      </c>
      <c r="G120" s="199">
        <v>8830.482026442307</v>
      </c>
      <c r="H120" s="200">
        <v>0</v>
      </c>
      <c r="I120" s="200">
        <v>0</v>
      </c>
      <c r="J120" s="200">
        <v>0</v>
      </c>
      <c r="K120" s="198">
        <v>0</v>
      </c>
      <c r="L120" s="198">
        <v>148325.56855509582</v>
      </c>
      <c r="M120" s="198">
        <v>4023.0720000000001</v>
      </c>
      <c r="N120" s="201">
        <v>36.868733285185009</v>
      </c>
      <c r="O120" s="202">
        <v>-2.1731663021141479E-2</v>
      </c>
      <c r="P120" s="186">
        <v>108</v>
      </c>
      <c r="Q120" s="211">
        <f t="shared" si="3"/>
        <v>148325.56855509582</v>
      </c>
      <c r="S120" s="14"/>
      <c r="T120" s="203"/>
      <c r="U120" s="203">
        <f t="shared" si="4"/>
        <v>148325.56855509582</v>
      </c>
      <c r="V120" s="203">
        <f t="shared" si="5"/>
        <v>4023.0720000000001</v>
      </c>
      <c r="W120" s="203"/>
      <c r="X120" s="203"/>
    </row>
    <row r="121" spans="2:24" x14ac:dyDescent="0.25">
      <c r="B121" s="196">
        <v>10408</v>
      </c>
      <c r="C121" s="197" t="s">
        <v>234</v>
      </c>
      <c r="D121" s="198">
        <v>538583.43024000002</v>
      </c>
      <c r="E121" s="198">
        <v>-94649.679120000001</v>
      </c>
      <c r="F121" s="199">
        <v>-6151.1376461180807</v>
      </c>
      <c r="G121" s="199">
        <v>25274.029146874993</v>
      </c>
      <c r="H121" s="200">
        <v>0</v>
      </c>
      <c r="I121" s="200">
        <v>0</v>
      </c>
      <c r="J121" s="200">
        <v>0</v>
      </c>
      <c r="K121" s="198">
        <v>0</v>
      </c>
      <c r="L121" s="198">
        <v>463056.64262075699</v>
      </c>
      <c r="M121" s="198">
        <v>13413.168</v>
      </c>
      <c r="N121" s="201">
        <v>34.522541029886227</v>
      </c>
      <c r="O121" s="202">
        <v>-3.6761203276650382E-2</v>
      </c>
      <c r="P121" s="186">
        <v>119</v>
      </c>
      <c r="Q121" s="211">
        <f t="shared" si="3"/>
        <v>463056.64262075699</v>
      </c>
      <c r="S121" s="14"/>
      <c r="T121" s="203"/>
      <c r="U121" s="203">
        <f t="shared" si="4"/>
        <v>463056.64262075699</v>
      </c>
      <c r="V121" s="203">
        <f t="shared" si="5"/>
        <v>13413.168</v>
      </c>
      <c r="W121" s="203"/>
      <c r="X121" s="203"/>
    </row>
    <row r="122" spans="2:24" x14ac:dyDescent="0.25">
      <c r="B122" s="196">
        <v>10409</v>
      </c>
      <c r="C122" s="197" t="s">
        <v>235</v>
      </c>
      <c r="D122" s="198">
        <v>7202120.9767199997</v>
      </c>
      <c r="E122" s="198">
        <v>-1265687.7303599999</v>
      </c>
      <c r="F122" s="199">
        <v>54337.401247665868</v>
      </c>
      <c r="G122" s="199">
        <v>700824.99666300742</v>
      </c>
      <c r="H122" s="200">
        <v>0</v>
      </c>
      <c r="I122" s="200">
        <v>0</v>
      </c>
      <c r="J122" s="200">
        <v>0</v>
      </c>
      <c r="K122" s="198">
        <v>0</v>
      </c>
      <c r="L122" s="198">
        <v>6691595.6442706734</v>
      </c>
      <c r="M122" s="198">
        <v>179378.06399999998</v>
      </c>
      <c r="N122" s="201">
        <v>37.304425608421518</v>
      </c>
      <c r="O122" s="202">
        <v>-2.221309209636E-2</v>
      </c>
      <c r="P122" s="186">
        <v>109</v>
      </c>
      <c r="Q122" s="211">
        <f t="shared" si="3"/>
        <v>6691595.6442706734</v>
      </c>
      <c r="S122" s="14"/>
      <c r="T122" s="203"/>
      <c r="U122" s="203">
        <f t="shared" si="4"/>
        <v>6691595.6442706734</v>
      </c>
      <c r="V122" s="203">
        <f t="shared" si="5"/>
        <v>179378.06399999998</v>
      </c>
      <c r="W122" s="203"/>
      <c r="X122" s="203"/>
    </row>
    <row r="123" spans="2:24" x14ac:dyDescent="0.25">
      <c r="B123" s="196">
        <v>10426</v>
      </c>
      <c r="C123" s="197" t="s">
        <v>236</v>
      </c>
      <c r="D123" s="198">
        <v>11178720.096480001</v>
      </c>
      <c r="E123" s="198">
        <v>-1964528.0762399998</v>
      </c>
      <c r="F123" s="199">
        <v>154226.26729943181</v>
      </c>
      <c r="G123" s="199">
        <v>519888.15608111658</v>
      </c>
      <c r="H123" s="200">
        <v>3.9553810626198542</v>
      </c>
      <c r="I123" s="200">
        <v>0</v>
      </c>
      <c r="J123" s="200">
        <v>0</v>
      </c>
      <c r="K123" s="198">
        <v>0</v>
      </c>
      <c r="L123" s="198">
        <v>9888310.3990016114</v>
      </c>
      <c r="M123" s="198">
        <v>278417.07627621654</v>
      </c>
      <c r="N123" s="201">
        <v>35.516177855382175</v>
      </c>
      <c r="O123" s="202">
        <v>-2.4975999758781679E-2</v>
      </c>
      <c r="P123" s="186">
        <v>112</v>
      </c>
      <c r="Q123" s="211">
        <f t="shared" si="3"/>
        <v>9888310.3990016114</v>
      </c>
      <c r="S123" s="14"/>
      <c r="T123" s="203"/>
      <c r="U123" s="203">
        <f t="shared" si="4"/>
        <v>9888310.3990016114</v>
      </c>
      <c r="V123" s="203">
        <f t="shared" si="5"/>
        <v>278417.07627621654</v>
      </c>
      <c r="W123" s="203"/>
      <c r="X123" s="203"/>
    </row>
    <row r="124" spans="2:24" x14ac:dyDescent="0.25">
      <c r="B124" s="196">
        <v>10434</v>
      </c>
      <c r="C124" s="197" t="s">
        <v>237</v>
      </c>
      <c r="D124" s="198">
        <v>9577916.6169600002</v>
      </c>
      <c r="E124" s="198">
        <v>-1683205.7644800001</v>
      </c>
      <c r="F124" s="199">
        <v>361702.22006792825</v>
      </c>
      <c r="G124" s="199">
        <v>634337.05820208334</v>
      </c>
      <c r="H124" s="200">
        <v>0</v>
      </c>
      <c r="I124" s="200">
        <v>0</v>
      </c>
      <c r="J124" s="200">
        <v>0</v>
      </c>
      <c r="K124" s="198">
        <v>0</v>
      </c>
      <c r="L124" s="198">
        <v>8890750.1307500117</v>
      </c>
      <c r="M124" s="198">
        <v>238547.08799999999</v>
      </c>
      <c r="N124" s="201">
        <v>37.270419879323832</v>
      </c>
      <c r="O124" s="202">
        <v>1.6990915742395537E-3</v>
      </c>
      <c r="P124" s="186">
        <v>30</v>
      </c>
      <c r="Q124" s="211">
        <f t="shared" si="3"/>
        <v>8890750.1307500117</v>
      </c>
      <c r="S124" s="14"/>
      <c r="T124" s="203"/>
      <c r="U124" s="203">
        <f t="shared" si="4"/>
        <v>8890750.1307500117</v>
      </c>
      <c r="V124" s="203">
        <f t="shared" si="5"/>
        <v>238547.08799999999</v>
      </c>
      <c r="W124" s="203"/>
      <c r="X124" s="203"/>
    </row>
    <row r="125" spans="2:24" x14ac:dyDescent="0.25">
      <c r="B125" s="196">
        <v>10436</v>
      </c>
      <c r="C125" s="197" t="s">
        <v>238</v>
      </c>
      <c r="D125" s="198">
        <v>6754713.0947999991</v>
      </c>
      <c r="E125" s="198">
        <v>-1187061.0774000001</v>
      </c>
      <c r="F125" s="199">
        <v>106319.9802245251</v>
      </c>
      <c r="G125" s="199">
        <v>276463.11923293263</v>
      </c>
      <c r="H125" s="200">
        <v>0</v>
      </c>
      <c r="I125" s="200">
        <v>0</v>
      </c>
      <c r="J125" s="200">
        <v>-541498.2951005738</v>
      </c>
      <c r="K125" s="198">
        <v>-449647.89505999995</v>
      </c>
      <c r="L125" s="198">
        <v>4959288.9266968844</v>
      </c>
      <c r="M125" s="198">
        <v>168227.51277115056</v>
      </c>
      <c r="N125" s="201">
        <v>29.479654338367865</v>
      </c>
      <c r="O125" s="202">
        <v>-1.8995364381743471E-3</v>
      </c>
      <c r="P125" s="186">
        <v>37</v>
      </c>
      <c r="Q125" s="211">
        <f t="shared" si="3"/>
        <v>5950435.1168574579</v>
      </c>
      <c r="S125" s="14"/>
      <c r="T125" s="203"/>
      <c r="U125" s="203">
        <f t="shared" si="4"/>
        <v>5950435.1168574579</v>
      </c>
      <c r="V125" s="203">
        <f t="shared" si="5"/>
        <v>168227.51277115056</v>
      </c>
      <c r="W125" s="203"/>
      <c r="X125" s="203"/>
    </row>
    <row r="126" spans="2:24" x14ac:dyDescent="0.25">
      <c r="B126" s="196">
        <v>10440</v>
      </c>
      <c r="C126" s="197" t="s">
        <v>239</v>
      </c>
      <c r="D126" s="198">
        <v>1765218.4027200001</v>
      </c>
      <c r="E126" s="198">
        <v>-310216.29336000001</v>
      </c>
      <c r="F126" s="199">
        <v>47833.269537640183</v>
      </c>
      <c r="G126" s="199">
        <v>37841.431376869652</v>
      </c>
      <c r="H126" s="200">
        <v>0</v>
      </c>
      <c r="I126" s="200">
        <v>0</v>
      </c>
      <c r="J126" s="200">
        <v>-88919.061621557426</v>
      </c>
      <c r="K126" s="198">
        <v>0</v>
      </c>
      <c r="L126" s="198">
        <v>1451757.7486529525</v>
      </c>
      <c r="M126" s="198">
        <v>43963.92</v>
      </c>
      <c r="N126" s="201">
        <v>33.021571976587907</v>
      </c>
      <c r="O126" s="202">
        <v>-2.2710784652437328E-2</v>
      </c>
      <c r="P126" s="186">
        <v>110</v>
      </c>
      <c r="Q126" s="211">
        <f t="shared" si="3"/>
        <v>1540676.8102745099</v>
      </c>
      <c r="S126" s="14"/>
      <c r="T126" s="203"/>
      <c r="U126" s="203">
        <f t="shared" si="4"/>
        <v>1540676.8102745099</v>
      </c>
      <c r="V126" s="203">
        <f t="shared" si="5"/>
        <v>43963.92</v>
      </c>
      <c r="W126" s="203"/>
      <c r="X126" s="203"/>
    </row>
    <row r="127" spans="2:24" x14ac:dyDescent="0.25">
      <c r="B127" s="196">
        <v>10442</v>
      </c>
      <c r="C127" s="197" t="s">
        <v>240</v>
      </c>
      <c r="D127" s="198">
        <v>4438455.5858399998</v>
      </c>
      <c r="E127" s="198">
        <v>-780006.16691999999</v>
      </c>
      <c r="F127" s="199">
        <v>120548.21317613551</v>
      </c>
      <c r="G127" s="199">
        <v>347966.87385109509</v>
      </c>
      <c r="H127" s="200">
        <v>36.84333980492142</v>
      </c>
      <c r="I127" s="200">
        <v>0</v>
      </c>
      <c r="J127" s="200">
        <v>-288890.09445009253</v>
      </c>
      <c r="K127" s="198">
        <v>-112614.6281</v>
      </c>
      <c r="L127" s="198">
        <v>3725496.6267369431</v>
      </c>
      <c r="M127" s="198">
        <v>110541.16550671548</v>
      </c>
      <c r="N127" s="201">
        <v>33.702346177186051</v>
      </c>
      <c r="O127" s="202">
        <v>-6.467746741981355E-4</v>
      </c>
      <c r="P127" s="186">
        <v>35</v>
      </c>
      <c r="Q127" s="211">
        <f t="shared" si="3"/>
        <v>4127001.3492870354</v>
      </c>
      <c r="S127" s="14"/>
      <c r="T127" s="203"/>
      <c r="U127" s="203">
        <f t="shared" si="4"/>
        <v>4127001.3492870354</v>
      </c>
      <c r="V127" s="203">
        <f t="shared" si="5"/>
        <v>110541.16550671548</v>
      </c>
      <c r="W127" s="203"/>
      <c r="X127" s="203"/>
    </row>
    <row r="128" spans="2:24" x14ac:dyDescent="0.25">
      <c r="B128" s="196">
        <v>10446</v>
      </c>
      <c r="C128" s="197" t="s">
        <v>241</v>
      </c>
      <c r="D128" s="198">
        <v>33776803.949759997</v>
      </c>
      <c r="E128" s="198">
        <v>-5935874.510879999</v>
      </c>
      <c r="F128" s="199">
        <v>-77112.531610545877</v>
      </c>
      <c r="G128" s="199">
        <v>879321.88751599903</v>
      </c>
      <c r="H128" s="200">
        <v>0</v>
      </c>
      <c r="I128" s="200">
        <v>0</v>
      </c>
      <c r="J128" s="200">
        <v>-1885870.9456653602</v>
      </c>
      <c r="K128" s="198">
        <v>-82972.4038</v>
      </c>
      <c r="L128" s="198">
        <v>26674295.445320092</v>
      </c>
      <c r="M128" s="198">
        <v>841251.43585612264</v>
      </c>
      <c r="N128" s="201">
        <v>31.707875087516804</v>
      </c>
      <c r="O128" s="202">
        <v>-1.4898332458802052E-2</v>
      </c>
      <c r="P128" s="186">
        <v>86</v>
      </c>
      <c r="Q128" s="211">
        <f t="shared" si="3"/>
        <v>28643138.794785451</v>
      </c>
      <c r="S128" s="14"/>
      <c r="T128" s="203"/>
      <c r="U128" s="203">
        <f t="shared" si="4"/>
        <v>28643138.794785451</v>
      </c>
      <c r="V128" s="203">
        <f t="shared" si="5"/>
        <v>841251.43585612264</v>
      </c>
      <c r="W128" s="203"/>
      <c r="X128" s="203"/>
    </row>
    <row r="129" spans="1:24" x14ac:dyDescent="0.25">
      <c r="B129" s="196">
        <v>10448</v>
      </c>
      <c r="C129" s="197" t="s">
        <v>91</v>
      </c>
      <c r="D129" s="198">
        <v>2906407.4378399998</v>
      </c>
      <c r="E129" s="198">
        <v>-510766.79291999998</v>
      </c>
      <c r="F129" s="199">
        <v>0</v>
      </c>
      <c r="G129" s="199">
        <v>0</v>
      </c>
      <c r="H129" s="200">
        <v>10.171228879509437</v>
      </c>
      <c r="I129" s="200">
        <v>0</v>
      </c>
      <c r="J129" s="200">
        <v>-167695.55713042157</v>
      </c>
      <c r="K129" s="198">
        <v>0</v>
      </c>
      <c r="L129" s="198" t="s">
        <v>249</v>
      </c>
      <c r="M129" s="198" t="s">
        <v>249</v>
      </c>
      <c r="N129" s="201" t="s">
        <v>249</v>
      </c>
      <c r="O129" s="202" t="s">
        <v>249</v>
      </c>
      <c r="P129" s="186" t="s">
        <v>249</v>
      </c>
      <c r="Q129" s="211">
        <f t="shared" si="3"/>
        <v>2395650.8161488795</v>
      </c>
      <c r="S129" s="14"/>
      <c r="T129" s="203"/>
      <c r="U129" s="203">
        <f t="shared" si="4"/>
        <v>2395650.8161488795</v>
      </c>
      <c r="V129" s="203" t="str">
        <f t="shared" si="5"/>
        <v/>
      </c>
      <c r="W129" s="203"/>
      <c r="X129" s="203"/>
    </row>
    <row r="130" spans="1:24" x14ac:dyDescent="0.25">
      <c r="B130" s="196">
        <v>10451</v>
      </c>
      <c r="C130" s="197" t="s">
        <v>242</v>
      </c>
      <c r="D130" s="198">
        <v>9255065.4950400013</v>
      </c>
      <c r="E130" s="198">
        <v>-1626468.4915200002</v>
      </c>
      <c r="F130" s="199">
        <v>-63425.43063590987</v>
      </c>
      <c r="G130" s="199">
        <v>373644.9268986914</v>
      </c>
      <c r="H130" s="200">
        <v>-12.020160937304901</v>
      </c>
      <c r="I130" s="200">
        <v>0</v>
      </c>
      <c r="J130" s="200">
        <v>0</v>
      </c>
      <c r="K130" s="198">
        <v>0</v>
      </c>
      <c r="L130" s="198">
        <v>7938804.4796218453</v>
      </c>
      <c r="M130" s="198">
        <v>230511.51405660287</v>
      </c>
      <c r="N130" s="201">
        <v>34.439947662104402</v>
      </c>
      <c r="O130" s="202">
        <v>-3.2374269719436279E-2</v>
      </c>
      <c r="P130" s="186">
        <v>118</v>
      </c>
      <c r="Q130" s="211">
        <f t="shared" si="3"/>
        <v>7938804.4796218453</v>
      </c>
      <c r="S130" s="14"/>
      <c r="T130" s="203"/>
      <c r="U130" s="203">
        <f t="shared" si="4"/>
        <v>7938804.4796218453</v>
      </c>
      <c r="V130" s="203">
        <f t="shared" si="5"/>
        <v>230511.51405660287</v>
      </c>
      <c r="W130" s="203"/>
      <c r="X130" s="203"/>
    </row>
    <row r="131" spans="1:24" x14ac:dyDescent="0.25">
      <c r="B131" s="196">
        <v>10482</v>
      </c>
      <c r="C131" s="197" t="s">
        <v>243</v>
      </c>
      <c r="D131" s="198">
        <v>978767.02008000005</v>
      </c>
      <c r="E131" s="198">
        <v>-172006.74804000003</v>
      </c>
      <c r="F131" s="199">
        <v>1976.3196887666227</v>
      </c>
      <c r="G131" s="199">
        <v>35602.7462385951</v>
      </c>
      <c r="H131" s="200">
        <v>-27.1361120153041</v>
      </c>
      <c r="I131" s="200">
        <v>0</v>
      </c>
      <c r="J131" s="200">
        <v>0</v>
      </c>
      <c r="K131" s="198">
        <v>0</v>
      </c>
      <c r="L131" s="198">
        <v>844312.20185534633</v>
      </c>
      <c r="M131" s="198">
        <v>24379.632111740757</v>
      </c>
      <c r="N131" s="201">
        <v>34.631868027604156</v>
      </c>
      <c r="O131" s="202">
        <v>-1.5613208651816554E-2</v>
      </c>
      <c r="P131" s="186">
        <v>87</v>
      </c>
      <c r="Q131" s="211">
        <f t="shared" si="3"/>
        <v>844312.20185534633</v>
      </c>
      <c r="S131" s="14"/>
      <c r="T131" s="203"/>
      <c r="U131" s="203">
        <f t="shared" si="4"/>
        <v>844312.20185534633</v>
      </c>
      <c r="V131" s="203">
        <f t="shared" si="5"/>
        <v>24379.632111740757</v>
      </c>
      <c r="W131" s="203"/>
      <c r="X131" s="203"/>
    </row>
    <row r="132" spans="1:24" x14ac:dyDescent="0.25">
      <c r="B132" s="196">
        <v>10502</v>
      </c>
      <c r="C132" s="197" t="s">
        <v>52</v>
      </c>
      <c r="D132" s="198">
        <v>6565137.7060800008</v>
      </c>
      <c r="E132" s="198">
        <v>-1153745.4410399999</v>
      </c>
      <c r="F132" s="199">
        <v>166186.09462564153</v>
      </c>
      <c r="G132" s="199">
        <v>264897.26671888359</v>
      </c>
      <c r="H132" s="200">
        <v>-6.6071741875095178</v>
      </c>
      <c r="I132" s="200">
        <v>0</v>
      </c>
      <c r="J132" s="200">
        <v>-408972.83134472376</v>
      </c>
      <c r="K132" s="198">
        <v>-83184.794289999991</v>
      </c>
      <c r="L132" s="198">
        <v>5350311.3935756152</v>
      </c>
      <c r="M132" s="198">
        <v>163515.14174950778</v>
      </c>
      <c r="N132" s="201">
        <v>32.720586829639714</v>
      </c>
      <c r="O132" s="202">
        <v>2.1329632801387506E-2</v>
      </c>
      <c r="P132" s="186">
        <v>12</v>
      </c>
      <c r="Q132" s="211">
        <f t="shared" si="3"/>
        <v>5842469.0192103386</v>
      </c>
      <c r="S132" s="14"/>
      <c r="T132" s="203"/>
      <c r="U132" s="203">
        <f t="shared" si="4"/>
        <v>5842469.0192103386</v>
      </c>
      <c r="V132" s="203">
        <f t="shared" si="5"/>
        <v>163515.14174950778</v>
      </c>
      <c r="W132" s="203"/>
      <c r="X132" s="203"/>
    </row>
    <row r="133" spans="1:24" x14ac:dyDescent="0.25">
      <c r="B133" s="196">
        <v>13927</v>
      </c>
      <c r="C133" s="197" t="s">
        <v>244</v>
      </c>
      <c r="D133" s="198">
        <v>1257774.1624799999</v>
      </c>
      <c r="E133" s="198">
        <v>-221038.95923999997</v>
      </c>
      <c r="F133" s="199">
        <v>19404.338233877177</v>
      </c>
      <c r="G133" s="199">
        <v>13890.70799145298</v>
      </c>
      <c r="H133" s="200">
        <v>-21.119706384671154</v>
      </c>
      <c r="I133" s="200">
        <v>0</v>
      </c>
      <c r="J133" s="200">
        <v>0</v>
      </c>
      <c r="K133" s="198">
        <v>0</v>
      </c>
      <c r="L133" s="198">
        <v>1070009.1297589454</v>
      </c>
      <c r="M133" s="198">
        <v>31326.882143593561</v>
      </c>
      <c r="N133" s="201">
        <v>34.156259944871834</v>
      </c>
      <c r="O133" s="202">
        <v>9.963470782888193E-4</v>
      </c>
      <c r="P133" s="186">
        <v>31</v>
      </c>
      <c r="Q133" s="211">
        <f t="shared" ref="Q133:Q138" si="6">D133+E133+F133+G133+H133+I133</f>
        <v>1070009.1297589454</v>
      </c>
      <c r="S133" s="14"/>
      <c r="T133" s="203"/>
      <c r="U133" s="203">
        <f t="shared" ref="U133:U138" si="7">IF(T133&gt;0, T133, D133+E133+F133+G133+H133+I133)</f>
        <v>1070009.1297589454</v>
      </c>
      <c r="V133" s="203">
        <f t="shared" ref="V133:V138" si="8">IF(R133&gt;0, R133, M133)</f>
        <v>31326.882143593561</v>
      </c>
      <c r="W133" s="203"/>
      <c r="X133" s="203"/>
    </row>
    <row r="134" spans="1:24" x14ac:dyDescent="0.25">
      <c r="B134" s="196">
        <v>10597</v>
      </c>
      <c r="C134" s="197" t="s">
        <v>245</v>
      </c>
      <c r="D134" s="198">
        <v>4343294.2212000005</v>
      </c>
      <c r="E134" s="198">
        <v>-763282.68060000008</v>
      </c>
      <c r="F134" s="199">
        <v>176981.66142321369</v>
      </c>
      <c r="G134" s="199">
        <v>211034.60247609511</v>
      </c>
      <c r="H134" s="200">
        <v>5.939252920064173</v>
      </c>
      <c r="I134" s="200">
        <v>0</v>
      </c>
      <c r="J134" s="200">
        <v>0</v>
      </c>
      <c r="K134" s="198">
        <v>0</v>
      </c>
      <c r="L134" s="198">
        <v>3968033.7437522295</v>
      </c>
      <c r="M134" s="198">
        <v>108174.07749585139</v>
      </c>
      <c r="N134" s="201">
        <v>36.68192819952089</v>
      </c>
      <c r="O134" s="202">
        <v>9.8824879651938594E-3</v>
      </c>
      <c r="P134" s="186">
        <v>15</v>
      </c>
      <c r="Q134" s="211">
        <f t="shared" si="6"/>
        <v>3968033.7437522295</v>
      </c>
      <c r="S134" s="14"/>
      <c r="T134" s="203"/>
      <c r="U134" s="203">
        <f t="shared" si="7"/>
        <v>3968033.7437522295</v>
      </c>
      <c r="V134" s="203">
        <f t="shared" si="8"/>
        <v>108174.07749585139</v>
      </c>
      <c r="W134" s="203"/>
      <c r="X134" s="203"/>
    </row>
    <row r="135" spans="1:24" x14ac:dyDescent="0.25">
      <c r="B135" s="196">
        <v>10706</v>
      </c>
      <c r="C135" s="197" t="s">
        <v>246</v>
      </c>
      <c r="D135" s="198">
        <v>5908474.4673599992</v>
      </c>
      <c r="E135" s="198">
        <v>-1038344.62968</v>
      </c>
      <c r="F135" s="199">
        <v>25338.082936686085</v>
      </c>
      <c r="G135" s="199">
        <v>229434.67946362172</v>
      </c>
      <c r="H135" s="200">
        <v>28.039370346478247</v>
      </c>
      <c r="I135" s="200">
        <v>0</v>
      </c>
      <c r="J135" s="200">
        <v>0</v>
      </c>
      <c r="K135" s="198">
        <v>0</v>
      </c>
      <c r="L135" s="198">
        <v>5124930.6394506544</v>
      </c>
      <c r="M135" s="198">
        <v>147154.18567453991</v>
      </c>
      <c r="N135" s="201">
        <v>34.826944377820382</v>
      </c>
      <c r="O135" s="202">
        <v>-1.214121809634843E-2</v>
      </c>
      <c r="P135" s="186">
        <v>76</v>
      </c>
      <c r="Q135" s="211">
        <f t="shared" si="6"/>
        <v>5124930.6394506544</v>
      </c>
      <c r="S135" s="14"/>
      <c r="T135" s="203"/>
      <c r="U135" s="203">
        <f t="shared" si="7"/>
        <v>5124930.6394506544</v>
      </c>
      <c r="V135" s="203">
        <f t="shared" si="8"/>
        <v>147154.18567453991</v>
      </c>
      <c r="W135" s="203"/>
      <c r="X135" s="203"/>
    </row>
    <row r="136" spans="1:24" x14ac:dyDescent="0.25">
      <c r="B136" s="196">
        <v>11680</v>
      </c>
      <c r="C136" s="197" t="s">
        <v>247</v>
      </c>
      <c r="D136" s="198">
        <v>2232057.1392000001</v>
      </c>
      <c r="E136" s="198">
        <v>-392257.68960000004</v>
      </c>
      <c r="F136" s="199">
        <v>99448.175136800637</v>
      </c>
      <c r="G136" s="199">
        <v>52466.508926068433</v>
      </c>
      <c r="H136" s="200">
        <v>0</v>
      </c>
      <c r="I136" s="200">
        <v>0</v>
      </c>
      <c r="J136" s="200">
        <v>0</v>
      </c>
      <c r="K136" s="198">
        <v>0</v>
      </c>
      <c r="L136" s="198">
        <v>1991714.133662869</v>
      </c>
      <c r="M136" s="198">
        <v>55593.935999999994</v>
      </c>
      <c r="N136" s="201">
        <v>35.826104013626043</v>
      </c>
      <c r="O136" s="202">
        <v>4.045552236341011E-3</v>
      </c>
      <c r="P136" s="186">
        <v>23</v>
      </c>
      <c r="Q136" s="211">
        <f t="shared" si="6"/>
        <v>1991714.133662869</v>
      </c>
      <c r="S136" s="14"/>
      <c r="T136" s="203"/>
      <c r="U136" s="203">
        <f t="shared" si="7"/>
        <v>1991714.133662869</v>
      </c>
      <c r="V136" s="203">
        <f t="shared" si="8"/>
        <v>55593.935999999994</v>
      </c>
      <c r="W136" s="203"/>
      <c r="X136" s="203"/>
    </row>
    <row r="137" spans="1:24" x14ac:dyDescent="0.25">
      <c r="B137" s="196">
        <v>12026</v>
      </c>
      <c r="C137" s="197" t="s">
        <v>248</v>
      </c>
      <c r="D137" s="198">
        <v>15931806.058080001</v>
      </c>
      <c r="E137" s="198">
        <v>-2799826.8170399996</v>
      </c>
      <c r="F137" s="199">
        <v>345379.30643872666</v>
      </c>
      <c r="G137" s="199">
        <v>668404.69099086535</v>
      </c>
      <c r="H137" s="200">
        <v>0</v>
      </c>
      <c r="I137" s="200">
        <v>0</v>
      </c>
      <c r="J137" s="200">
        <v>0</v>
      </c>
      <c r="K137" s="198">
        <v>0</v>
      </c>
      <c r="L137" s="198">
        <v>14145763.238469593</v>
      </c>
      <c r="M137" s="198">
        <v>396799.63200000004</v>
      </c>
      <c r="N137" s="201">
        <v>35.649637997823525</v>
      </c>
      <c r="O137" s="202">
        <v>-2.0113958889075252E-2</v>
      </c>
      <c r="P137" s="186">
        <v>103</v>
      </c>
      <c r="Q137" s="211">
        <f t="shared" si="6"/>
        <v>14145763.238469593</v>
      </c>
      <c r="S137" s="14"/>
      <c r="T137" s="203"/>
      <c r="U137" s="203">
        <f t="shared" si="7"/>
        <v>14145763.238469593</v>
      </c>
      <c r="V137" s="203">
        <f t="shared" si="8"/>
        <v>396799.63200000004</v>
      </c>
      <c r="W137" s="203"/>
      <c r="X137" s="203"/>
    </row>
    <row r="138" spans="1:24" x14ac:dyDescent="0.25">
      <c r="B138" s="196">
        <v>10298</v>
      </c>
      <c r="C138" s="197" t="s">
        <v>92</v>
      </c>
      <c r="D138" s="198">
        <v>210947335.82783997</v>
      </c>
      <c r="E138" s="198">
        <v>-37071503.737920001</v>
      </c>
      <c r="F138" s="199">
        <v>6495227.9609705079</v>
      </c>
      <c r="G138" s="199">
        <v>12198696.416568385</v>
      </c>
      <c r="H138" s="200">
        <v>0</v>
      </c>
      <c r="I138" s="200">
        <v>0</v>
      </c>
      <c r="J138" s="200">
        <v>-9975501.3551306315</v>
      </c>
      <c r="K138" s="198">
        <v>-2527840.3382700002</v>
      </c>
      <c r="L138" s="198">
        <v>180066414.77405825</v>
      </c>
      <c r="M138" s="198">
        <v>5254528.9200827638</v>
      </c>
      <c r="N138" s="201">
        <v>34.268802686734865</v>
      </c>
      <c r="O138" s="202">
        <v>-5.8444175994808983E-3</v>
      </c>
      <c r="P138" s="186">
        <v>46</v>
      </c>
      <c r="Q138" s="211">
        <f t="shared" si="6"/>
        <v>192569756.4674589</v>
      </c>
      <c r="S138" s="14"/>
      <c r="T138" s="203"/>
      <c r="U138" s="203">
        <f t="shared" si="7"/>
        <v>192569756.4674589</v>
      </c>
      <c r="V138" s="203">
        <f t="shared" si="8"/>
        <v>5254528.9200827638</v>
      </c>
      <c r="W138" s="203"/>
      <c r="X138" s="203"/>
    </row>
    <row r="139" spans="1:24" x14ac:dyDescent="0.25">
      <c r="T139" s="203"/>
      <c r="U139" s="203"/>
      <c r="W139" s="203"/>
      <c r="X139" s="203"/>
    </row>
    <row r="140" spans="1:24" x14ac:dyDescent="0.25">
      <c r="A140" s="204"/>
      <c r="D140" s="203"/>
      <c r="E140" s="203"/>
      <c r="F140" s="203"/>
      <c r="G140" s="203"/>
      <c r="H140" s="203"/>
      <c r="I140" s="203"/>
      <c r="J140" s="203"/>
      <c r="K140" s="203"/>
      <c r="L140" s="203"/>
      <c r="M140" s="203"/>
      <c r="N140" s="2"/>
      <c r="O140" s="124"/>
      <c r="T140" s="203"/>
      <c r="U140" s="203"/>
      <c r="W140" s="203"/>
      <c r="X140" s="203"/>
    </row>
    <row r="141" spans="1:24" x14ac:dyDescent="0.25">
      <c r="A141" s="204"/>
      <c r="T141" s="203"/>
      <c r="U141" s="203"/>
      <c r="W141" s="203"/>
      <c r="X141" s="203"/>
    </row>
    <row r="142" spans="1:24" x14ac:dyDescent="0.25">
      <c r="A142" s="204"/>
    </row>
    <row r="143" spans="1:24" x14ac:dyDescent="0.25">
      <c r="H143" s="205"/>
      <c r="I143" s="205"/>
    </row>
    <row r="144" spans="1:24" x14ac:dyDescent="0.25">
      <c r="B144" s="196"/>
      <c r="C144" s="197"/>
    </row>
    <row r="145" spans="2:3" x14ac:dyDescent="0.25">
      <c r="B145" s="196"/>
      <c r="C145" s="197"/>
    </row>
    <row r="146" spans="2:3" x14ac:dyDescent="0.25">
      <c r="B146" s="196"/>
      <c r="C146" s="197"/>
    </row>
    <row r="147" spans="2:3" x14ac:dyDescent="0.25">
      <c r="B147" s="196"/>
      <c r="C147" s="197"/>
    </row>
    <row r="148" spans="2:3" x14ac:dyDescent="0.25">
      <c r="B148" s="196"/>
      <c r="C148" s="197"/>
    </row>
    <row r="149" spans="2:3" x14ac:dyDescent="0.25">
      <c r="B149" s="196"/>
      <c r="C149" s="197"/>
    </row>
    <row r="150" spans="2:3" x14ac:dyDescent="0.25">
      <c r="B150" s="196"/>
      <c r="C150" s="197"/>
    </row>
    <row r="151" spans="2:3" x14ac:dyDescent="0.25">
      <c r="B151" s="196"/>
      <c r="C151" s="197"/>
    </row>
    <row r="152" spans="2:3" x14ac:dyDescent="0.25">
      <c r="B152" s="196"/>
      <c r="C152" s="197"/>
    </row>
    <row r="153" spans="2:3" x14ac:dyDescent="0.25">
      <c r="B153" s="196"/>
      <c r="C153" s="197"/>
    </row>
    <row r="154" spans="2:3" x14ac:dyDescent="0.25">
      <c r="B154" s="196"/>
      <c r="C154" s="197"/>
    </row>
    <row r="155" spans="2:3" x14ac:dyDescent="0.25">
      <c r="B155" s="196"/>
      <c r="C155" s="197"/>
    </row>
    <row r="156" spans="2:3" x14ac:dyDescent="0.25">
      <c r="B156" s="196"/>
      <c r="C156" s="197"/>
    </row>
    <row r="157" spans="2:3" x14ac:dyDescent="0.25">
      <c r="B157" s="196"/>
      <c r="C157" s="197"/>
    </row>
    <row r="158" spans="2:3" x14ac:dyDescent="0.25">
      <c r="B158" s="196"/>
      <c r="C158" s="197"/>
    </row>
    <row r="159" spans="2:3" x14ac:dyDescent="0.25">
      <c r="B159" s="196"/>
      <c r="C159" s="197"/>
    </row>
    <row r="160" spans="2:3" x14ac:dyDescent="0.25">
      <c r="B160" s="196"/>
      <c r="C160" s="197"/>
    </row>
    <row r="161" spans="2:3" x14ac:dyDescent="0.25">
      <c r="B161" s="196"/>
      <c r="C161" s="197"/>
    </row>
    <row r="162" spans="2:3" x14ac:dyDescent="0.25">
      <c r="B162" s="196"/>
      <c r="C162" s="197"/>
    </row>
    <row r="163" spans="2:3" x14ac:dyDescent="0.25">
      <c r="B163" s="196"/>
      <c r="C163" s="197"/>
    </row>
    <row r="164" spans="2:3" x14ac:dyDescent="0.25">
      <c r="B164" s="196"/>
      <c r="C164" s="197"/>
    </row>
    <row r="165" spans="2:3" x14ac:dyDescent="0.25">
      <c r="B165" s="196"/>
      <c r="C165" s="197"/>
    </row>
    <row r="166" spans="2:3" x14ac:dyDescent="0.25">
      <c r="B166" s="196"/>
      <c r="C166" s="197"/>
    </row>
    <row r="167" spans="2:3" x14ac:dyDescent="0.25">
      <c r="B167" s="196"/>
      <c r="C167" s="197"/>
    </row>
    <row r="168" spans="2:3" x14ac:dyDescent="0.25">
      <c r="B168" s="206"/>
      <c r="C168" s="206"/>
    </row>
    <row r="169" spans="2:3" x14ac:dyDescent="0.25">
      <c r="B169" s="206"/>
      <c r="C169" s="206"/>
    </row>
    <row r="170" spans="2:3" x14ac:dyDescent="0.25">
      <c r="B170" s="206"/>
      <c r="C170" s="206"/>
    </row>
  </sheetData>
  <conditionalFormatting sqref="B2">
    <cfRule type="expression" dxfId="1" priority="1" stopIfTrue="1">
      <formula>A1 &gt; 30</formula>
    </cfRule>
  </conditionalFormatting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868454-EDE3-46DB-8C3E-F4CEC7D7168D}">
  <dimension ref="D5:N22"/>
  <sheetViews>
    <sheetView workbookViewId="0">
      <selection activeCell="G19" sqref="G19"/>
    </sheetView>
  </sheetViews>
  <sheetFormatPr defaultRowHeight="15" x14ac:dyDescent="0.25"/>
  <cols>
    <col min="5" max="5" width="32.7109375" bestFit="1" customWidth="1"/>
    <col min="6" max="6" width="8" bestFit="1" customWidth="1"/>
    <col min="7" max="7" width="12.140625" bestFit="1" customWidth="1"/>
    <col min="8" max="8" width="12.140625" customWidth="1"/>
    <col min="9" max="9" width="13.7109375" bestFit="1" customWidth="1"/>
    <col min="10" max="10" width="14.7109375" bestFit="1" customWidth="1"/>
    <col min="11" max="11" width="12.28515625" bestFit="1" customWidth="1"/>
    <col min="12" max="12" width="16.140625" bestFit="1" customWidth="1"/>
  </cols>
  <sheetData>
    <row r="5" spans="4:14" x14ac:dyDescent="0.25">
      <c r="D5" t="s">
        <v>59</v>
      </c>
      <c r="E5" t="s">
        <v>78</v>
      </c>
      <c r="F5" t="s">
        <v>77</v>
      </c>
      <c r="G5" t="s">
        <v>93</v>
      </c>
      <c r="H5" t="s">
        <v>96</v>
      </c>
      <c r="I5" t="s">
        <v>94</v>
      </c>
      <c r="J5" t="s">
        <v>95</v>
      </c>
      <c r="K5" t="s">
        <v>97</v>
      </c>
      <c r="L5" t="s">
        <v>339</v>
      </c>
    </row>
    <row r="6" spans="4:14" x14ac:dyDescent="0.25">
      <c r="D6">
        <v>10029</v>
      </c>
      <c r="E6" t="s">
        <v>79</v>
      </c>
      <c r="F6">
        <v>1</v>
      </c>
      <c r="G6">
        <v>2.4940000000000001E-3</v>
      </c>
      <c r="H6">
        <f>G6/$G$22</f>
        <v>2.9452333040463304E-2</v>
      </c>
      <c r="I6" s="20">
        <f>$I$22*H6</f>
        <v>191299.61708023277</v>
      </c>
      <c r="J6" s="20">
        <f>$J$22*H6</f>
        <v>359280.06952027837</v>
      </c>
      <c r="K6" s="20">
        <f>I6+J6</f>
        <v>550579.6866005112</v>
      </c>
      <c r="L6" s="93">
        <f>H6*$L$22</f>
        <v>154758.13572502355</v>
      </c>
      <c r="N6" s="205"/>
    </row>
    <row r="7" spans="4:14" x14ac:dyDescent="0.25">
      <c r="D7">
        <v>10046</v>
      </c>
      <c r="E7" t="s">
        <v>80</v>
      </c>
      <c r="F7">
        <v>1</v>
      </c>
      <c r="G7">
        <v>1.15881E-2</v>
      </c>
      <c r="H7">
        <f t="shared" ref="H7:H21" si="0">G7/$G$22</f>
        <v>0.13684706515885839</v>
      </c>
      <c r="I7" s="20">
        <f t="shared" ref="I7:I21" si="1">$I$22*H7</f>
        <v>888852.88399657002</v>
      </c>
      <c r="J7" s="20">
        <f t="shared" ref="J7:J21" si="2">$J$22*H7</f>
        <v>1669355.8033712662</v>
      </c>
      <c r="K7" s="20">
        <f t="shared" ref="K7:K21" si="3">I7+J7</f>
        <v>2558208.687367836</v>
      </c>
      <c r="L7" s="93">
        <f t="shared" ref="L7:L21" si="4">H7*$L$22</f>
        <v>719066.86150567175</v>
      </c>
      <c r="N7" s="205"/>
    </row>
    <row r="8" spans="4:14" x14ac:dyDescent="0.25">
      <c r="D8">
        <v>10106</v>
      </c>
      <c r="E8" t="s">
        <v>7</v>
      </c>
      <c r="F8">
        <v>1</v>
      </c>
      <c r="G8">
        <v>3.3806999999999999E-3</v>
      </c>
      <c r="H8">
        <f t="shared" si="0"/>
        <v>3.9923617606212623E-2</v>
      </c>
      <c r="I8" s="20">
        <f t="shared" si="1"/>
        <v>259312.99737896668</v>
      </c>
      <c r="J8" s="20">
        <f t="shared" si="2"/>
        <v>487016.09102935245</v>
      </c>
      <c r="K8" s="20">
        <f t="shared" si="3"/>
        <v>746329.08840831916</v>
      </c>
      <c r="L8" s="93">
        <f t="shared" si="4"/>
        <v>209779.80330616963</v>
      </c>
      <c r="N8" s="205"/>
    </row>
    <row r="9" spans="4:14" x14ac:dyDescent="0.25">
      <c r="D9">
        <v>10118</v>
      </c>
      <c r="E9" t="s">
        <v>11</v>
      </c>
      <c r="F9">
        <v>1</v>
      </c>
      <c r="G9">
        <v>6.4663000000000003E-3</v>
      </c>
      <c r="H9">
        <f t="shared" si="0"/>
        <v>7.6362318019064901E-2</v>
      </c>
      <c r="I9" s="20">
        <f t="shared" si="1"/>
        <v>495990.6631619524</v>
      </c>
      <c r="J9" s="20">
        <f t="shared" si="2"/>
        <v>931520.73518002243</v>
      </c>
      <c r="K9" s="20">
        <f t="shared" si="3"/>
        <v>1427511.3983419747</v>
      </c>
      <c r="L9" s="93">
        <f t="shared" si="4"/>
        <v>401248.00843573367</v>
      </c>
      <c r="N9" s="205"/>
    </row>
    <row r="10" spans="4:14" x14ac:dyDescent="0.25">
      <c r="D10">
        <v>10121</v>
      </c>
      <c r="E10" t="s">
        <v>81</v>
      </c>
      <c r="F10">
        <v>1</v>
      </c>
      <c r="G10">
        <v>5.5913999999999998E-3</v>
      </c>
      <c r="H10">
        <f t="shared" si="0"/>
        <v>6.6030382903948082E-2</v>
      </c>
      <c r="I10" s="20">
        <f t="shared" si="1"/>
        <v>428882.38931131258</v>
      </c>
      <c r="J10" s="20">
        <f t="shared" si="2"/>
        <v>805484.59531502984</v>
      </c>
      <c r="K10" s="20">
        <f t="shared" si="3"/>
        <v>1234366.9846263425</v>
      </c>
      <c r="L10" s="93">
        <f t="shared" si="4"/>
        <v>346958.55657293368</v>
      </c>
      <c r="N10" s="205"/>
    </row>
    <row r="11" spans="4:14" x14ac:dyDescent="0.25">
      <c r="D11">
        <v>10136</v>
      </c>
      <c r="E11" t="s">
        <v>82</v>
      </c>
      <c r="F11">
        <v>1</v>
      </c>
      <c r="G11">
        <v>2.6044000000000002E-3</v>
      </c>
      <c r="H11">
        <f t="shared" si="0"/>
        <v>3.0756077053160639E-2</v>
      </c>
      <c r="I11" s="20">
        <f t="shared" si="1"/>
        <v>199767.73164545241</v>
      </c>
      <c r="J11" s="20">
        <f t="shared" si="2"/>
        <v>375184.04693609185</v>
      </c>
      <c r="K11" s="20">
        <f t="shared" si="3"/>
        <v>574951.77858154429</v>
      </c>
      <c r="L11" s="93">
        <f t="shared" si="4"/>
        <v>161608.69634412645</v>
      </c>
      <c r="N11" s="205"/>
    </row>
    <row r="12" spans="4:14" x14ac:dyDescent="0.25">
      <c r="D12">
        <v>10173</v>
      </c>
      <c r="E12" t="s">
        <v>83</v>
      </c>
      <c r="F12">
        <v>1</v>
      </c>
      <c r="G12">
        <v>4.6904E-3</v>
      </c>
      <c r="H12">
        <f t="shared" si="0"/>
        <v>5.5390225698872926E-2</v>
      </c>
      <c r="I12" s="20">
        <f t="shared" si="1"/>
        <v>359772.14272378664</v>
      </c>
      <c r="J12" s="20">
        <f t="shared" si="2"/>
        <v>675688.54774575529</v>
      </c>
      <c r="K12" s="20">
        <f t="shared" si="3"/>
        <v>1035460.6904695419</v>
      </c>
      <c r="L12" s="93">
        <f t="shared" si="4"/>
        <v>291049.5428246393</v>
      </c>
      <c r="N12" s="205"/>
    </row>
    <row r="13" spans="4:14" x14ac:dyDescent="0.25">
      <c r="D13">
        <v>10179</v>
      </c>
      <c r="E13" t="s">
        <v>84</v>
      </c>
      <c r="F13">
        <v>1</v>
      </c>
      <c r="G13">
        <v>2.3617900000000001E-2</v>
      </c>
      <c r="H13">
        <f t="shared" si="0"/>
        <v>0.27891028729605383</v>
      </c>
      <c r="I13" s="20">
        <f t="shared" si="1"/>
        <v>1811585.8966476463</v>
      </c>
      <c r="J13" s="20">
        <f t="shared" si="2"/>
        <v>3402341.9221824305</v>
      </c>
      <c r="K13" s="20">
        <f t="shared" si="3"/>
        <v>5213927.8188300766</v>
      </c>
      <c r="L13" s="93">
        <f t="shared" si="4"/>
        <v>1465542.170705707</v>
      </c>
      <c r="N13" s="205"/>
    </row>
    <row r="14" spans="4:14" x14ac:dyDescent="0.25">
      <c r="D14">
        <v>10236</v>
      </c>
      <c r="E14" t="s">
        <v>85</v>
      </c>
      <c r="F14">
        <v>1</v>
      </c>
      <c r="G14">
        <v>3.9744999999999997E-3</v>
      </c>
      <c r="H14">
        <f t="shared" si="0"/>
        <v>4.6935965384651723E-2</v>
      </c>
      <c r="I14" s="20">
        <f t="shared" si="1"/>
        <v>304859.79474153375</v>
      </c>
      <c r="J14" s="20">
        <f t="shared" si="2"/>
        <v>572557.59274592879</v>
      </c>
      <c r="K14" s="20">
        <f t="shared" si="3"/>
        <v>877417.38748746249</v>
      </c>
      <c r="L14" s="93">
        <f t="shared" si="4"/>
        <v>246626.38750565599</v>
      </c>
      <c r="N14" s="205"/>
    </row>
    <row r="15" spans="4:14" x14ac:dyDescent="0.25">
      <c r="D15">
        <v>10239</v>
      </c>
      <c r="E15" t="s">
        <v>86</v>
      </c>
      <c r="F15">
        <v>1</v>
      </c>
      <c r="G15">
        <v>1.9821000000000001E-3</v>
      </c>
      <c r="H15">
        <f t="shared" si="0"/>
        <v>2.3407164923617607E-2</v>
      </c>
      <c r="I15" s="20">
        <f t="shared" si="1"/>
        <v>152034.87209892919</v>
      </c>
      <c r="J15" s="20">
        <f t="shared" si="2"/>
        <v>285536.89887575933</v>
      </c>
      <c r="K15" s="20">
        <f t="shared" si="3"/>
        <v>437571.77097468852</v>
      </c>
      <c r="L15" s="93">
        <f t="shared" si="4"/>
        <v>122993.62502829557</v>
      </c>
      <c r="N15" s="205"/>
    </row>
    <row r="16" spans="4:14" x14ac:dyDescent="0.25">
      <c r="D16">
        <v>10278</v>
      </c>
      <c r="E16" t="s">
        <v>33</v>
      </c>
      <c r="F16">
        <v>1</v>
      </c>
      <c r="G16">
        <v>5.0864999999999999E-3</v>
      </c>
      <c r="H16">
        <f t="shared" si="0"/>
        <v>6.0067879715443702E-2</v>
      </c>
      <c r="I16" s="20">
        <f t="shared" si="1"/>
        <v>390154.57188396313</v>
      </c>
      <c r="J16" s="20">
        <f t="shared" si="2"/>
        <v>732749.82903564384</v>
      </c>
      <c r="K16" s="20">
        <f t="shared" si="3"/>
        <v>1122904.4009196069</v>
      </c>
      <c r="L16" s="93">
        <f t="shared" si="4"/>
        <v>315628.41113285173</v>
      </c>
      <c r="N16" s="205"/>
    </row>
    <row r="17" spans="4:14" x14ac:dyDescent="0.25">
      <c r="D17">
        <v>10285</v>
      </c>
      <c r="E17" t="s">
        <v>87</v>
      </c>
      <c r="F17">
        <v>1</v>
      </c>
      <c r="G17">
        <v>9.2429999999999997E-4</v>
      </c>
      <c r="H17">
        <f t="shared" si="0"/>
        <v>1.0915313323696964E-2</v>
      </c>
      <c r="I17" s="20">
        <f t="shared" si="1"/>
        <v>70897.448302830453</v>
      </c>
      <c r="J17" s="20">
        <f t="shared" si="2"/>
        <v>133152.59352750331</v>
      </c>
      <c r="K17" s="20">
        <f t="shared" si="3"/>
        <v>204050.04183033376</v>
      </c>
      <c r="L17" s="93">
        <f t="shared" si="4"/>
        <v>57354.82953113041</v>
      </c>
      <c r="N17" s="205"/>
    </row>
    <row r="18" spans="4:14" x14ac:dyDescent="0.25">
      <c r="D18">
        <v>10288</v>
      </c>
      <c r="E18" t="s">
        <v>88</v>
      </c>
      <c r="F18">
        <v>1</v>
      </c>
      <c r="G18">
        <v>3.4845000000000002E-3</v>
      </c>
      <c r="H18">
        <f t="shared" si="0"/>
        <v>4.1149420400759577E-2</v>
      </c>
      <c r="I18" s="20">
        <f t="shared" si="1"/>
        <v>267274.86596474383</v>
      </c>
      <c r="J18" s="20">
        <f t="shared" si="2"/>
        <v>501969.28718661185</v>
      </c>
      <c r="K18" s="20">
        <f t="shared" si="3"/>
        <v>769244.15315135568</v>
      </c>
      <c r="L18" s="93">
        <f t="shared" si="4"/>
        <v>216220.81954043487</v>
      </c>
      <c r="N18" s="205"/>
    </row>
    <row r="19" spans="4:14" x14ac:dyDescent="0.25">
      <c r="D19">
        <v>10331</v>
      </c>
      <c r="E19" t="s">
        <v>89</v>
      </c>
      <c r="F19">
        <v>1</v>
      </c>
      <c r="G19">
        <v>5.0061000000000003E-3</v>
      </c>
      <c r="H19">
        <f t="shared" si="0"/>
        <v>5.9118413967066297E-2</v>
      </c>
      <c r="I19" s="20">
        <f t="shared" si="1"/>
        <v>383987.57540711842</v>
      </c>
      <c r="J19" s="20">
        <f t="shared" si="2"/>
        <v>721167.58461325802</v>
      </c>
      <c r="K19" s="20">
        <f t="shared" si="3"/>
        <v>1105155.1600203766</v>
      </c>
      <c r="L19" s="93">
        <f t="shared" si="4"/>
        <v>310639.41589937464</v>
      </c>
      <c r="N19" s="205"/>
    </row>
    <row r="20" spans="4:14" x14ac:dyDescent="0.25">
      <c r="D20">
        <v>10333</v>
      </c>
      <c r="E20" t="s">
        <v>90</v>
      </c>
      <c r="F20">
        <v>1</v>
      </c>
      <c r="G20">
        <v>2.6213E-3</v>
      </c>
      <c r="H20">
        <f t="shared" si="0"/>
        <v>3.0955653808727529E-2</v>
      </c>
      <c r="I20" s="20">
        <f t="shared" si="1"/>
        <v>201064.02816857025</v>
      </c>
      <c r="J20" s="20">
        <f t="shared" si="2"/>
        <v>377618.623189056</v>
      </c>
      <c r="K20" s="20">
        <f t="shared" si="3"/>
        <v>578682.65135762631</v>
      </c>
      <c r="L20" s="93">
        <f t="shared" si="4"/>
        <v>162657.37817802894</v>
      </c>
      <c r="N20" s="205"/>
    </row>
    <row r="21" spans="4:14" x14ac:dyDescent="0.25">
      <c r="D21">
        <v>10448</v>
      </c>
      <c r="E21" t="s">
        <v>91</v>
      </c>
      <c r="F21">
        <v>1</v>
      </c>
      <c r="G21">
        <v>1.1666999999999999E-3</v>
      </c>
      <c r="H21">
        <f t="shared" si="0"/>
        <v>1.3777881699401978E-2</v>
      </c>
      <c r="I21" s="20">
        <f t="shared" si="1"/>
        <v>89490.482456899583</v>
      </c>
      <c r="J21" s="20">
        <f t="shared" si="2"/>
        <v>168072.19611439804</v>
      </c>
      <c r="K21" s="20">
        <f t="shared" si="3"/>
        <v>257562.67857129761</v>
      </c>
      <c r="L21" s="93">
        <f t="shared" si="4"/>
        <v>72396.277846986748</v>
      </c>
      <c r="N21" s="205"/>
    </row>
    <row r="22" spans="4:14" x14ac:dyDescent="0.25">
      <c r="D22">
        <v>10298</v>
      </c>
      <c r="E22" t="s">
        <v>92</v>
      </c>
      <c r="F22">
        <v>0</v>
      </c>
      <c r="G22">
        <v>8.4679199999999996E-2</v>
      </c>
      <c r="H22">
        <f>SUM(H6:H21)</f>
        <v>1</v>
      </c>
      <c r="I22" s="19">
        <f>Charges_NonSlice!F138+Charges_NonSlice!H138</f>
        <v>6495227.9609705079</v>
      </c>
      <c r="J22" s="19">
        <f>Charges_NonSlice!G138</f>
        <v>12198696.416568385</v>
      </c>
      <c r="K22" s="20">
        <f>SUM(K6:K21)</f>
        <v>18693924.37753889</v>
      </c>
      <c r="L22" s="203">
        <f>Charges_NonSlice!M138</f>
        <v>5254528.9200827638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187E81-F9F0-41FB-A68C-8620252D7AEA}">
  <dimension ref="A1:U140"/>
  <sheetViews>
    <sheetView workbookViewId="0">
      <pane xSplit="2" ySplit="3" topLeftCell="C4" activePane="bottomRight" state="frozen"/>
      <selection pane="topRight" activeCell="C1" sqref="C1"/>
      <selection pane="bottomLeft" activeCell="A8" sqref="A8"/>
      <selection pane="bottomRight" activeCell="G23" sqref="G23"/>
    </sheetView>
  </sheetViews>
  <sheetFormatPr defaultColWidth="8.7109375" defaultRowHeight="14.25" x14ac:dyDescent="0.2"/>
  <cols>
    <col min="1" max="1" width="8.7109375" style="68" bestFit="1" customWidth="1"/>
    <col min="2" max="2" width="35.5703125" style="68" bestFit="1" customWidth="1"/>
    <col min="3" max="10" width="13.5703125" style="68" customWidth="1"/>
    <col min="11" max="16" width="17.5703125" style="68" customWidth="1"/>
    <col min="17" max="18" width="16.28515625" style="68" customWidth="1"/>
    <col min="19" max="16384" width="8.7109375" style="68"/>
  </cols>
  <sheetData>
    <row r="1" spans="1:21" s="52" customFormat="1" ht="15" customHeight="1" thickBot="1" x14ac:dyDescent="0.3">
      <c r="A1" s="50"/>
      <c r="B1" s="51"/>
      <c r="C1" s="261" t="s">
        <v>250</v>
      </c>
      <c r="D1" s="262"/>
      <c r="E1" s="262"/>
      <c r="F1" s="262"/>
      <c r="G1" s="262"/>
      <c r="H1" s="262"/>
      <c r="I1" s="262"/>
      <c r="J1" s="262"/>
      <c r="K1" s="263" t="s">
        <v>251</v>
      </c>
      <c r="L1" s="264"/>
      <c r="M1" s="264"/>
      <c r="N1" s="264"/>
      <c r="O1" s="264"/>
      <c r="P1" s="264"/>
      <c r="Q1" s="264"/>
      <c r="R1" s="265"/>
    </row>
    <row r="2" spans="1:21" s="52" customFormat="1" ht="15" customHeight="1" thickBot="1" x14ac:dyDescent="0.3">
      <c r="A2" s="50"/>
      <c r="B2" s="51" t="s">
        <v>252</v>
      </c>
      <c r="C2" s="266" t="s">
        <v>253</v>
      </c>
      <c r="D2" s="268" t="s">
        <v>254</v>
      </c>
      <c r="E2" s="268" t="s">
        <v>255</v>
      </c>
      <c r="F2" s="270" t="s">
        <v>256</v>
      </c>
      <c r="G2" s="270"/>
      <c r="H2" s="270"/>
      <c r="I2" s="271"/>
      <c r="J2" s="272" t="s">
        <v>257</v>
      </c>
      <c r="K2" s="266" t="s">
        <v>258</v>
      </c>
      <c r="L2" s="268" t="s">
        <v>259</v>
      </c>
      <c r="M2" s="268" t="s">
        <v>260</v>
      </c>
      <c r="N2" s="268" t="s">
        <v>261</v>
      </c>
      <c r="O2" s="268" t="s">
        <v>262</v>
      </c>
      <c r="P2" s="274" t="s">
        <v>263</v>
      </c>
      <c r="Q2" s="276" t="s">
        <v>264</v>
      </c>
      <c r="R2" s="278" t="s">
        <v>265</v>
      </c>
    </row>
    <row r="3" spans="1:21" s="52" customFormat="1" ht="75.75" thickBot="1" x14ac:dyDescent="0.3">
      <c r="A3" s="53" t="s">
        <v>266</v>
      </c>
      <c r="B3" s="54" t="s">
        <v>267</v>
      </c>
      <c r="C3" s="267"/>
      <c r="D3" s="269"/>
      <c r="E3" s="269"/>
      <c r="F3" s="55" t="s">
        <v>268</v>
      </c>
      <c r="G3" s="56" t="s">
        <v>269</v>
      </c>
      <c r="H3" s="56" t="s">
        <v>270</v>
      </c>
      <c r="I3" s="57" t="s">
        <v>271</v>
      </c>
      <c r="J3" s="273"/>
      <c r="K3" s="267"/>
      <c r="L3" s="269"/>
      <c r="M3" s="269"/>
      <c r="N3" s="269"/>
      <c r="O3" s="269"/>
      <c r="P3" s="275"/>
      <c r="Q3" s="277"/>
      <c r="R3" s="279"/>
    </row>
    <row r="4" spans="1:21" x14ac:dyDescent="0.2">
      <c r="A4" s="58">
        <v>10015</v>
      </c>
      <c r="B4" s="59" t="s">
        <v>136</v>
      </c>
      <c r="C4" s="60">
        <v>0.54931529680365299</v>
      </c>
      <c r="D4" s="61">
        <v>0</v>
      </c>
      <c r="E4" s="62">
        <v>0</v>
      </c>
      <c r="F4" s="63">
        <v>0</v>
      </c>
      <c r="G4" s="62">
        <v>0</v>
      </c>
      <c r="H4" s="63">
        <v>0</v>
      </c>
      <c r="I4" s="64">
        <v>0</v>
      </c>
      <c r="J4" s="65">
        <f t="shared" ref="J4:J67" si="0">IF((C4+D4-SUM(E4:H4)+I4)&gt;0,C4+D4-SUM(E4:H4)+I4,0)</f>
        <v>0.54931529680365299</v>
      </c>
      <c r="K4" s="60">
        <v>0.57299999999999995</v>
      </c>
      <c r="L4" s="62">
        <f t="shared" ref="L4:L67" si="1">IF(K4&gt;J4,J4-K4,0)</f>
        <v>-2.3684703196346968E-2</v>
      </c>
      <c r="M4" s="62">
        <v>0</v>
      </c>
      <c r="N4" s="62">
        <f t="shared" ref="N4:N67" si="2">H4*0.5</f>
        <v>0</v>
      </c>
      <c r="O4" s="63">
        <f t="shared" ref="O4:O67" si="3">IF(J4&gt;K4, (J4-K4)*0.25,0)</f>
        <v>0</v>
      </c>
      <c r="P4" s="61">
        <v>1.3211438950608674E-2</v>
      </c>
      <c r="Q4" s="66">
        <f t="shared" ref="Q4:Q34" si="4">SUM(K4:P4)</f>
        <v>0.56252673575426171</v>
      </c>
      <c r="R4" s="67">
        <f t="shared" ref="R4:R67" si="5">J4-Q4</f>
        <v>-1.3211438950608723E-2</v>
      </c>
      <c r="T4" s="69"/>
      <c r="U4" s="70"/>
    </row>
    <row r="5" spans="1:21" x14ac:dyDescent="0.2">
      <c r="A5" s="58">
        <v>10024</v>
      </c>
      <c r="B5" s="59" t="s">
        <v>137</v>
      </c>
      <c r="C5" s="60">
        <v>221.696140981735</v>
      </c>
      <c r="D5" s="61">
        <v>0</v>
      </c>
      <c r="E5" s="62">
        <v>0</v>
      </c>
      <c r="F5" s="63">
        <v>0.91883561643835621</v>
      </c>
      <c r="G5" s="62">
        <v>0</v>
      </c>
      <c r="H5" s="63">
        <v>0</v>
      </c>
      <c r="I5" s="64">
        <v>0</v>
      </c>
      <c r="J5" s="65">
        <f t="shared" si="0"/>
        <v>220.77730536529666</v>
      </c>
      <c r="K5" s="60">
        <v>200.923</v>
      </c>
      <c r="L5" s="62">
        <f t="shared" si="1"/>
        <v>0</v>
      </c>
      <c r="M5" s="62">
        <v>1.4252020014000009</v>
      </c>
      <c r="N5" s="62">
        <f t="shared" si="2"/>
        <v>0</v>
      </c>
      <c r="O5" s="63">
        <f t="shared" si="3"/>
        <v>4.9635763413241634</v>
      </c>
      <c r="P5" s="61">
        <v>4.9860015172597754</v>
      </c>
      <c r="Q5" s="66">
        <f t="shared" si="4"/>
        <v>212.29777985998396</v>
      </c>
      <c r="R5" s="67">
        <f t="shared" si="5"/>
        <v>8.4795255053126937</v>
      </c>
      <c r="T5" s="69"/>
      <c r="U5" s="70"/>
    </row>
    <row r="6" spans="1:21" x14ac:dyDescent="0.2">
      <c r="A6" s="58">
        <v>10025</v>
      </c>
      <c r="B6" s="59" t="s">
        <v>138</v>
      </c>
      <c r="C6" s="60">
        <v>75.200869977168907</v>
      </c>
      <c r="D6" s="61">
        <v>0</v>
      </c>
      <c r="E6" s="62">
        <v>0</v>
      </c>
      <c r="F6" s="63">
        <v>0</v>
      </c>
      <c r="G6" s="62">
        <v>0</v>
      </c>
      <c r="H6" s="63">
        <v>0</v>
      </c>
      <c r="I6" s="64">
        <v>0</v>
      </c>
      <c r="J6" s="65">
        <f>IF((C6+D6-SUM(E6:H6)+I6)&gt;0,C6+D6-SUM(E6:H6)+I6,0)</f>
        <v>75.200869977168907</v>
      </c>
      <c r="K6" s="60">
        <v>59.658999999999999</v>
      </c>
      <c r="L6" s="62">
        <f t="shared" si="1"/>
        <v>0</v>
      </c>
      <c r="M6" s="62">
        <v>0.56422774946917786</v>
      </c>
      <c r="N6" s="62">
        <f t="shared" si="2"/>
        <v>0</v>
      </c>
      <c r="O6" s="63">
        <f t="shared" si="3"/>
        <v>3.8854674942922269</v>
      </c>
      <c r="P6" s="61">
        <v>1.5418615107652287</v>
      </c>
      <c r="Q6" s="66">
        <f t="shared" si="4"/>
        <v>65.650556754526633</v>
      </c>
      <c r="R6" s="67">
        <f t="shared" si="5"/>
        <v>9.5503132226422736</v>
      </c>
      <c r="T6" s="69"/>
      <c r="U6" s="70"/>
    </row>
    <row r="7" spans="1:21" x14ac:dyDescent="0.2">
      <c r="A7" s="58">
        <v>10027</v>
      </c>
      <c r="B7" s="59" t="s">
        <v>139</v>
      </c>
      <c r="C7" s="60">
        <v>69.948345776255707</v>
      </c>
      <c r="D7" s="61">
        <v>0</v>
      </c>
      <c r="E7" s="62">
        <v>0</v>
      </c>
      <c r="F7" s="63">
        <v>0</v>
      </c>
      <c r="G7" s="62">
        <v>0</v>
      </c>
      <c r="H7" s="63">
        <v>0</v>
      </c>
      <c r="I7" s="64">
        <v>0</v>
      </c>
      <c r="J7" s="65">
        <f t="shared" si="0"/>
        <v>69.948345776255707</v>
      </c>
      <c r="K7" s="60">
        <v>61.194000000000003</v>
      </c>
      <c r="L7" s="62">
        <f t="shared" si="1"/>
        <v>0</v>
      </c>
      <c r="M7" s="62">
        <v>2.5006324149771688E-2</v>
      </c>
      <c r="N7" s="62">
        <f t="shared" si="2"/>
        <v>0</v>
      </c>
      <c r="O7" s="63">
        <f t="shared" si="3"/>
        <v>2.188586444063926</v>
      </c>
      <c r="P7" s="61">
        <v>1.524999477962363</v>
      </c>
      <c r="Q7" s="66">
        <f t="shared" si="4"/>
        <v>64.932592246176071</v>
      </c>
      <c r="R7" s="67">
        <f t="shared" si="5"/>
        <v>5.0157535300796354</v>
      </c>
      <c r="T7" s="69"/>
      <c r="U7" s="70"/>
    </row>
    <row r="8" spans="1:21" x14ac:dyDescent="0.2">
      <c r="A8" s="58">
        <v>10029</v>
      </c>
      <c r="B8" s="59" t="s">
        <v>79</v>
      </c>
      <c r="C8" s="60">
        <v>3.91</v>
      </c>
      <c r="D8" s="61">
        <v>0</v>
      </c>
      <c r="E8" s="62">
        <v>0</v>
      </c>
      <c r="F8" s="63">
        <v>0</v>
      </c>
      <c r="G8" s="62">
        <v>0</v>
      </c>
      <c r="H8" s="63">
        <v>0</v>
      </c>
      <c r="I8" s="64">
        <v>0</v>
      </c>
      <c r="J8" s="65">
        <f t="shared" si="0"/>
        <v>3.91</v>
      </c>
      <c r="K8" s="60">
        <v>17.616</v>
      </c>
      <c r="L8" s="62">
        <f t="shared" si="1"/>
        <v>-13.706</v>
      </c>
      <c r="M8" s="62">
        <v>0</v>
      </c>
      <c r="N8" s="62">
        <f t="shared" si="2"/>
        <v>0</v>
      </c>
      <c r="O8" s="63">
        <f t="shared" si="3"/>
        <v>0</v>
      </c>
      <c r="P8" s="61">
        <v>9.4038390333309921E-2</v>
      </c>
      <c r="Q8" s="66">
        <f t="shared" si="4"/>
        <v>4.0040383903333101</v>
      </c>
      <c r="R8" s="67">
        <f t="shared" si="5"/>
        <v>-9.4038390333309962E-2</v>
      </c>
      <c r="T8" s="69"/>
      <c r="U8" s="70"/>
    </row>
    <row r="9" spans="1:21" x14ac:dyDescent="0.2">
      <c r="A9" s="58">
        <v>10044</v>
      </c>
      <c r="B9" s="59" t="s">
        <v>140</v>
      </c>
      <c r="C9" s="60">
        <v>22.533898972602699</v>
      </c>
      <c r="D9" s="61">
        <v>0</v>
      </c>
      <c r="E9" s="62">
        <v>0</v>
      </c>
      <c r="F9" s="63">
        <v>0</v>
      </c>
      <c r="G9" s="62">
        <v>0</v>
      </c>
      <c r="H9" s="63">
        <v>0</v>
      </c>
      <c r="I9" s="64">
        <v>0</v>
      </c>
      <c r="J9" s="65">
        <f t="shared" si="0"/>
        <v>22.533898972602699</v>
      </c>
      <c r="K9" s="60">
        <v>20.309000000000001</v>
      </c>
      <c r="L9" s="62">
        <f t="shared" si="1"/>
        <v>0</v>
      </c>
      <c r="M9" s="62">
        <v>0</v>
      </c>
      <c r="N9" s="62">
        <f t="shared" si="2"/>
        <v>0</v>
      </c>
      <c r="O9" s="63">
        <f t="shared" si="3"/>
        <v>0.55622474315067461</v>
      </c>
      <c r="P9" s="61">
        <v>0.50182407897407666</v>
      </c>
      <c r="Q9" s="66">
        <f t="shared" si="4"/>
        <v>21.367048822124755</v>
      </c>
      <c r="R9" s="67">
        <f t="shared" si="5"/>
        <v>1.1668501504779449</v>
      </c>
      <c r="T9" s="69"/>
      <c r="U9" s="70"/>
    </row>
    <row r="10" spans="1:21" x14ac:dyDescent="0.2">
      <c r="A10" s="58">
        <v>10046</v>
      </c>
      <c r="B10" s="59" t="s">
        <v>80</v>
      </c>
      <c r="C10" s="60">
        <v>100.081</v>
      </c>
      <c r="D10" s="61">
        <v>0</v>
      </c>
      <c r="E10" s="62">
        <v>0</v>
      </c>
      <c r="F10" s="63">
        <v>0</v>
      </c>
      <c r="G10" s="62">
        <v>0</v>
      </c>
      <c r="H10" s="63">
        <v>0</v>
      </c>
      <c r="I10" s="64">
        <v>0</v>
      </c>
      <c r="J10" s="65">
        <f t="shared" si="0"/>
        <v>100.081</v>
      </c>
      <c r="K10" s="60">
        <v>81.850999999999999</v>
      </c>
      <c r="L10" s="62">
        <f t="shared" si="1"/>
        <v>0</v>
      </c>
      <c r="M10" s="62">
        <v>0.14950804708904111</v>
      </c>
      <c r="N10" s="62">
        <f t="shared" si="2"/>
        <v>0</v>
      </c>
      <c r="O10" s="63">
        <f t="shared" si="3"/>
        <v>4.557500000000001</v>
      </c>
      <c r="P10" s="61">
        <v>2.0817840785692945</v>
      </c>
      <c r="Q10" s="66">
        <f t="shared" si="4"/>
        <v>88.639792125658346</v>
      </c>
      <c r="R10" s="67">
        <f t="shared" si="5"/>
        <v>11.441207874341657</v>
      </c>
      <c r="T10" s="69"/>
      <c r="U10" s="70"/>
    </row>
    <row r="11" spans="1:21" x14ac:dyDescent="0.2">
      <c r="A11" s="58">
        <v>10047</v>
      </c>
      <c r="B11" s="59" t="s">
        <v>141</v>
      </c>
      <c r="C11" s="60">
        <v>146.23508721461201</v>
      </c>
      <c r="D11" s="61">
        <v>0</v>
      </c>
      <c r="E11" s="62">
        <v>0</v>
      </c>
      <c r="F11" s="63">
        <v>0</v>
      </c>
      <c r="G11" s="62">
        <v>0</v>
      </c>
      <c r="H11" s="63">
        <v>0</v>
      </c>
      <c r="I11" s="64">
        <v>0</v>
      </c>
      <c r="J11" s="65">
        <f t="shared" si="0"/>
        <v>146.23508721461201</v>
      </c>
      <c r="K11" s="60">
        <v>156.673</v>
      </c>
      <c r="L11" s="62">
        <f t="shared" si="1"/>
        <v>-10.437912785387994</v>
      </c>
      <c r="M11" s="62">
        <v>7.3780984849999981E-2</v>
      </c>
      <c r="N11" s="62">
        <f t="shared" si="2"/>
        <v>0</v>
      </c>
      <c r="O11" s="63">
        <f t="shared" si="3"/>
        <v>0</v>
      </c>
      <c r="P11" s="61">
        <v>3.5188364340065994</v>
      </c>
      <c r="Q11" s="66">
        <f t="shared" si="4"/>
        <v>149.82770463346861</v>
      </c>
      <c r="R11" s="67">
        <f t="shared" si="5"/>
        <v>-3.5926174188566051</v>
      </c>
      <c r="T11" s="69"/>
      <c r="U11" s="70"/>
    </row>
    <row r="12" spans="1:21" x14ac:dyDescent="0.2">
      <c r="A12" s="58">
        <v>10055</v>
      </c>
      <c r="B12" s="59" t="s">
        <v>142</v>
      </c>
      <c r="C12" s="60">
        <v>0.47929863013698598</v>
      </c>
      <c r="D12" s="61">
        <v>0</v>
      </c>
      <c r="E12" s="62">
        <v>0</v>
      </c>
      <c r="F12" s="63">
        <v>0</v>
      </c>
      <c r="G12" s="62">
        <v>0</v>
      </c>
      <c r="H12" s="63">
        <v>0</v>
      </c>
      <c r="I12" s="64">
        <v>0</v>
      </c>
      <c r="J12" s="65">
        <f t="shared" si="0"/>
        <v>0.47929863013698598</v>
      </c>
      <c r="K12" s="60">
        <v>0.39800000000000002</v>
      </c>
      <c r="L12" s="62">
        <f t="shared" si="1"/>
        <v>0</v>
      </c>
      <c r="M12" s="62">
        <v>0</v>
      </c>
      <c r="N12" s="62">
        <f t="shared" si="2"/>
        <v>0</v>
      </c>
      <c r="O12" s="63">
        <f t="shared" si="3"/>
        <v>2.032465753424649E-2</v>
      </c>
      <c r="P12" s="61">
        <v>1.0061017245844928E-2</v>
      </c>
      <c r="Q12" s="66">
        <f t="shared" si="4"/>
        <v>0.42838567478009143</v>
      </c>
      <c r="R12" s="67">
        <f t="shared" si="5"/>
        <v>5.0912955356894551E-2</v>
      </c>
      <c r="T12" s="69"/>
      <c r="U12" s="70"/>
    </row>
    <row r="13" spans="1:21" x14ac:dyDescent="0.2">
      <c r="A13" s="58">
        <v>10057</v>
      </c>
      <c r="B13" s="59" t="s">
        <v>143</v>
      </c>
      <c r="C13" s="60">
        <v>18.052192579908699</v>
      </c>
      <c r="D13" s="61">
        <v>0</v>
      </c>
      <c r="E13" s="62">
        <v>0</v>
      </c>
      <c r="F13" s="63">
        <v>0.15810502283105024</v>
      </c>
      <c r="G13" s="62">
        <v>0</v>
      </c>
      <c r="H13" s="63">
        <v>0</v>
      </c>
      <c r="I13" s="64">
        <v>0</v>
      </c>
      <c r="J13" s="65">
        <f t="shared" si="0"/>
        <v>17.894087557077647</v>
      </c>
      <c r="K13" s="60">
        <v>21.068999999999999</v>
      </c>
      <c r="L13" s="62">
        <f t="shared" si="1"/>
        <v>-3.1749124429223521</v>
      </c>
      <c r="M13" s="62">
        <v>0</v>
      </c>
      <c r="N13" s="62">
        <f t="shared" si="2"/>
        <v>0</v>
      </c>
      <c r="O13" s="63">
        <f t="shared" si="3"/>
        <v>0</v>
      </c>
      <c r="P13" s="61">
        <v>0.43036603333782403</v>
      </c>
      <c r="Q13" s="66">
        <f t="shared" si="4"/>
        <v>18.32445359041547</v>
      </c>
      <c r="R13" s="67">
        <f t="shared" si="5"/>
        <v>-0.43036603333782253</v>
      </c>
      <c r="T13" s="69"/>
      <c r="U13" s="70"/>
    </row>
    <row r="14" spans="1:21" x14ac:dyDescent="0.2">
      <c r="A14" s="58">
        <v>10059</v>
      </c>
      <c r="B14" s="59" t="s">
        <v>144</v>
      </c>
      <c r="C14" s="60">
        <v>8.3196743150684895</v>
      </c>
      <c r="D14" s="61">
        <v>0</v>
      </c>
      <c r="E14" s="62">
        <v>0</v>
      </c>
      <c r="F14" s="63">
        <v>0</v>
      </c>
      <c r="G14" s="62">
        <v>0</v>
      </c>
      <c r="H14" s="63">
        <v>0</v>
      </c>
      <c r="I14" s="64">
        <v>0</v>
      </c>
      <c r="J14" s="65">
        <f t="shared" si="0"/>
        <v>8.3196743150684895</v>
      </c>
      <c r="K14" s="60">
        <v>7.6390000000000002</v>
      </c>
      <c r="L14" s="62">
        <f t="shared" si="1"/>
        <v>0</v>
      </c>
      <c r="M14" s="62">
        <v>0</v>
      </c>
      <c r="N14" s="62">
        <f t="shared" si="2"/>
        <v>0</v>
      </c>
      <c r="O14" s="63">
        <f t="shared" si="3"/>
        <v>0.17016857876712232</v>
      </c>
      <c r="P14" s="61">
        <v>0.18781627697921274</v>
      </c>
      <c r="Q14" s="66">
        <f t="shared" si="4"/>
        <v>7.9969848557463354</v>
      </c>
      <c r="R14" s="67">
        <f t="shared" si="5"/>
        <v>0.32268945932215409</v>
      </c>
      <c r="T14" s="69"/>
      <c r="U14" s="70"/>
    </row>
    <row r="15" spans="1:21" x14ac:dyDescent="0.2">
      <c r="A15" s="58">
        <v>10061</v>
      </c>
      <c r="B15" s="59" t="s">
        <v>145</v>
      </c>
      <c r="C15" s="60">
        <v>9.7767847031963502</v>
      </c>
      <c r="D15" s="61">
        <v>0</v>
      </c>
      <c r="E15" s="62">
        <v>0</v>
      </c>
      <c r="F15" s="63">
        <v>0</v>
      </c>
      <c r="G15" s="62">
        <v>0</v>
      </c>
      <c r="H15" s="63">
        <v>0</v>
      </c>
      <c r="I15" s="64">
        <v>0</v>
      </c>
      <c r="J15" s="65">
        <f t="shared" si="0"/>
        <v>9.7767847031963502</v>
      </c>
      <c r="K15" s="60">
        <v>8.7469999999999999</v>
      </c>
      <c r="L15" s="62">
        <f t="shared" si="1"/>
        <v>0</v>
      </c>
      <c r="M15" s="62">
        <v>0</v>
      </c>
      <c r="N15" s="62">
        <f t="shared" si="2"/>
        <v>0</v>
      </c>
      <c r="O15" s="63">
        <f t="shared" si="3"/>
        <v>0.25744617579908757</v>
      </c>
      <c r="P15" s="61">
        <v>0.2165635867557735</v>
      </c>
      <c r="Q15" s="66">
        <f t="shared" si="4"/>
        <v>9.2210097625548606</v>
      </c>
      <c r="R15" s="67">
        <f t="shared" si="5"/>
        <v>0.55577494064148958</v>
      </c>
      <c r="T15" s="69"/>
      <c r="U15" s="70"/>
    </row>
    <row r="16" spans="1:21" x14ac:dyDescent="0.2">
      <c r="A16" s="58">
        <v>10062</v>
      </c>
      <c r="B16" s="59" t="s">
        <v>146</v>
      </c>
      <c r="C16" s="60">
        <v>8.9739023972602698</v>
      </c>
      <c r="D16" s="61">
        <v>0</v>
      </c>
      <c r="E16" s="62">
        <v>0</v>
      </c>
      <c r="F16" s="63">
        <v>1.8811643835616438</v>
      </c>
      <c r="G16" s="62">
        <v>0</v>
      </c>
      <c r="H16" s="63">
        <v>0</v>
      </c>
      <c r="I16" s="64">
        <v>0</v>
      </c>
      <c r="J16" s="65">
        <f t="shared" si="0"/>
        <v>7.092738013698626</v>
      </c>
      <c r="K16" s="60">
        <v>5.32</v>
      </c>
      <c r="L16" s="62">
        <f t="shared" si="1"/>
        <v>0</v>
      </c>
      <c r="M16" s="62">
        <v>3.9288606735159798E-2</v>
      </c>
      <c r="N16" s="62">
        <f t="shared" si="2"/>
        <v>0</v>
      </c>
      <c r="O16" s="63">
        <f t="shared" si="3"/>
        <v>0.44318450342465643</v>
      </c>
      <c r="P16" s="61">
        <v>0.13955376757845106</v>
      </c>
      <c r="Q16" s="66">
        <f t="shared" si="4"/>
        <v>5.9420268777382672</v>
      </c>
      <c r="R16" s="67">
        <f t="shared" si="5"/>
        <v>1.1507111359603588</v>
      </c>
      <c r="T16" s="69"/>
      <c r="U16" s="70"/>
    </row>
    <row r="17" spans="1:21" x14ac:dyDescent="0.2">
      <c r="A17" s="58">
        <v>10064</v>
      </c>
      <c r="B17" s="59" t="s">
        <v>147</v>
      </c>
      <c r="C17" s="60">
        <v>17.303625</v>
      </c>
      <c r="D17" s="61">
        <v>0</v>
      </c>
      <c r="E17" s="62">
        <v>0</v>
      </c>
      <c r="F17" s="63">
        <v>0</v>
      </c>
      <c r="G17" s="62">
        <v>0</v>
      </c>
      <c r="H17" s="63">
        <v>0</v>
      </c>
      <c r="I17" s="64">
        <v>0</v>
      </c>
      <c r="J17" s="65">
        <f t="shared" si="0"/>
        <v>17.303625</v>
      </c>
      <c r="K17" s="60">
        <v>14.064</v>
      </c>
      <c r="L17" s="62">
        <f t="shared" si="1"/>
        <v>0</v>
      </c>
      <c r="M17" s="62">
        <v>0</v>
      </c>
      <c r="N17" s="62">
        <f t="shared" si="2"/>
        <v>0</v>
      </c>
      <c r="O17" s="63">
        <f t="shared" si="3"/>
        <v>0.80990625000000005</v>
      </c>
      <c r="P17" s="61">
        <v>0.35772844033722712</v>
      </c>
      <c r="Q17" s="66">
        <f t="shared" si="4"/>
        <v>15.231634690337229</v>
      </c>
      <c r="R17" s="67">
        <f t="shared" si="5"/>
        <v>2.0719903096627714</v>
      </c>
      <c r="T17" s="69"/>
      <c r="U17" s="70"/>
    </row>
    <row r="18" spans="1:21" x14ac:dyDescent="0.2">
      <c r="A18" s="58">
        <v>10065</v>
      </c>
      <c r="B18" s="59" t="s">
        <v>148</v>
      </c>
      <c r="C18" s="60">
        <v>4.6045829908675797</v>
      </c>
      <c r="D18" s="61">
        <v>0</v>
      </c>
      <c r="E18" s="62">
        <v>0</v>
      </c>
      <c r="F18" s="63">
        <v>0</v>
      </c>
      <c r="G18" s="62">
        <v>0</v>
      </c>
      <c r="H18" s="63">
        <v>0</v>
      </c>
      <c r="I18" s="64">
        <v>0</v>
      </c>
      <c r="J18" s="65">
        <f t="shared" si="0"/>
        <v>4.6045829908675797</v>
      </c>
      <c r="K18" s="60">
        <v>2.3780000000000001</v>
      </c>
      <c r="L18" s="62">
        <f t="shared" si="1"/>
        <v>0</v>
      </c>
      <c r="M18" s="62">
        <v>0</v>
      </c>
      <c r="N18" s="62">
        <f t="shared" si="2"/>
        <v>0</v>
      </c>
      <c r="O18" s="63">
        <f t="shared" si="3"/>
        <v>0.5566457477168949</v>
      </c>
      <c r="P18" s="61">
        <v>7.0580399568744137E-2</v>
      </c>
      <c r="Q18" s="66">
        <f t="shared" si="4"/>
        <v>3.0052261472856392</v>
      </c>
      <c r="R18" s="67">
        <f t="shared" si="5"/>
        <v>1.5993568435819405</v>
      </c>
      <c r="T18" s="69"/>
      <c r="U18" s="70"/>
    </row>
    <row r="19" spans="1:21" x14ac:dyDescent="0.2">
      <c r="A19" s="58">
        <v>10066</v>
      </c>
      <c r="B19" s="59" t="s">
        <v>149</v>
      </c>
      <c r="C19" s="60">
        <v>33.565777054794502</v>
      </c>
      <c r="D19" s="61">
        <v>0</v>
      </c>
      <c r="E19" s="62">
        <v>0</v>
      </c>
      <c r="F19" s="63">
        <v>7.1143835616438356</v>
      </c>
      <c r="G19" s="62">
        <v>0</v>
      </c>
      <c r="H19" s="63">
        <v>0</v>
      </c>
      <c r="I19" s="64">
        <v>0</v>
      </c>
      <c r="J19" s="65">
        <f t="shared" si="0"/>
        <v>26.451393493150668</v>
      </c>
      <c r="K19" s="60">
        <v>24.370999999999999</v>
      </c>
      <c r="L19" s="62">
        <f t="shared" si="1"/>
        <v>0</v>
      </c>
      <c r="M19" s="62">
        <v>2.2039859500000002E-2</v>
      </c>
      <c r="N19" s="62">
        <f t="shared" si="2"/>
        <v>0</v>
      </c>
      <c r="O19" s="63">
        <f t="shared" si="3"/>
        <v>0.52009837328766739</v>
      </c>
      <c r="P19" s="61">
        <v>0.59917939068097015</v>
      </c>
      <c r="Q19" s="66">
        <f t="shared" si="4"/>
        <v>25.512317623468636</v>
      </c>
      <c r="R19" s="67">
        <f t="shared" si="5"/>
        <v>0.93907586968203205</v>
      </c>
      <c r="T19" s="69"/>
      <c r="U19" s="70"/>
    </row>
    <row r="20" spans="1:21" x14ac:dyDescent="0.2">
      <c r="A20" s="58">
        <v>10067</v>
      </c>
      <c r="B20" s="59" t="s">
        <v>150</v>
      </c>
      <c r="C20" s="60">
        <v>16.2226891552511</v>
      </c>
      <c r="D20" s="61">
        <v>0</v>
      </c>
      <c r="E20" s="62">
        <v>0</v>
      </c>
      <c r="F20" s="63">
        <v>0</v>
      </c>
      <c r="G20" s="62">
        <v>0</v>
      </c>
      <c r="H20" s="63">
        <v>0</v>
      </c>
      <c r="I20" s="64">
        <v>0</v>
      </c>
      <c r="J20" s="65">
        <f t="shared" si="0"/>
        <v>16.2226891552511</v>
      </c>
      <c r="K20" s="60">
        <v>15.817</v>
      </c>
      <c r="L20" s="62">
        <f t="shared" si="1"/>
        <v>0</v>
      </c>
      <c r="M20" s="62">
        <v>3.9341316000000006E-3</v>
      </c>
      <c r="N20" s="62">
        <f t="shared" si="2"/>
        <v>0</v>
      </c>
      <c r="O20" s="63">
        <f t="shared" si="3"/>
        <v>0.10142228881277493</v>
      </c>
      <c r="P20" s="61">
        <v>0.38294444196646032</v>
      </c>
      <c r="Q20" s="66">
        <f t="shared" si="4"/>
        <v>16.305300862379237</v>
      </c>
      <c r="R20" s="67">
        <f t="shared" si="5"/>
        <v>-8.2611707128137368E-2</v>
      </c>
      <c r="T20" s="69"/>
      <c r="U20" s="70"/>
    </row>
    <row r="21" spans="1:21" x14ac:dyDescent="0.2">
      <c r="A21" s="58">
        <v>10068</v>
      </c>
      <c r="B21" s="59" t="s">
        <v>151</v>
      </c>
      <c r="C21" s="60">
        <v>2.53177853881279</v>
      </c>
      <c r="D21" s="61">
        <v>0</v>
      </c>
      <c r="E21" s="62">
        <v>0</v>
      </c>
      <c r="F21" s="63">
        <v>0</v>
      </c>
      <c r="G21" s="62">
        <v>0</v>
      </c>
      <c r="H21" s="63">
        <v>0</v>
      </c>
      <c r="I21" s="64">
        <v>0</v>
      </c>
      <c r="J21" s="65">
        <f t="shared" si="0"/>
        <v>2.53177853881279</v>
      </c>
      <c r="K21" s="60">
        <v>2.77</v>
      </c>
      <c r="L21" s="62">
        <f t="shared" si="1"/>
        <v>-0.23822146118720999</v>
      </c>
      <c r="M21" s="62">
        <v>0</v>
      </c>
      <c r="N21" s="62">
        <f t="shared" si="2"/>
        <v>0</v>
      </c>
      <c r="O21" s="63">
        <f t="shared" si="3"/>
        <v>0</v>
      </c>
      <c r="P21" s="61">
        <v>6.0891145388842501E-2</v>
      </c>
      <c r="Q21" s="66">
        <f t="shared" si="4"/>
        <v>2.5926696842016326</v>
      </c>
      <c r="R21" s="67">
        <f t="shared" si="5"/>
        <v>-6.0891145388842549E-2</v>
      </c>
      <c r="T21" s="69"/>
      <c r="U21" s="70"/>
    </row>
    <row r="22" spans="1:21" x14ac:dyDescent="0.2">
      <c r="A22" s="58">
        <v>10070</v>
      </c>
      <c r="B22" s="59" t="s">
        <v>152</v>
      </c>
      <c r="C22" s="60">
        <v>0.39510742009132399</v>
      </c>
      <c r="D22" s="61">
        <v>0</v>
      </c>
      <c r="E22" s="62">
        <v>0</v>
      </c>
      <c r="F22" s="63">
        <v>0</v>
      </c>
      <c r="G22" s="62">
        <v>0</v>
      </c>
      <c r="H22" s="63">
        <v>0</v>
      </c>
      <c r="I22" s="64">
        <v>0</v>
      </c>
      <c r="J22" s="65">
        <f t="shared" si="0"/>
        <v>0.39510742009132399</v>
      </c>
      <c r="K22" s="60">
        <v>0.35899999999999999</v>
      </c>
      <c r="L22" s="62">
        <f t="shared" si="1"/>
        <v>0</v>
      </c>
      <c r="M22" s="62">
        <v>0</v>
      </c>
      <c r="N22" s="62">
        <f t="shared" si="2"/>
        <v>0</v>
      </c>
      <c r="O22" s="63">
        <f t="shared" si="3"/>
        <v>9.0268550228310013E-3</v>
      </c>
      <c r="P22" s="61">
        <v>8.8513179145210848E-3</v>
      </c>
      <c r="Q22" s="66">
        <f t="shared" si="4"/>
        <v>0.3768781729373521</v>
      </c>
      <c r="R22" s="67">
        <f t="shared" si="5"/>
        <v>1.8229247153971895E-2</v>
      </c>
      <c r="T22" s="69"/>
      <c r="U22" s="70"/>
    </row>
    <row r="23" spans="1:21" x14ac:dyDescent="0.2">
      <c r="A23" s="58">
        <v>10071</v>
      </c>
      <c r="B23" s="59" t="s">
        <v>153</v>
      </c>
      <c r="C23" s="60">
        <v>2.0280296803653002</v>
      </c>
      <c r="D23" s="61">
        <v>0</v>
      </c>
      <c r="E23" s="62">
        <v>0</v>
      </c>
      <c r="F23" s="63">
        <v>0</v>
      </c>
      <c r="G23" s="62">
        <v>0</v>
      </c>
      <c r="H23" s="63">
        <v>0</v>
      </c>
      <c r="I23" s="64">
        <v>0</v>
      </c>
      <c r="J23" s="65">
        <f t="shared" si="0"/>
        <v>2.0280296803653002</v>
      </c>
      <c r="K23" s="60">
        <v>1.9139999999999999</v>
      </c>
      <c r="L23" s="62">
        <f t="shared" si="1"/>
        <v>0</v>
      </c>
      <c r="M23" s="62">
        <v>0</v>
      </c>
      <c r="N23" s="62">
        <f t="shared" si="2"/>
        <v>0</v>
      </c>
      <c r="O23" s="63">
        <f t="shared" si="3"/>
        <v>2.8507420091325064E-2</v>
      </c>
      <c r="P23" s="61">
        <v>4.6718739385140373E-2</v>
      </c>
      <c r="Q23" s="66">
        <f t="shared" si="4"/>
        <v>1.9892261594764653</v>
      </c>
      <c r="R23" s="67">
        <f t="shared" si="5"/>
        <v>3.8803520888834875E-2</v>
      </c>
      <c r="T23" s="69"/>
      <c r="U23" s="70"/>
    </row>
    <row r="24" spans="1:21" x14ac:dyDescent="0.2">
      <c r="A24" s="58">
        <v>10072</v>
      </c>
      <c r="B24" s="59" t="s">
        <v>154</v>
      </c>
      <c r="C24" s="60">
        <v>25.722119178082199</v>
      </c>
      <c r="D24" s="61">
        <v>0</v>
      </c>
      <c r="E24" s="62">
        <v>0</v>
      </c>
      <c r="F24" s="63">
        <v>0</v>
      </c>
      <c r="G24" s="62">
        <v>0</v>
      </c>
      <c r="H24" s="63">
        <v>0</v>
      </c>
      <c r="I24" s="64">
        <v>0</v>
      </c>
      <c r="J24" s="65">
        <f t="shared" si="0"/>
        <v>25.722119178082199</v>
      </c>
      <c r="K24" s="60">
        <v>23.981999999999999</v>
      </c>
      <c r="L24" s="62">
        <f t="shared" si="1"/>
        <v>0</v>
      </c>
      <c r="M24" s="62">
        <v>8.3218118399999985E-2</v>
      </c>
      <c r="N24" s="62">
        <f t="shared" si="2"/>
        <v>0</v>
      </c>
      <c r="O24" s="63">
        <f t="shared" si="3"/>
        <v>0.43502979452054991</v>
      </c>
      <c r="P24" s="61">
        <v>0.58924907327316733</v>
      </c>
      <c r="Q24" s="66">
        <f t="shared" si="4"/>
        <v>25.089496986193716</v>
      </c>
      <c r="R24" s="67">
        <f t="shared" si="5"/>
        <v>0.63262219188848334</v>
      </c>
      <c r="T24" s="69"/>
      <c r="U24" s="70"/>
    </row>
    <row r="25" spans="1:21" x14ac:dyDescent="0.2">
      <c r="A25" s="58">
        <v>10074</v>
      </c>
      <c r="B25" s="59" t="s">
        <v>155</v>
      </c>
      <c r="C25" s="60">
        <v>32.523582077625598</v>
      </c>
      <c r="D25" s="61">
        <v>0</v>
      </c>
      <c r="E25" s="62">
        <v>0</v>
      </c>
      <c r="F25" s="63">
        <v>2.9414383561643835</v>
      </c>
      <c r="G25" s="62">
        <v>0</v>
      </c>
      <c r="H25" s="63">
        <v>0</v>
      </c>
      <c r="I25" s="64">
        <v>0</v>
      </c>
      <c r="J25" s="65">
        <f t="shared" si="0"/>
        <v>29.582143721461215</v>
      </c>
      <c r="K25" s="60">
        <v>26.681999999999999</v>
      </c>
      <c r="L25" s="62">
        <f t="shared" si="1"/>
        <v>0</v>
      </c>
      <c r="M25" s="62">
        <v>5.8250090670091327E-2</v>
      </c>
      <c r="N25" s="62">
        <f t="shared" si="2"/>
        <v>0</v>
      </c>
      <c r="O25" s="63">
        <f t="shared" si="3"/>
        <v>0.725035930365304</v>
      </c>
      <c r="P25" s="61">
        <v>0.66056043157599154</v>
      </c>
      <c r="Q25" s="66">
        <f t="shared" si="4"/>
        <v>28.125846452611388</v>
      </c>
      <c r="R25" s="67">
        <f t="shared" si="5"/>
        <v>1.456297268849827</v>
      </c>
      <c r="T25" s="69"/>
      <c r="U25" s="70"/>
    </row>
    <row r="26" spans="1:21" x14ac:dyDescent="0.2">
      <c r="A26" s="58">
        <v>10076</v>
      </c>
      <c r="B26" s="59" t="s">
        <v>156</v>
      </c>
      <c r="C26" s="60">
        <v>7.5949076484018301</v>
      </c>
      <c r="D26" s="61">
        <v>0</v>
      </c>
      <c r="E26" s="62">
        <v>0</v>
      </c>
      <c r="F26" s="63">
        <v>0</v>
      </c>
      <c r="G26" s="62">
        <v>0</v>
      </c>
      <c r="H26" s="63">
        <v>0</v>
      </c>
      <c r="I26" s="64">
        <v>0</v>
      </c>
      <c r="J26" s="65">
        <f t="shared" si="0"/>
        <v>7.5949076484018301</v>
      </c>
      <c r="K26" s="60">
        <v>4.8170000000000002</v>
      </c>
      <c r="L26" s="62">
        <f t="shared" si="1"/>
        <v>0</v>
      </c>
      <c r="M26" s="62">
        <v>3.0949611500000001E-3</v>
      </c>
      <c r="N26" s="62">
        <f t="shared" si="2"/>
        <v>0</v>
      </c>
      <c r="O26" s="63">
        <f t="shared" si="3"/>
        <v>0.69447691210045748</v>
      </c>
      <c r="P26" s="61">
        <v>0.13262953000967229</v>
      </c>
      <c r="Q26" s="66">
        <f t="shared" si="4"/>
        <v>5.6472014032601301</v>
      </c>
      <c r="R26" s="67">
        <f t="shared" si="5"/>
        <v>1.9477062451417</v>
      </c>
      <c r="T26" s="69"/>
      <c r="U26" s="70"/>
    </row>
    <row r="27" spans="1:21" x14ac:dyDescent="0.2">
      <c r="A27" s="58">
        <v>10078</v>
      </c>
      <c r="B27" s="59" t="s">
        <v>157</v>
      </c>
      <c r="C27" s="60">
        <v>3.5797127853881299</v>
      </c>
      <c r="D27" s="61">
        <v>0</v>
      </c>
      <c r="E27" s="62">
        <v>0</v>
      </c>
      <c r="F27" s="63">
        <v>0</v>
      </c>
      <c r="G27" s="62">
        <v>0</v>
      </c>
      <c r="H27" s="63">
        <v>0</v>
      </c>
      <c r="I27" s="64">
        <v>0</v>
      </c>
      <c r="J27" s="65">
        <f t="shared" si="0"/>
        <v>3.5797127853881299</v>
      </c>
      <c r="K27" s="60">
        <v>3.718</v>
      </c>
      <c r="L27" s="62">
        <f t="shared" si="1"/>
        <v>-0.1382872146118701</v>
      </c>
      <c r="M27" s="62">
        <v>6.2817264999999998E-4</v>
      </c>
      <c r="N27" s="62">
        <f t="shared" si="2"/>
        <v>0</v>
      </c>
      <c r="O27" s="63">
        <f t="shared" si="3"/>
        <v>0</v>
      </c>
      <c r="P27" s="61">
        <v>8.6109846684993968E-2</v>
      </c>
      <c r="Q27" s="66">
        <f t="shared" si="4"/>
        <v>3.6664508047231239</v>
      </c>
      <c r="R27" s="67">
        <f t="shared" si="5"/>
        <v>-8.6738019334994032E-2</v>
      </c>
      <c r="T27" s="69"/>
      <c r="U27" s="70"/>
    </row>
    <row r="28" spans="1:21" x14ac:dyDescent="0.2">
      <c r="A28" s="58">
        <v>10079</v>
      </c>
      <c r="B28" s="59" t="s">
        <v>158</v>
      </c>
      <c r="C28" s="60">
        <v>84.200492009132404</v>
      </c>
      <c r="D28" s="61">
        <v>0</v>
      </c>
      <c r="E28" s="62">
        <v>0</v>
      </c>
      <c r="F28" s="63">
        <v>2.9414383561643835</v>
      </c>
      <c r="G28" s="62">
        <v>0</v>
      </c>
      <c r="H28" s="63">
        <v>4.0152968036529684</v>
      </c>
      <c r="I28" s="64">
        <v>0</v>
      </c>
      <c r="J28" s="65">
        <f t="shared" si="0"/>
        <v>77.243756849315048</v>
      </c>
      <c r="K28" s="60">
        <v>88.179000000000002</v>
      </c>
      <c r="L28" s="62">
        <f t="shared" si="1"/>
        <v>-10.935243150684954</v>
      </c>
      <c r="M28" s="62">
        <v>0</v>
      </c>
      <c r="N28" s="62">
        <f t="shared" si="2"/>
        <v>2.0076484018264842</v>
      </c>
      <c r="O28" s="63">
        <f t="shared" si="3"/>
        <v>0</v>
      </c>
      <c r="P28" s="61">
        <v>1.9060548801714003</v>
      </c>
      <c r="Q28" s="66">
        <f t="shared" si="4"/>
        <v>81.157460131312931</v>
      </c>
      <c r="R28" s="67">
        <f t="shared" si="5"/>
        <v>-3.9137032819978828</v>
      </c>
      <c r="T28" s="69"/>
      <c r="U28" s="70"/>
    </row>
    <row r="29" spans="1:21" x14ac:dyDescent="0.2">
      <c r="A29" s="58">
        <v>10080</v>
      </c>
      <c r="B29" s="59" t="s">
        <v>159</v>
      </c>
      <c r="C29" s="60">
        <v>6.67405593607306</v>
      </c>
      <c r="D29" s="61">
        <v>0</v>
      </c>
      <c r="E29" s="62">
        <v>0</v>
      </c>
      <c r="F29" s="63">
        <v>0</v>
      </c>
      <c r="G29" s="62">
        <v>0</v>
      </c>
      <c r="H29" s="63">
        <v>0</v>
      </c>
      <c r="I29" s="64">
        <v>0</v>
      </c>
      <c r="J29" s="65">
        <f t="shared" si="0"/>
        <v>6.67405593607306</v>
      </c>
      <c r="K29" s="60">
        <v>7.4370000000000003</v>
      </c>
      <c r="L29" s="62">
        <f t="shared" si="1"/>
        <v>-0.76294406392694025</v>
      </c>
      <c r="M29" s="62">
        <v>0</v>
      </c>
      <c r="N29" s="62">
        <f t="shared" si="2"/>
        <v>0</v>
      </c>
      <c r="O29" s="63">
        <f t="shared" si="3"/>
        <v>0</v>
      </c>
      <c r="P29" s="61">
        <v>0.16051597882935614</v>
      </c>
      <c r="Q29" s="66">
        <f t="shared" si="4"/>
        <v>6.8345719149024164</v>
      </c>
      <c r="R29" s="67">
        <f t="shared" si="5"/>
        <v>-0.16051597882935642</v>
      </c>
      <c r="T29" s="69"/>
      <c r="U29" s="70"/>
    </row>
    <row r="30" spans="1:21" x14ac:dyDescent="0.2">
      <c r="A30" s="58">
        <v>10081</v>
      </c>
      <c r="B30" s="59" t="s">
        <v>160</v>
      </c>
      <c r="C30" s="60">
        <v>12.9661746575342</v>
      </c>
      <c r="D30" s="61">
        <v>0</v>
      </c>
      <c r="E30" s="62">
        <v>0</v>
      </c>
      <c r="F30" s="63">
        <v>2.9414383561643835</v>
      </c>
      <c r="G30" s="62">
        <v>0</v>
      </c>
      <c r="H30" s="63">
        <v>0</v>
      </c>
      <c r="I30" s="64">
        <v>0</v>
      </c>
      <c r="J30" s="65">
        <f t="shared" si="0"/>
        <v>10.024736301369817</v>
      </c>
      <c r="K30" s="60">
        <v>10.455</v>
      </c>
      <c r="L30" s="62">
        <f t="shared" si="1"/>
        <v>-0.4302636986301831</v>
      </c>
      <c r="M30" s="62">
        <v>6.0490905500000004E-3</v>
      </c>
      <c r="N30" s="62">
        <f t="shared" si="2"/>
        <v>0</v>
      </c>
      <c r="O30" s="63">
        <f t="shared" si="3"/>
        <v>0</v>
      </c>
      <c r="P30" s="61">
        <v>0.24124780358951892</v>
      </c>
      <c r="Q30" s="66">
        <f t="shared" si="4"/>
        <v>10.272033195509337</v>
      </c>
      <c r="R30" s="67">
        <f t="shared" si="5"/>
        <v>-0.24729689413952016</v>
      </c>
      <c r="T30" s="69"/>
      <c r="U30" s="70"/>
    </row>
    <row r="31" spans="1:21" x14ac:dyDescent="0.2">
      <c r="A31" s="58">
        <v>10082</v>
      </c>
      <c r="B31" s="59" t="s">
        <v>161</v>
      </c>
      <c r="C31" s="60">
        <v>0.12037910958904099</v>
      </c>
      <c r="D31" s="61">
        <v>0</v>
      </c>
      <c r="E31" s="62">
        <v>0</v>
      </c>
      <c r="F31" s="63">
        <v>0</v>
      </c>
      <c r="G31" s="62">
        <v>0</v>
      </c>
      <c r="H31" s="63">
        <v>0</v>
      </c>
      <c r="I31" s="64">
        <v>0</v>
      </c>
      <c r="J31" s="65">
        <f t="shared" si="0"/>
        <v>0.12037910958904099</v>
      </c>
      <c r="K31" s="60">
        <v>0.11799999999999999</v>
      </c>
      <c r="L31" s="62">
        <f t="shared" si="1"/>
        <v>0</v>
      </c>
      <c r="M31" s="62">
        <v>0</v>
      </c>
      <c r="N31" s="62">
        <f t="shared" si="2"/>
        <v>0</v>
      </c>
      <c r="O31" s="63">
        <f t="shared" si="3"/>
        <v>5.947773972602502E-4</v>
      </c>
      <c r="P31" s="61">
        <v>2.8522920635231609E-3</v>
      </c>
      <c r="Q31" s="66">
        <f t="shared" si="4"/>
        <v>0.1214470694607834</v>
      </c>
      <c r="R31" s="67">
        <f t="shared" si="5"/>
        <v>-1.0679598717424077E-3</v>
      </c>
      <c r="T31" s="69"/>
      <c r="U31" s="70"/>
    </row>
    <row r="32" spans="1:21" x14ac:dyDescent="0.2">
      <c r="A32" s="58">
        <v>10083</v>
      </c>
      <c r="B32" s="59" t="s">
        <v>162</v>
      </c>
      <c r="C32" s="60">
        <v>9.3896732876712292</v>
      </c>
      <c r="D32" s="61">
        <v>0</v>
      </c>
      <c r="E32" s="62">
        <v>0</v>
      </c>
      <c r="F32" s="63">
        <v>0</v>
      </c>
      <c r="G32" s="62">
        <v>0</v>
      </c>
      <c r="H32" s="63">
        <v>0</v>
      </c>
      <c r="I32" s="64">
        <v>0</v>
      </c>
      <c r="J32" s="65">
        <f t="shared" si="0"/>
        <v>9.3896732876712292</v>
      </c>
      <c r="K32" s="60">
        <v>8.3629999999999995</v>
      </c>
      <c r="L32" s="62">
        <f t="shared" si="1"/>
        <v>0</v>
      </c>
      <c r="M32" s="62">
        <v>1.7283540700000002E-2</v>
      </c>
      <c r="N32" s="62">
        <f t="shared" si="2"/>
        <v>0</v>
      </c>
      <c r="O32" s="63">
        <f t="shared" si="3"/>
        <v>0.25666832191780742</v>
      </c>
      <c r="P32" s="61">
        <v>0.20772507686620495</v>
      </c>
      <c r="Q32" s="66">
        <f t="shared" si="4"/>
        <v>8.8446769394840121</v>
      </c>
      <c r="R32" s="67">
        <f t="shared" si="5"/>
        <v>0.54499634818721709</v>
      </c>
      <c r="T32" s="69"/>
      <c r="U32" s="70"/>
    </row>
    <row r="33" spans="1:21" x14ac:dyDescent="0.2">
      <c r="A33" s="58">
        <v>10086</v>
      </c>
      <c r="B33" s="59" t="s">
        <v>163</v>
      </c>
      <c r="C33" s="60">
        <v>3.7510205479452101</v>
      </c>
      <c r="D33" s="61">
        <v>0</v>
      </c>
      <c r="E33" s="62">
        <v>0</v>
      </c>
      <c r="F33" s="63">
        <v>0</v>
      </c>
      <c r="G33" s="62">
        <v>0</v>
      </c>
      <c r="H33" s="63">
        <v>0</v>
      </c>
      <c r="I33" s="64">
        <v>0</v>
      </c>
      <c r="J33" s="65">
        <f t="shared" si="0"/>
        <v>3.7510205479452101</v>
      </c>
      <c r="K33" s="60">
        <v>3.9449999999999998</v>
      </c>
      <c r="L33" s="62">
        <f t="shared" si="1"/>
        <v>-0.19397945205478972</v>
      </c>
      <c r="M33" s="62">
        <v>0</v>
      </c>
      <c r="N33" s="62">
        <f t="shared" si="2"/>
        <v>0</v>
      </c>
      <c r="O33" s="63">
        <f t="shared" si="3"/>
        <v>0</v>
      </c>
      <c r="P33" s="61">
        <v>9.0214816991288416E-2</v>
      </c>
      <c r="Q33" s="66">
        <f t="shared" si="4"/>
        <v>3.8412353649364985</v>
      </c>
      <c r="R33" s="67">
        <f t="shared" si="5"/>
        <v>-9.0214816991288416E-2</v>
      </c>
      <c r="T33" s="69"/>
      <c r="U33" s="70"/>
    </row>
    <row r="34" spans="1:21" x14ac:dyDescent="0.2">
      <c r="A34" s="58">
        <v>10087</v>
      </c>
      <c r="B34" s="59" t="s">
        <v>164</v>
      </c>
      <c r="C34" s="60">
        <v>45.184006278538803</v>
      </c>
      <c r="D34" s="61">
        <v>0</v>
      </c>
      <c r="E34" s="62">
        <v>0</v>
      </c>
      <c r="F34" s="63">
        <v>0</v>
      </c>
      <c r="G34" s="62">
        <v>0</v>
      </c>
      <c r="H34" s="63">
        <v>0</v>
      </c>
      <c r="I34" s="64">
        <v>0</v>
      </c>
      <c r="J34" s="65">
        <f t="shared" si="0"/>
        <v>45.184006278538803</v>
      </c>
      <c r="K34" s="60">
        <v>85.48</v>
      </c>
      <c r="L34" s="62">
        <f t="shared" si="1"/>
        <v>-40.295993721461201</v>
      </c>
      <c r="M34" s="62">
        <v>5.4999999999999996E-10</v>
      </c>
      <c r="N34" s="62">
        <f t="shared" si="2"/>
        <v>0</v>
      </c>
      <c r="O34" s="63">
        <f t="shared" si="3"/>
        <v>0</v>
      </c>
      <c r="P34" s="61">
        <v>1.0867087517380254</v>
      </c>
      <c r="Q34" s="66">
        <f t="shared" si="4"/>
        <v>46.270715030826828</v>
      </c>
      <c r="R34" s="67">
        <f t="shared" si="5"/>
        <v>-1.0867087522880254</v>
      </c>
      <c r="T34" s="69"/>
      <c r="U34" s="70"/>
    </row>
    <row r="35" spans="1:21" x14ac:dyDescent="0.2">
      <c r="A35" s="58">
        <v>10089</v>
      </c>
      <c r="B35" s="59" t="s">
        <v>165</v>
      </c>
      <c r="C35" s="60">
        <v>117.5379956621</v>
      </c>
      <c r="D35" s="61">
        <v>0</v>
      </c>
      <c r="E35" s="62">
        <v>0</v>
      </c>
      <c r="F35" s="63">
        <v>0</v>
      </c>
      <c r="G35" s="62">
        <v>0</v>
      </c>
      <c r="H35" s="63">
        <v>0.58230593607305936</v>
      </c>
      <c r="I35" s="64">
        <v>0</v>
      </c>
      <c r="J35" s="65">
        <f t="shared" si="0"/>
        <v>116.95568972602695</v>
      </c>
      <c r="K35" s="60">
        <v>104.21299999999999</v>
      </c>
      <c r="L35" s="62">
        <f t="shared" si="1"/>
        <v>0</v>
      </c>
      <c r="M35" s="62">
        <v>0.62005273254611881</v>
      </c>
      <c r="N35" s="62">
        <f t="shared" si="2"/>
        <v>0.29115296803652968</v>
      </c>
      <c r="O35" s="63">
        <f t="shared" si="3"/>
        <v>3.1856724315067382</v>
      </c>
      <c r="P35" s="61">
        <v>2.6049326334369947</v>
      </c>
      <c r="Q35" s="66">
        <f t="shared" ref="Q35:Q98" si="6">SUM(K35:P35)</f>
        <v>110.91481076552637</v>
      </c>
      <c r="R35" s="67">
        <f t="shared" si="5"/>
        <v>6.0408789605005779</v>
      </c>
      <c r="T35" s="69"/>
      <c r="U35" s="70"/>
    </row>
    <row r="36" spans="1:21" x14ac:dyDescent="0.2">
      <c r="A36" s="58">
        <v>10091</v>
      </c>
      <c r="B36" s="59" t="s">
        <v>166</v>
      </c>
      <c r="C36" s="60">
        <v>9.8294595890411003</v>
      </c>
      <c r="D36" s="61">
        <v>0</v>
      </c>
      <c r="E36" s="62">
        <v>0</v>
      </c>
      <c r="F36" s="63">
        <v>0</v>
      </c>
      <c r="G36" s="62">
        <v>0</v>
      </c>
      <c r="H36" s="63">
        <v>0</v>
      </c>
      <c r="I36" s="64">
        <v>0</v>
      </c>
      <c r="J36" s="65">
        <f t="shared" si="0"/>
        <v>9.8294595890411003</v>
      </c>
      <c r="K36" s="60">
        <v>9.4220000000000006</v>
      </c>
      <c r="L36" s="62">
        <f t="shared" si="1"/>
        <v>0</v>
      </c>
      <c r="M36" s="62">
        <v>6.8130138999999978E-3</v>
      </c>
      <c r="N36" s="62">
        <f t="shared" si="2"/>
        <v>0</v>
      </c>
      <c r="O36" s="63">
        <f t="shared" si="3"/>
        <v>0.10186489726027492</v>
      </c>
      <c r="P36" s="61">
        <v>0.22921984898996031</v>
      </c>
      <c r="Q36" s="66">
        <f t="shared" si="6"/>
        <v>9.7598977601502348</v>
      </c>
      <c r="R36" s="67">
        <f t="shared" si="5"/>
        <v>6.9561828890865485E-2</v>
      </c>
      <c r="T36" s="69"/>
      <c r="U36" s="70"/>
    </row>
    <row r="37" spans="1:21" x14ac:dyDescent="0.2">
      <c r="A37" s="58">
        <v>10094</v>
      </c>
      <c r="B37" s="59" t="s">
        <v>167</v>
      </c>
      <c r="C37" s="60">
        <v>2.9917497716894998</v>
      </c>
      <c r="D37" s="61">
        <v>0</v>
      </c>
      <c r="E37" s="62">
        <v>0</v>
      </c>
      <c r="F37" s="63">
        <v>0.11232876712328767</v>
      </c>
      <c r="G37" s="62">
        <v>0</v>
      </c>
      <c r="H37" s="63">
        <v>0</v>
      </c>
      <c r="I37" s="64">
        <v>0</v>
      </c>
      <c r="J37" s="65">
        <f t="shared" si="0"/>
        <v>2.8794210045662121</v>
      </c>
      <c r="K37" s="60">
        <v>3.0369999999999999</v>
      </c>
      <c r="L37" s="62">
        <f t="shared" si="1"/>
        <v>-0.15757899543378784</v>
      </c>
      <c r="M37" s="62">
        <v>0</v>
      </c>
      <c r="N37" s="62">
        <f t="shared" si="2"/>
        <v>0</v>
      </c>
      <c r="O37" s="63">
        <f t="shared" si="3"/>
        <v>0</v>
      </c>
      <c r="P37" s="61">
        <v>6.9252203672974119E-2</v>
      </c>
      <c r="Q37" s="66">
        <f t="shared" si="6"/>
        <v>2.9486732082391862</v>
      </c>
      <c r="R37" s="67">
        <f t="shared" si="5"/>
        <v>-6.9252203672974133E-2</v>
      </c>
      <c r="T37" s="69"/>
      <c r="U37" s="70"/>
    </row>
    <row r="38" spans="1:21" x14ac:dyDescent="0.2">
      <c r="A38" s="58">
        <v>10095</v>
      </c>
      <c r="B38" s="59" t="s">
        <v>168</v>
      </c>
      <c r="C38" s="60">
        <v>3.7061172374429199</v>
      </c>
      <c r="D38" s="61">
        <v>0</v>
      </c>
      <c r="E38" s="62">
        <v>0</v>
      </c>
      <c r="F38" s="63">
        <v>0</v>
      </c>
      <c r="G38" s="62">
        <v>0</v>
      </c>
      <c r="H38" s="63">
        <v>0</v>
      </c>
      <c r="I38" s="64">
        <v>0</v>
      </c>
      <c r="J38" s="65">
        <f t="shared" si="0"/>
        <v>3.7061172374429199</v>
      </c>
      <c r="K38" s="60">
        <v>3.6429999999999998</v>
      </c>
      <c r="L38" s="62">
        <f t="shared" si="1"/>
        <v>0</v>
      </c>
      <c r="M38" s="62">
        <v>0</v>
      </c>
      <c r="N38" s="62">
        <f t="shared" si="2"/>
        <v>0</v>
      </c>
      <c r="O38" s="63">
        <f t="shared" si="3"/>
        <v>1.5779309360730021E-2</v>
      </c>
      <c r="P38" s="61">
        <v>8.7996347017161747E-2</v>
      </c>
      <c r="Q38" s="66">
        <f t="shared" si="6"/>
        <v>3.7467756563778916</v>
      </c>
      <c r="R38" s="67">
        <f t="shared" si="5"/>
        <v>-4.0658418934971685E-2</v>
      </c>
      <c r="T38" s="69"/>
      <c r="U38" s="70"/>
    </row>
    <row r="39" spans="1:21" x14ac:dyDescent="0.2">
      <c r="A39" s="58">
        <v>10097</v>
      </c>
      <c r="B39" s="59" t="s">
        <v>169</v>
      </c>
      <c r="C39" s="60">
        <v>2.0576592465753398</v>
      </c>
      <c r="D39" s="61">
        <v>0</v>
      </c>
      <c r="E39" s="62">
        <v>0</v>
      </c>
      <c r="F39" s="63">
        <v>0</v>
      </c>
      <c r="G39" s="62">
        <v>0</v>
      </c>
      <c r="H39" s="63">
        <v>0</v>
      </c>
      <c r="I39" s="64">
        <v>0</v>
      </c>
      <c r="J39" s="65">
        <f t="shared" si="0"/>
        <v>2.0576592465753398</v>
      </c>
      <c r="K39" s="60">
        <v>2.0379999999999998</v>
      </c>
      <c r="L39" s="62">
        <f t="shared" si="1"/>
        <v>0</v>
      </c>
      <c r="M39" s="62">
        <v>0</v>
      </c>
      <c r="N39" s="62">
        <f t="shared" si="2"/>
        <v>0</v>
      </c>
      <c r="O39" s="63">
        <f t="shared" si="3"/>
        <v>4.9148116438350042E-3</v>
      </c>
      <c r="P39" s="61">
        <v>4.913361137469649E-2</v>
      </c>
      <c r="Q39" s="66">
        <f t="shared" si="6"/>
        <v>2.0920484230185314</v>
      </c>
      <c r="R39" s="67">
        <f t="shared" si="5"/>
        <v>-3.4389176443191616E-2</v>
      </c>
      <c r="T39" s="69"/>
      <c r="U39" s="70"/>
    </row>
    <row r="40" spans="1:21" x14ac:dyDescent="0.2">
      <c r="A40" s="58">
        <v>10101</v>
      </c>
      <c r="B40" s="59" t="s">
        <v>170</v>
      </c>
      <c r="C40" s="60">
        <v>80.8770957762557</v>
      </c>
      <c r="D40" s="61">
        <v>0</v>
      </c>
      <c r="E40" s="62">
        <v>0</v>
      </c>
      <c r="F40" s="63">
        <v>0</v>
      </c>
      <c r="G40" s="62">
        <v>0</v>
      </c>
      <c r="H40" s="63">
        <v>0.67317351598173514</v>
      </c>
      <c r="I40" s="64">
        <v>0</v>
      </c>
      <c r="J40" s="65">
        <f t="shared" si="0"/>
        <v>80.20392226027397</v>
      </c>
      <c r="K40" s="60">
        <v>76.028000000000006</v>
      </c>
      <c r="L40" s="62">
        <f t="shared" si="1"/>
        <v>0</v>
      </c>
      <c r="M40" s="62">
        <v>1.2063680216995436</v>
      </c>
      <c r="N40" s="62">
        <f t="shared" si="2"/>
        <v>0.33658675799086757</v>
      </c>
      <c r="O40" s="63">
        <f t="shared" si="3"/>
        <v>1.043980565068491</v>
      </c>
      <c r="P40" s="61">
        <v>1.8907473084343636</v>
      </c>
      <c r="Q40" s="66">
        <f t="shared" si="6"/>
        <v>80.505682653193276</v>
      </c>
      <c r="R40" s="67">
        <f t="shared" si="5"/>
        <v>-0.30176039291930579</v>
      </c>
      <c r="T40" s="69"/>
      <c r="U40" s="70"/>
    </row>
    <row r="41" spans="1:21" x14ac:dyDescent="0.2">
      <c r="A41" s="58">
        <v>10103</v>
      </c>
      <c r="B41" s="59" t="s">
        <v>171</v>
      </c>
      <c r="C41" s="60">
        <v>576.96809589041095</v>
      </c>
      <c r="D41" s="61">
        <v>0</v>
      </c>
      <c r="E41" s="62">
        <v>0</v>
      </c>
      <c r="F41" s="63">
        <v>225.94851598173517</v>
      </c>
      <c r="G41" s="62">
        <v>0</v>
      </c>
      <c r="H41" s="63">
        <v>0</v>
      </c>
      <c r="I41" s="64">
        <v>123</v>
      </c>
      <c r="J41" s="65">
        <f t="shared" si="0"/>
        <v>474.01957990867578</v>
      </c>
      <c r="K41" s="60">
        <v>318.49400000000003</v>
      </c>
      <c r="L41" s="62">
        <f t="shared" si="1"/>
        <v>0</v>
      </c>
      <c r="M41" s="62">
        <v>24.565972832148859</v>
      </c>
      <c r="N41" s="62">
        <f t="shared" si="2"/>
        <v>0</v>
      </c>
      <c r="O41" s="63">
        <f t="shared" si="3"/>
        <v>38.881394977168938</v>
      </c>
      <c r="P41" s="61">
        <v>9.1859722328621292</v>
      </c>
      <c r="Q41" s="66">
        <f t="shared" si="6"/>
        <v>391.12734004217998</v>
      </c>
      <c r="R41" s="67">
        <f t="shared" si="5"/>
        <v>82.8922398664958</v>
      </c>
      <c r="T41" s="69"/>
      <c r="U41" s="70"/>
    </row>
    <row r="42" spans="1:21" x14ac:dyDescent="0.2">
      <c r="A42" s="58">
        <v>10105</v>
      </c>
      <c r="B42" s="59" t="s">
        <v>172</v>
      </c>
      <c r="C42" s="60">
        <v>112.834598287671</v>
      </c>
      <c r="D42" s="61">
        <v>0</v>
      </c>
      <c r="E42" s="62">
        <v>0</v>
      </c>
      <c r="F42" s="63">
        <v>0</v>
      </c>
      <c r="G42" s="62">
        <v>0</v>
      </c>
      <c r="H42" s="63">
        <v>0</v>
      </c>
      <c r="I42" s="64">
        <v>0</v>
      </c>
      <c r="J42" s="65">
        <f t="shared" si="0"/>
        <v>112.834598287671</v>
      </c>
      <c r="K42" s="60">
        <v>92.837999999999994</v>
      </c>
      <c r="L42" s="62">
        <f t="shared" si="1"/>
        <v>0</v>
      </c>
      <c r="M42" s="62">
        <v>0</v>
      </c>
      <c r="N42" s="62">
        <f t="shared" si="2"/>
        <v>0</v>
      </c>
      <c r="O42" s="63">
        <f t="shared" si="3"/>
        <v>4.9991495719177514</v>
      </c>
      <c r="P42" s="61">
        <v>2.3530557699596999</v>
      </c>
      <c r="Q42" s="66">
        <f t="shared" si="6"/>
        <v>100.19020534187744</v>
      </c>
      <c r="R42" s="67">
        <f t="shared" si="5"/>
        <v>12.644392945793555</v>
      </c>
      <c r="T42" s="69"/>
      <c r="U42" s="70"/>
    </row>
    <row r="43" spans="1:21" x14ac:dyDescent="0.2">
      <c r="A43" s="58">
        <v>10106</v>
      </c>
      <c r="B43" s="59" t="s">
        <v>7</v>
      </c>
      <c r="C43" s="60">
        <v>26.341000000000001</v>
      </c>
      <c r="D43" s="61">
        <v>0</v>
      </c>
      <c r="E43" s="62">
        <v>0</v>
      </c>
      <c r="F43" s="63">
        <v>0</v>
      </c>
      <c r="G43" s="62">
        <v>0</v>
      </c>
      <c r="H43" s="63">
        <v>0</v>
      </c>
      <c r="I43" s="64">
        <v>0</v>
      </c>
      <c r="J43" s="65">
        <f t="shared" si="0"/>
        <v>26.341000000000001</v>
      </c>
      <c r="K43" s="60">
        <v>23.879000000000001</v>
      </c>
      <c r="L43" s="62">
        <f t="shared" si="1"/>
        <v>0</v>
      </c>
      <c r="M43" s="62">
        <v>0</v>
      </c>
      <c r="N43" s="62">
        <f t="shared" si="2"/>
        <v>0</v>
      </c>
      <c r="O43" s="63">
        <f t="shared" si="3"/>
        <v>0.61549999999999994</v>
      </c>
      <c r="P43" s="61">
        <v>0.58911083171848089</v>
      </c>
      <c r="Q43" s="66">
        <f t="shared" si="6"/>
        <v>25.083610831718484</v>
      </c>
      <c r="R43" s="67">
        <f t="shared" si="5"/>
        <v>1.2573891682815166</v>
      </c>
      <c r="T43" s="69"/>
      <c r="U43" s="70"/>
    </row>
    <row r="44" spans="1:21" x14ac:dyDescent="0.2">
      <c r="A44" s="58">
        <v>10109</v>
      </c>
      <c r="B44" s="59" t="s">
        <v>173</v>
      </c>
      <c r="C44" s="60">
        <v>16.2890238584475</v>
      </c>
      <c r="D44" s="61">
        <v>0</v>
      </c>
      <c r="E44" s="62">
        <v>0</v>
      </c>
      <c r="F44" s="63">
        <v>0</v>
      </c>
      <c r="G44" s="62">
        <v>0</v>
      </c>
      <c r="H44" s="63">
        <v>0</v>
      </c>
      <c r="I44" s="64">
        <v>0</v>
      </c>
      <c r="J44" s="65">
        <f t="shared" si="0"/>
        <v>16.2890238584475</v>
      </c>
      <c r="K44" s="60">
        <v>12.118</v>
      </c>
      <c r="L44" s="62">
        <f t="shared" si="1"/>
        <v>0</v>
      </c>
      <c r="M44" s="62">
        <v>1.78888242E-2</v>
      </c>
      <c r="N44" s="62">
        <f t="shared" si="2"/>
        <v>0</v>
      </c>
      <c r="O44" s="63">
        <f t="shared" si="3"/>
        <v>1.0427559646118749</v>
      </c>
      <c r="P44" s="61">
        <v>0.31695614903179842</v>
      </c>
      <c r="Q44" s="66">
        <f t="shared" si="6"/>
        <v>13.495600937843673</v>
      </c>
      <c r="R44" s="67">
        <f t="shared" si="5"/>
        <v>2.7934229206038275</v>
      </c>
      <c r="T44" s="69"/>
      <c r="U44" s="70"/>
    </row>
    <row r="45" spans="1:21" x14ac:dyDescent="0.2">
      <c r="A45" s="58">
        <v>10111</v>
      </c>
      <c r="B45" s="59" t="s">
        <v>174</v>
      </c>
      <c r="C45" s="60">
        <v>3.27322191780822</v>
      </c>
      <c r="D45" s="61">
        <v>0</v>
      </c>
      <c r="E45" s="62">
        <v>0</v>
      </c>
      <c r="F45" s="63">
        <v>0</v>
      </c>
      <c r="G45" s="62">
        <v>0</v>
      </c>
      <c r="H45" s="63">
        <v>0</v>
      </c>
      <c r="I45" s="64">
        <v>0</v>
      </c>
      <c r="J45" s="65">
        <f t="shared" si="0"/>
        <v>3.27322191780822</v>
      </c>
      <c r="K45" s="60">
        <v>3.2349999999999999</v>
      </c>
      <c r="L45" s="62">
        <f t="shared" si="1"/>
        <v>0</v>
      </c>
      <c r="M45" s="62">
        <v>0</v>
      </c>
      <c r="N45" s="62">
        <f t="shared" si="2"/>
        <v>0</v>
      </c>
      <c r="O45" s="63">
        <f t="shared" si="3"/>
        <v>9.5554794520550379E-3</v>
      </c>
      <c r="P45" s="61">
        <v>7.8033957707107887E-2</v>
      </c>
      <c r="Q45" s="66">
        <f t="shared" si="6"/>
        <v>3.3225894371591629</v>
      </c>
      <c r="R45" s="67">
        <f t="shared" si="5"/>
        <v>-4.9367519350942857E-2</v>
      </c>
      <c r="T45" s="69"/>
      <c r="U45" s="70"/>
    </row>
    <row r="46" spans="1:21" x14ac:dyDescent="0.2">
      <c r="A46" s="58">
        <v>10112</v>
      </c>
      <c r="B46" s="59" t="s">
        <v>175</v>
      </c>
      <c r="C46" s="60">
        <v>58.987459817351599</v>
      </c>
      <c r="D46" s="61">
        <v>0</v>
      </c>
      <c r="E46" s="62">
        <v>0</v>
      </c>
      <c r="F46" s="63">
        <v>0</v>
      </c>
      <c r="G46" s="62">
        <v>0</v>
      </c>
      <c r="H46" s="63">
        <v>0</v>
      </c>
      <c r="I46" s="64">
        <v>0</v>
      </c>
      <c r="J46" s="65">
        <f t="shared" si="0"/>
        <v>58.987459817351599</v>
      </c>
      <c r="K46" s="60">
        <v>58.25</v>
      </c>
      <c r="L46" s="62">
        <f t="shared" si="1"/>
        <v>0</v>
      </c>
      <c r="M46" s="62">
        <v>0.46621856769999998</v>
      </c>
      <c r="N46" s="62">
        <f t="shared" si="2"/>
        <v>0</v>
      </c>
      <c r="O46" s="63">
        <f t="shared" si="3"/>
        <v>0.18436495433789979</v>
      </c>
      <c r="P46" s="61">
        <v>1.4166025739399288</v>
      </c>
      <c r="Q46" s="66">
        <f t="shared" si="6"/>
        <v>60.317186095977824</v>
      </c>
      <c r="R46" s="67">
        <f t="shared" si="5"/>
        <v>-1.3297262786262252</v>
      </c>
      <c r="T46" s="69"/>
      <c r="U46" s="70"/>
    </row>
    <row r="47" spans="1:21" x14ac:dyDescent="0.2">
      <c r="A47" s="58">
        <v>10113</v>
      </c>
      <c r="B47" s="59" t="s">
        <v>10</v>
      </c>
      <c r="C47" s="60">
        <v>45.618917579908697</v>
      </c>
      <c r="D47" s="61">
        <v>0</v>
      </c>
      <c r="E47" s="62">
        <v>0</v>
      </c>
      <c r="F47" s="63">
        <v>0</v>
      </c>
      <c r="G47" s="62">
        <v>0</v>
      </c>
      <c r="H47" s="63">
        <v>0.3057077625570776</v>
      </c>
      <c r="I47" s="64">
        <v>0</v>
      </c>
      <c r="J47" s="65">
        <f t="shared" si="0"/>
        <v>45.31320981735162</v>
      </c>
      <c r="K47" s="60">
        <v>37.692999999999998</v>
      </c>
      <c r="L47" s="62">
        <f t="shared" si="1"/>
        <v>0</v>
      </c>
      <c r="M47" s="62">
        <v>1.6926727449999998E-2</v>
      </c>
      <c r="N47" s="62">
        <f t="shared" si="2"/>
        <v>0.1528538812785388</v>
      </c>
      <c r="O47" s="63">
        <f t="shared" si="3"/>
        <v>1.9050524543379055</v>
      </c>
      <c r="P47" s="61">
        <v>0.95644578217251908</v>
      </c>
      <c r="Q47" s="66">
        <f t="shared" si="6"/>
        <v>40.724278845238956</v>
      </c>
      <c r="R47" s="67">
        <f t="shared" si="5"/>
        <v>4.5889309721126637</v>
      </c>
      <c r="T47" s="69"/>
      <c r="U47" s="70"/>
    </row>
    <row r="48" spans="1:21" x14ac:dyDescent="0.2">
      <c r="A48" s="58">
        <v>10116</v>
      </c>
      <c r="B48" s="59" t="s">
        <v>176</v>
      </c>
      <c r="C48" s="60">
        <v>0.254</v>
      </c>
      <c r="D48" s="61">
        <v>0</v>
      </c>
      <c r="E48" s="62">
        <v>0</v>
      </c>
      <c r="F48" s="63">
        <v>0</v>
      </c>
      <c r="G48" s="62">
        <v>0</v>
      </c>
      <c r="H48" s="63">
        <v>0</v>
      </c>
      <c r="I48" s="64">
        <v>0</v>
      </c>
      <c r="J48" s="65">
        <f t="shared" si="0"/>
        <v>0.254</v>
      </c>
      <c r="K48" s="60">
        <v>0.22800000000000001</v>
      </c>
      <c r="L48" s="62">
        <f t="shared" si="1"/>
        <v>0</v>
      </c>
      <c r="M48" s="62">
        <v>2.5365241500000003E-3</v>
      </c>
      <c r="N48" s="62">
        <f t="shared" si="2"/>
        <v>0</v>
      </c>
      <c r="O48" s="63">
        <f t="shared" si="3"/>
        <v>6.4999999999999988E-3</v>
      </c>
      <c r="P48" s="61">
        <v>5.700903626922953E-3</v>
      </c>
      <c r="Q48" s="66">
        <f t="shared" si="6"/>
        <v>0.24273742777692298</v>
      </c>
      <c r="R48" s="67">
        <f t="shared" si="5"/>
        <v>1.1262572223077028E-2</v>
      </c>
      <c r="T48" s="69"/>
      <c r="U48" s="70"/>
    </row>
    <row r="49" spans="1:21" x14ac:dyDescent="0.2">
      <c r="A49" s="58">
        <v>10118</v>
      </c>
      <c r="B49" s="59" t="s">
        <v>11</v>
      </c>
      <c r="C49" s="60">
        <v>52.862000000000002</v>
      </c>
      <c r="D49" s="61">
        <v>0</v>
      </c>
      <c r="E49" s="62">
        <v>0</v>
      </c>
      <c r="F49" s="63">
        <v>2.362785388127854</v>
      </c>
      <c r="G49" s="62">
        <v>0</v>
      </c>
      <c r="H49" s="63">
        <v>0</v>
      </c>
      <c r="I49" s="64">
        <v>0</v>
      </c>
      <c r="J49" s="65">
        <f t="shared" si="0"/>
        <v>50.499214611872148</v>
      </c>
      <c r="K49" s="60">
        <v>45.673999999999999</v>
      </c>
      <c r="L49" s="62">
        <f t="shared" si="1"/>
        <v>0</v>
      </c>
      <c r="M49" s="62">
        <v>0.19362773392694066</v>
      </c>
      <c r="N49" s="62">
        <f t="shared" si="2"/>
        <v>0</v>
      </c>
      <c r="O49" s="63">
        <f t="shared" si="3"/>
        <v>1.2063036529680371</v>
      </c>
      <c r="P49" s="61">
        <v>1.1321628476430381</v>
      </c>
      <c r="Q49" s="66">
        <f t="shared" si="6"/>
        <v>48.206094234538014</v>
      </c>
      <c r="R49" s="67">
        <f t="shared" si="5"/>
        <v>2.2931203773341338</v>
      </c>
      <c r="T49" s="69"/>
      <c r="U49" s="70"/>
    </row>
    <row r="50" spans="1:21" x14ac:dyDescent="0.2">
      <c r="A50" s="58">
        <v>10121</v>
      </c>
      <c r="B50" s="59" t="s">
        <v>81</v>
      </c>
      <c r="C50" s="60">
        <v>41.725000000000001</v>
      </c>
      <c r="D50" s="61">
        <v>0</v>
      </c>
      <c r="E50" s="62">
        <v>0</v>
      </c>
      <c r="F50" s="63">
        <v>0</v>
      </c>
      <c r="G50" s="62">
        <v>0</v>
      </c>
      <c r="H50" s="63">
        <v>0</v>
      </c>
      <c r="I50" s="64">
        <v>0</v>
      </c>
      <c r="J50" s="65">
        <f t="shared" si="0"/>
        <v>41.725000000000001</v>
      </c>
      <c r="K50" s="60">
        <v>40.875</v>
      </c>
      <c r="L50" s="62">
        <f t="shared" si="1"/>
        <v>0</v>
      </c>
      <c r="M50" s="62">
        <v>0</v>
      </c>
      <c r="N50" s="62">
        <f t="shared" si="2"/>
        <v>0</v>
      </c>
      <c r="O50" s="63">
        <f t="shared" si="3"/>
        <v>0.21250000000000036</v>
      </c>
      <c r="P50" s="61">
        <v>0.98818474752426366</v>
      </c>
      <c r="Q50" s="66">
        <f t="shared" si="6"/>
        <v>42.075684747524264</v>
      </c>
      <c r="R50" s="67">
        <f t="shared" si="5"/>
        <v>-0.35068474752426226</v>
      </c>
      <c r="T50" s="69"/>
      <c r="U50" s="70"/>
    </row>
    <row r="51" spans="1:21" x14ac:dyDescent="0.2">
      <c r="A51" s="58">
        <v>10123</v>
      </c>
      <c r="B51" s="59" t="s">
        <v>177</v>
      </c>
      <c r="C51" s="60">
        <v>479.04937248858403</v>
      </c>
      <c r="D51" s="61">
        <v>0</v>
      </c>
      <c r="E51" s="62">
        <v>28.603999999999999</v>
      </c>
      <c r="F51" s="63">
        <v>15.719977168949772</v>
      </c>
      <c r="G51" s="62">
        <v>0</v>
      </c>
      <c r="H51" s="63">
        <v>0</v>
      </c>
      <c r="I51" s="64">
        <v>0</v>
      </c>
      <c r="J51" s="65">
        <f t="shared" si="0"/>
        <v>434.72539531963423</v>
      </c>
      <c r="K51" s="60">
        <v>549.19899999999996</v>
      </c>
      <c r="L51" s="62">
        <f t="shared" si="1"/>
        <v>-114.47360468036572</v>
      </c>
      <c r="M51" s="62">
        <v>8.9218215012636968</v>
      </c>
      <c r="N51" s="62">
        <f t="shared" si="2"/>
        <v>0</v>
      </c>
      <c r="O51" s="63">
        <f t="shared" si="3"/>
        <v>0</v>
      </c>
      <c r="P51" s="61">
        <v>10.670043515521783</v>
      </c>
      <c r="Q51" s="66">
        <f t="shared" si="6"/>
        <v>454.31726033641974</v>
      </c>
      <c r="R51" s="67">
        <f t="shared" si="5"/>
        <v>-19.591865016785505</v>
      </c>
      <c r="T51" s="69"/>
      <c r="U51" s="70"/>
    </row>
    <row r="52" spans="1:21" x14ac:dyDescent="0.2">
      <c r="A52" s="58">
        <v>10136</v>
      </c>
      <c r="B52" s="59" t="s">
        <v>82</v>
      </c>
      <c r="C52" s="60">
        <v>19.940000000000001</v>
      </c>
      <c r="D52" s="61">
        <v>0</v>
      </c>
      <c r="E52" s="62">
        <v>0</v>
      </c>
      <c r="F52" s="63">
        <v>0</v>
      </c>
      <c r="G52" s="62">
        <v>0</v>
      </c>
      <c r="H52" s="63">
        <v>0</v>
      </c>
      <c r="I52" s="64">
        <v>0</v>
      </c>
      <c r="J52" s="65">
        <f t="shared" si="0"/>
        <v>19.940000000000001</v>
      </c>
      <c r="K52" s="60">
        <v>18.536999999999999</v>
      </c>
      <c r="L52" s="62">
        <f t="shared" si="1"/>
        <v>0</v>
      </c>
      <c r="M52" s="62">
        <v>1.0717939497716896E-3</v>
      </c>
      <c r="N52" s="62">
        <f t="shared" si="2"/>
        <v>0</v>
      </c>
      <c r="O52" s="63">
        <f t="shared" si="3"/>
        <v>0.35075000000000056</v>
      </c>
      <c r="P52" s="61">
        <v>0.4542901270577443</v>
      </c>
      <c r="Q52" s="66">
        <f t="shared" si="6"/>
        <v>19.34311192100752</v>
      </c>
      <c r="R52" s="67">
        <f t="shared" si="5"/>
        <v>0.59688807899248175</v>
      </c>
      <c r="T52" s="69"/>
      <c r="U52" s="70"/>
    </row>
    <row r="53" spans="1:21" x14ac:dyDescent="0.2">
      <c r="A53" s="58">
        <v>10142</v>
      </c>
      <c r="B53" s="59" t="s">
        <v>178</v>
      </c>
      <c r="C53" s="60">
        <v>3.45225502283105</v>
      </c>
      <c r="D53" s="61">
        <v>0</v>
      </c>
      <c r="E53" s="62">
        <v>0</v>
      </c>
      <c r="F53" s="63">
        <v>0</v>
      </c>
      <c r="G53" s="62">
        <v>0</v>
      </c>
      <c r="H53" s="63">
        <v>0</v>
      </c>
      <c r="I53" s="64">
        <v>0</v>
      </c>
      <c r="J53" s="65">
        <f t="shared" si="0"/>
        <v>3.45225502283105</v>
      </c>
      <c r="K53" s="60">
        <v>2.6869999999999998</v>
      </c>
      <c r="L53" s="62">
        <f t="shared" si="1"/>
        <v>0</v>
      </c>
      <c r="M53" s="62">
        <v>0</v>
      </c>
      <c r="N53" s="62">
        <f t="shared" si="2"/>
        <v>0</v>
      </c>
      <c r="O53" s="63">
        <f t="shared" si="3"/>
        <v>0.19131375570776255</v>
      </c>
      <c r="P53" s="61">
        <v>6.922557351943269E-2</v>
      </c>
      <c r="Q53" s="66">
        <f t="shared" si="6"/>
        <v>2.9475393292271952</v>
      </c>
      <c r="R53" s="67">
        <f t="shared" si="5"/>
        <v>0.50471569360385482</v>
      </c>
      <c r="T53" s="69"/>
      <c r="U53" s="70"/>
    </row>
    <row r="54" spans="1:21" x14ac:dyDescent="0.2">
      <c r="A54" s="58">
        <v>10144</v>
      </c>
      <c r="B54" s="59" t="s">
        <v>179</v>
      </c>
      <c r="C54" s="60">
        <v>3.3997083333333298</v>
      </c>
      <c r="D54" s="61">
        <v>0</v>
      </c>
      <c r="E54" s="62">
        <v>0</v>
      </c>
      <c r="F54" s="63">
        <v>0</v>
      </c>
      <c r="G54" s="62">
        <v>0</v>
      </c>
      <c r="H54" s="63">
        <v>0</v>
      </c>
      <c r="I54" s="64">
        <v>0</v>
      </c>
      <c r="J54" s="65">
        <f t="shared" si="0"/>
        <v>3.3997083333333298</v>
      </c>
      <c r="K54" s="60">
        <v>3.3679999999999999</v>
      </c>
      <c r="L54" s="62">
        <f t="shared" si="1"/>
        <v>0</v>
      </c>
      <c r="M54" s="62">
        <v>0</v>
      </c>
      <c r="N54" s="62">
        <f t="shared" si="2"/>
        <v>0</v>
      </c>
      <c r="O54" s="63">
        <f t="shared" si="3"/>
        <v>7.9270833333324742E-3</v>
      </c>
      <c r="P54" s="61">
        <v>8.1193541892402146E-2</v>
      </c>
      <c r="Q54" s="66">
        <f t="shared" si="6"/>
        <v>3.4571206252257345</v>
      </c>
      <c r="R54" s="67">
        <f t="shared" si="5"/>
        <v>-5.741229189240471E-2</v>
      </c>
      <c r="T54" s="69"/>
      <c r="U54" s="70"/>
    </row>
    <row r="55" spans="1:21" x14ac:dyDescent="0.2">
      <c r="A55" s="58">
        <v>10156</v>
      </c>
      <c r="B55" s="59" t="s">
        <v>180</v>
      </c>
      <c r="C55" s="60">
        <v>33.658279908675802</v>
      </c>
      <c r="D55" s="61">
        <v>0</v>
      </c>
      <c r="E55" s="62">
        <v>0</v>
      </c>
      <c r="F55" s="63">
        <v>0</v>
      </c>
      <c r="G55" s="62">
        <v>0</v>
      </c>
      <c r="H55" s="63">
        <v>0</v>
      </c>
      <c r="I55" s="64">
        <v>0</v>
      </c>
      <c r="J55" s="65">
        <f t="shared" si="0"/>
        <v>33.658279908675802</v>
      </c>
      <c r="K55" s="60">
        <v>32.238</v>
      </c>
      <c r="L55" s="62">
        <f t="shared" si="1"/>
        <v>0</v>
      </c>
      <c r="M55" s="62">
        <v>1.7928772500000001E-3</v>
      </c>
      <c r="N55" s="62">
        <f t="shared" si="2"/>
        <v>0</v>
      </c>
      <c r="O55" s="63">
        <f t="shared" si="3"/>
        <v>0.3550699771689505</v>
      </c>
      <c r="P55" s="61">
        <v>0.78393054628249448</v>
      </c>
      <c r="Q55" s="66">
        <f t="shared" si="6"/>
        <v>33.37879340070144</v>
      </c>
      <c r="R55" s="67">
        <f t="shared" si="5"/>
        <v>0.27948650797436159</v>
      </c>
      <c r="T55" s="69"/>
      <c r="U55" s="70"/>
    </row>
    <row r="56" spans="1:21" x14ac:dyDescent="0.2">
      <c r="A56" s="58">
        <v>10157</v>
      </c>
      <c r="B56" s="59" t="s">
        <v>15</v>
      </c>
      <c r="C56" s="60">
        <v>78.283461986301404</v>
      </c>
      <c r="D56" s="61">
        <v>0</v>
      </c>
      <c r="E56" s="62">
        <v>35.656999999999996</v>
      </c>
      <c r="F56" s="63">
        <v>2.5490867579908674</v>
      </c>
      <c r="G56" s="62">
        <v>0</v>
      </c>
      <c r="H56" s="63">
        <v>0</v>
      </c>
      <c r="I56" s="64">
        <v>0</v>
      </c>
      <c r="J56" s="65">
        <f t="shared" si="0"/>
        <v>40.077375228310544</v>
      </c>
      <c r="K56" s="60">
        <v>49.957999999999998</v>
      </c>
      <c r="L56" s="62">
        <f t="shared" si="1"/>
        <v>-9.8806247716894546</v>
      </c>
      <c r="M56" s="62">
        <v>0.26135009468013692</v>
      </c>
      <c r="N56" s="62">
        <f t="shared" si="2"/>
        <v>0</v>
      </c>
      <c r="O56" s="63">
        <f t="shared" si="3"/>
        <v>0</v>
      </c>
      <c r="P56" s="61">
        <v>0.97017616303620735</v>
      </c>
      <c r="Q56" s="66">
        <f t="shared" si="6"/>
        <v>41.30890148602689</v>
      </c>
      <c r="R56" s="67">
        <f t="shared" si="5"/>
        <v>-1.2315262577163466</v>
      </c>
      <c r="T56" s="69"/>
      <c r="U56" s="70"/>
    </row>
    <row r="57" spans="1:21" x14ac:dyDescent="0.2">
      <c r="A57" s="58">
        <v>10158</v>
      </c>
      <c r="B57" s="59" t="s">
        <v>181</v>
      </c>
      <c r="C57" s="60">
        <v>3.9500085616438398</v>
      </c>
      <c r="D57" s="61">
        <v>0</v>
      </c>
      <c r="E57" s="62">
        <v>0</v>
      </c>
      <c r="F57" s="63">
        <v>0</v>
      </c>
      <c r="G57" s="62">
        <v>0</v>
      </c>
      <c r="H57" s="63">
        <v>0</v>
      </c>
      <c r="I57" s="64">
        <v>0</v>
      </c>
      <c r="J57" s="65">
        <f t="shared" si="0"/>
        <v>3.9500085616438398</v>
      </c>
      <c r="K57" s="60">
        <v>2.7909999999999999</v>
      </c>
      <c r="L57" s="62">
        <f t="shared" si="1"/>
        <v>0</v>
      </c>
      <c r="M57" s="62">
        <v>0</v>
      </c>
      <c r="N57" s="62">
        <f t="shared" si="2"/>
        <v>0</v>
      </c>
      <c r="O57" s="63">
        <f t="shared" si="3"/>
        <v>0.28975214041095998</v>
      </c>
      <c r="P57" s="61">
        <v>7.4094366317172838E-2</v>
      </c>
      <c r="Q57" s="66">
        <f t="shared" si="6"/>
        <v>3.1548465067281324</v>
      </c>
      <c r="R57" s="67">
        <f t="shared" si="5"/>
        <v>0.79516205491570746</v>
      </c>
      <c r="T57" s="69"/>
      <c r="U57" s="70"/>
    </row>
    <row r="58" spans="1:21" x14ac:dyDescent="0.2">
      <c r="A58" s="58">
        <v>10170</v>
      </c>
      <c r="B58" s="59" t="s">
        <v>182</v>
      </c>
      <c r="C58" s="60">
        <v>276.608792009132</v>
      </c>
      <c r="D58" s="61">
        <v>0</v>
      </c>
      <c r="E58" s="62">
        <v>1.145</v>
      </c>
      <c r="F58" s="63">
        <v>42.389611872146119</v>
      </c>
      <c r="G58" s="62">
        <v>0</v>
      </c>
      <c r="H58" s="63">
        <v>0</v>
      </c>
      <c r="I58" s="64">
        <v>0</v>
      </c>
      <c r="J58" s="65">
        <f t="shared" si="0"/>
        <v>233.07418013698589</v>
      </c>
      <c r="K58" s="60">
        <v>251.09700000000001</v>
      </c>
      <c r="L58" s="62">
        <f t="shared" si="1"/>
        <v>-18.022819863014121</v>
      </c>
      <c r="M58" s="62">
        <v>2.4934825645365297</v>
      </c>
      <c r="N58" s="62">
        <f t="shared" si="2"/>
        <v>0</v>
      </c>
      <c r="O58" s="63">
        <f t="shared" si="3"/>
        <v>0</v>
      </c>
      <c r="P58" s="61">
        <v>5.6655764232816512</v>
      </c>
      <c r="Q58" s="66">
        <f t="shared" si="6"/>
        <v>241.23323912480407</v>
      </c>
      <c r="R58" s="67">
        <f t="shared" si="5"/>
        <v>-8.1590589878181845</v>
      </c>
      <c r="T58" s="69"/>
      <c r="U58" s="70"/>
    </row>
    <row r="59" spans="1:21" x14ac:dyDescent="0.2">
      <c r="A59" s="58">
        <v>10172</v>
      </c>
      <c r="B59" s="59" t="s">
        <v>183</v>
      </c>
      <c r="C59" s="60">
        <v>5.1153738584474899</v>
      </c>
      <c r="D59" s="61">
        <v>0</v>
      </c>
      <c r="E59" s="62">
        <v>0</v>
      </c>
      <c r="F59" s="63">
        <v>0</v>
      </c>
      <c r="G59" s="62">
        <v>0</v>
      </c>
      <c r="H59" s="63">
        <v>0</v>
      </c>
      <c r="I59" s="64">
        <v>0</v>
      </c>
      <c r="J59" s="65">
        <f t="shared" si="0"/>
        <v>5.1153738584474899</v>
      </c>
      <c r="K59" s="60">
        <v>6.1020000000000003</v>
      </c>
      <c r="L59" s="62">
        <f t="shared" si="1"/>
        <v>-0.98662614155251038</v>
      </c>
      <c r="M59" s="62">
        <v>0</v>
      </c>
      <c r="N59" s="62">
        <f t="shared" si="2"/>
        <v>0</v>
      </c>
      <c r="O59" s="63">
        <f t="shared" si="3"/>
        <v>0</v>
      </c>
      <c r="P59" s="61">
        <v>0.12302852266022882</v>
      </c>
      <c r="Q59" s="66">
        <f t="shared" si="6"/>
        <v>5.2384023811077185</v>
      </c>
      <c r="R59" s="67">
        <f t="shared" si="5"/>
        <v>-0.12302852266022857</v>
      </c>
      <c r="T59" s="69"/>
      <c r="U59" s="70"/>
    </row>
    <row r="60" spans="1:21" x14ac:dyDescent="0.2">
      <c r="A60" s="58">
        <v>10173</v>
      </c>
      <c r="B60" s="59" t="s">
        <v>83</v>
      </c>
      <c r="C60" s="60">
        <v>47.731999999999999</v>
      </c>
      <c r="D60" s="61">
        <v>0</v>
      </c>
      <c r="E60" s="62">
        <v>0</v>
      </c>
      <c r="F60" s="63">
        <v>1.127054794520548</v>
      </c>
      <c r="G60" s="62">
        <v>0.96655251141552512</v>
      </c>
      <c r="H60" s="63">
        <v>0</v>
      </c>
      <c r="I60" s="64">
        <v>0</v>
      </c>
      <c r="J60" s="65">
        <f t="shared" si="0"/>
        <v>45.638392694063924</v>
      </c>
      <c r="K60" s="60">
        <v>33.130000000000003</v>
      </c>
      <c r="L60" s="62">
        <f t="shared" si="1"/>
        <v>0</v>
      </c>
      <c r="M60" s="62">
        <v>1.7330255707762546E-2</v>
      </c>
      <c r="N60" s="62">
        <f t="shared" si="2"/>
        <v>0</v>
      </c>
      <c r="O60" s="63">
        <f t="shared" si="3"/>
        <v>3.1270981735159804</v>
      </c>
      <c r="P60" s="61">
        <v>0.87242681834911939</v>
      </c>
      <c r="Q60" s="66">
        <f t="shared" si="6"/>
        <v>37.146855247572866</v>
      </c>
      <c r="R60" s="67">
        <f t="shared" si="5"/>
        <v>8.4915374464910585</v>
      </c>
      <c r="T60" s="69"/>
      <c r="U60" s="70"/>
    </row>
    <row r="61" spans="1:21" x14ac:dyDescent="0.2">
      <c r="A61" s="58">
        <v>10174</v>
      </c>
      <c r="B61" s="59" t="s">
        <v>184</v>
      </c>
      <c r="C61" s="60">
        <v>0.60980068493150696</v>
      </c>
      <c r="D61" s="61">
        <v>0</v>
      </c>
      <c r="E61" s="62">
        <v>0</v>
      </c>
      <c r="F61" s="63">
        <v>0</v>
      </c>
      <c r="G61" s="62">
        <v>0</v>
      </c>
      <c r="H61" s="63">
        <v>0</v>
      </c>
      <c r="I61" s="64">
        <v>0</v>
      </c>
      <c r="J61" s="65">
        <f t="shared" si="0"/>
        <v>0.60980068493150696</v>
      </c>
      <c r="K61" s="60">
        <v>0.50700000000000001</v>
      </c>
      <c r="L61" s="62">
        <f t="shared" si="1"/>
        <v>0</v>
      </c>
      <c r="M61" s="62">
        <v>0</v>
      </c>
      <c r="N61" s="62">
        <f t="shared" si="2"/>
        <v>0</v>
      </c>
      <c r="O61" s="63">
        <f t="shared" si="3"/>
        <v>2.570017123287674E-2</v>
      </c>
      <c r="P61" s="61">
        <v>1.2811832898470153E-2</v>
      </c>
      <c r="Q61" s="66">
        <f t="shared" si="6"/>
        <v>0.54551200413134682</v>
      </c>
      <c r="R61" s="67">
        <f t="shared" si="5"/>
        <v>6.4288680800160147E-2</v>
      </c>
      <c r="T61" s="69"/>
      <c r="U61" s="70"/>
    </row>
    <row r="62" spans="1:21" x14ac:dyDescent="0.2">
      <c r="A62" s="58">
        <v>10177</v>
      </c>
      <c r="B62" s="59" t="s">
        <v>185</v>
      </c>
      <c r="C62" s="60">
        <v>9.8553337899543401</v>
      </c>
      <c r="D62" s="61">
        <v>0</v>
      </c>
      <c r="E62" s="62">
        <v>0</v>
      </c>
      <c r="F62" s="63">
        <v>0</v>
      </c>
      <c r="G62" s="62">
        <v>0</v>
      </c>
      <c r="H62" s="63">
        <v>0</v>
      </c>
      <c r="I62" s="64">
        <v>0</v>
      </c>
      <c r="J62" s="65">
        <f t="shared" si="0"/>
        <v>9.8553337899543401</v>
      </c>
      <c r="K62" s="60">
        <v>11.664999999999999</v>
      </c>
      <c r="L62" s="62">
        <f t="shared" si="1"/>
        <v>-1.8096662100456591</v>
      </c>
      <c r="M62" s="62">
        <v>0</v>
      </c>
      <c r="N62" s="62">
        <f t="shared" si="2"/>
        <v>0</v>
      </c>
      <c r="O62" s="63">
        <f t="shared" si="3"/>
        <v>0</v>
      </c>
      <c r="P62" s="61">
        <v>0.23702806286567388</v>
      </c>
      <c r="Q62" s="66">
        <f t="shared" si="6"/>
        <v>10.092361852820014</v>
      </c>
      <c r="R62" s="67">
        <f>J62-Q62</f>
        <v>-0.23702806286567402</v>
      </c>
      <c r="T62" s="69"/>
      <c r="U62" s="70"/>
    </row>
    <row r="63" spans="1:21" x14ac:dyDescent="0.2">
      <c r="A63" s="58">
        <v>10179</v>
      </c>
      <c r="B63" s="59" t="s">
        <v>84</v>
      </c>
      <c r="C63" s="60">
        <v>197.49299999999999</v>
      </c>
      <c r="D63" s="61">
        <v>0</v>
      </c>
      <c r="E63" s="62">
        <v>0</v>
      </c>
      <c r="F63" s="63">
        <v>0</v>
      </c>
      <c r="G63" s="62">
        <v>4.16</v>
      </c>
      <c r="H63" s="63">
        <v>3.5765981735159817</v>
      </c>
      <c r="I63" s="64">
        <v>0</v>
      </c>
      <c r="J63" s="65">
        <f t="shared" si="0"/>
        <v>189.75640182648402</v>
      </c>
      <c r="K63" s="60">
        <v>166.822</v>
      </c>
      <c r="L63" s="62">
        <f t="shared" si="1"/>
        <v>0</v>
      </c>
      <c r="M63" s="62">
        <v>1.3196294659988588</v>
      </c>
      <c r="N63" s="62">
        <f t="shared" si="2"/>
        <v>1.7882990867579909</v>
      </c>
      <c r="O63" s="63">
        <f t="shared" si="3"/>
        <v>5.733600456621005</v>
      </c>
      <c r="P63" s="61">
        <v>4.2248377259106364</v>
      </c>
      <c r="Q63" s="66">
        <f t="shared" si="6"/>
        <v>179.88836673528854</v>
      </c>
      <c r="R63" s="67">
        <f t="shared" si="5"/>
        <v>9.8680350911954804</v>
      </c>
      <c r="T63" s="69"/>
      <c r="U63" s="70"/>
    </row>
    <row r="64" spans="1:21" x14ac:dyDescent="0.2">
      <c r="A64" s="58">
        <v>10183</v>
      </c>
      <c r="B64" s="59" t="s">
        <v>186</v>
      </c>
      <c r="C64" s="60">
        <v>134.28629783105001</v>
      </c>
      <c r="D64" s="61">
        <v>0</v>
      </c>
      <c r="E64" s="62">
        <v>0</v>
      </c>
      <c r="F64" s="63">
        <v>0.68926940639269407</v>
      </c>
      <c r="G64" s="62">
        <v>0</v>
      </c>
      <c r="H64" s="63">
        <v>0</v>
      </c>
      <c r="I64" s="64">
        <v>0</v>
      </c>
      <c r="J64" s="65">
        <f t="shared" si="0"/>
        <v>133.59702842465731</v>
      </c>
      <c r="K64" s="60">
        <v>117.351</v>
      </c>
      <c r="L64" s="62">
        <f t="shared" si="1"/>
        <v>0</v>
      </c>
      <c r="M64" s="62">
        <v>1.4562940324548519</v>
      </c>
      <c r="N64" s="62">
        <f t="shared" si="2"/>
        <v>0</v>
      </c>
      <c r="O64" s="63">
        <f t="shared" si="3"/>
        <v>4.0615071061643278</v>
      </c>
      <c r="P64" s="61">
        <v>2.9550854939282107</v>
      </c>
      <c r="Q64" s="66">
        <f t="shared" si="6"/>
        <v>125.82388663254739</v>
      </c>
      <c r="R64" s="67">
        <f t="shared" si="5"/>
        <v>7.7731417921099251</v>
      </c>
      <c r="T64" s="69"/>
      <c r="U64" s="70"/>
    </row>
    <row r="65" spans="1:21" x14ac:dyDescent="0.2">
      <c r="A65" s="58">
        <v>10186</v>
      </c>
      <c r="B65" s="59" t="s">
        <v>187</v>
      </c>
      <c r="C65" s="60">
        <v>21.237431506849301</v>
      </c>
      <c r="D65" s="61">
        <v>0</v>
      </c>
      <c r="E65" s="62">
        <v>0</v>
      </c>
      <c r="F65" s="63">
        <v>0</v>
      </c>
      <c r="G65" s="62">
        <v>0</v>
      </c>
      <c r="H65" s="63">
        <v>0</v>
      </c>
      <c r="I65" s="64">
        <v>0</v>
      </c>
      <c r="J65" s="65">
        <f t="shared" si="0"/>
        <v>21.237431506849301</v>
      </c>
      <c r="K65" s="60">
        <v>21.317</v>
      </c>
      <c r="L65" s="62">
        <f t="shared" si="1"/>
        <v>-7.9568493150699027E-2</v>
      </c>
      <c r="M65" s="62">
        <v>1.7427282999999999E-3</v>
      </c>
      <c r="N65" s="62">
        <f t="shared" si="2"/>
        <v>0</v>
      </c>
      <c r="O65" s="63">
        <f t="shared" si="3"/>
        <v>0</v>
      </c>
      <c r="P65" s="61">
        <v>0.51081784068597169</v>
      </c>
      <c r="Q65" s="66">
        <f t="shared" si="6"/>
        <v>21.749992075835273</v>
      </c>
      <c r="R65" s="67">
        <f t="shared" si="5"/>
        <v>-0.5125605689859718</v>
      </c>
      <c r="T65" s="69"/>
      <c r="U65" s="70"/>
    </row>
    <row r="66" spans="1:21" x14ac:dyDescent="0.2">
      <c r="A66" s="58">
        <v>10190</v>
      </c>
      <c r="B66" s="59" t="s">
        <v>188</v>
      </c>
      <c r="C66" s="60">
        <v>747.54</v>
      </c>
      <c r="D66" s="61">
        <v>0</v>
      </c>
      <c r="E66" s="62">
        <v>233.21</v>
      </c>
      <c r="F66" s="63">
        <v>264.45999999999998</v>
      </c>
      <c r="G66" s="62">
        <v>0</v>
      </c>
      <c r="H66" s="63">
        <v>0</v>
      </c>
      <c r="I66" s="64">
        <v>0</v>
      </c>
      <c r="J66" s="65">
        <f t="shared" si="0"/>
        <v>249.87</v>
      </c>
      <c r="K66" s="60">
        <v>187.059</v>
      </c>
      <c r="L66" s="62">
        <f t="shared" si="1"/>
        <v>0</v>
      </c>
      <c r="M66" s="62">
        <v>8.7500724500000002E-3</v>
      </c>
      <c r="N66" s="62">
        <f t="shared" si="2"/>
        <v>0</v>
      </c>
      <c r="O66" s="63">
        <f t="shared" si="3"/>
        <v>15.702750000000002</v>
      </c>
      <c r="P66" s="61">
        <v>4.8767804178755751</v>
      </c>
      <c r="Q66" s="66">
        <f t="shared" si="6"/>
        <v>207.64728049032558</v>
      </c>
      <c r="R66" s="67">
        <f t="shared" si="5"/>
        <v>42.22271950967442</v>
      </c>
      <c r="T66" s="69"/>
      <c r="U66" s="70"/>
    </row>
    <row r="67" spans="1:21" x14ac:dyDescent="0.2">
      <c r="A67" s="58">
        <v>10191</v>
      </c>
      <c r="B67" s="59" t="s">
        <v>189</v>
      </c>
      <c r="C67" s="60">
        <v>119.358219292237</v>
      </c>
      <c r="D67" s="61">
        <v>0</v>
      </c>
      <c r="E67" s="62">
        <v>0</v>
      </c>
      <c r="F67" s="63">
        <v>0</v>
      </c>
      <c r="G67" s="62">
        <v>0</v>
      </c>
      <c r="H67" s="63">
        <v>0</v>
      </c>
      <c r="I67" s="64">
        <v>0</v>
      </c>
      <c r="J67" s="65">
        <f t="shared" si="0"/>
        <v>119.358219292237</v>
      </c>
      <c r="K67" s="60">
        <v>131.21700000000001</v>
      </c>
      <c r="L67" s="62">
        <f t="shared" si="1"/>
        <v>-11.858780707763017</v>
      </c>
      <c r="M67" s="62">
        <v>0.11957373562773971</v>
      </c>
      <c r="N67" s="62">
        <f t="shared" si="2"/>
        <v>0</v>
      </c>
      <c r="O67" s="63">
        <f t="shared" si="3"/>
        <v>0</v>
      </c>
      <c r="P67" s="61">
        <v>2.8735292421781993</v>
      </c>
      <c r="Q67" s="66">
        <f t="shared" si="6"/>
        <v>122.35132227004293</v>
      </c>
      <c r="R67" s="67">
        <f t="shared" si="5"/>
        <v>-2.9931029778059326</v>
      </c>
      <c r="T67" s="69"/>
      <c r="U67" s="70"/>
    </row>
    <row r="68" spans="1:21" x14ac:dyDescent="0.2">
      <c r="A68" s="58">
        <v>10197</v>
      </c>
      <c r="B68" s="59" t="s">
        <v>190</v>
      </c>
      <c r="C68" s="60">
        <v>25.058000570776301</v>
      </c>
      <c r="D68" s="61">
        <v>0</v>
      </c>
      <c r="E68" s="62">
        <v>0</v>
      </c>
      <c r="F68" s="63">
        <v>0</v>
      </c>
      <c r="G68" s="62">
        <v>0</v>
      </c>
      <c r="H68" s="63">
        <v>0</v>
      </c>
      <c r="I68" s="64">
        <v>0</v>
      </c>
      <c r="J68" s="65">
        <f t="shared" ref="J68:J131" si="7">IF((C68+D68-SUM(E68:H68)+I68)&gt;0,C68+D68-SUM(E68:H68)+I68,0)</f>
        <v>25.058000570776301</v>
      </c>
      <c r="K68" s="60">
        <v>22.753</v>
      </c>
      <c r="L68" s="62">
        <f t="shared" ref="L68:L131" si="8">IF(K68&gt;J68,J68-K68,0)</f>
        <v>0</v>
      </c>
      <c r="M68" s="62">
        <v>0</v>
      </c>
      <c r="N68" s="62">
        <f t="shared" ref="N68:N131" si="9">H68*0.5</f>
        <v>0</v>
      </c>
      <c r="O68" s="63">
        <f t="shared" ref="O68:O131" si="10">IF(J68&gt;K68, (J68-K68)*0.25,0)</f>
        <v>0.57625014269407515</v>
      </c>
      <c r="P68" s="61">
        <v>0.56108571127930729</v>
      </c>
      <c r="Q68" s="66">
        <f t="shared" si="6"/>
        <v>23.890335853973383</v>
      </c>
      <c r="R68" s="67">
        <f t="shared" ref="R68:R131" si="11">J68-Q68</f>
        <v>1.1676647168029177</v>
      </c>
      <c r="T68" s="69"/>
      <c r="U68" s="70"/>
    </row>
    <row r="69" spans="1:21" x14ac:dyDescent="0.2">
      <c r="A69" s="58">
        <v>10202</v>
      </c>
      <c r="B69" s="59" t="s">
        <v>191</v>
      </c>
      <c r="C69" s="60">
        <v>16.066184018264799</v>
      </c>
      <c r="D69" s="61">
        <v>0</v>
      </c>
      <c r="E69" s="62">
        <v>0</v>
      </c>
      <c r="F69" s="63">
        <v>0</v>
      </c>
      <c r="G69" s="62">
        <v>0</v>
      </c>
      <c r="H69" s="63">
        <v>0</v>
      </c>
      <c r="I69" s="64">
        <v>0</v>
      </c>
      <c r="J69" s="65">
        <f t="shared" si="7"/>
        <v>16.066184018264799</v>
      </c>
      <c r="K69" s="60">
        <v>13.099</v>
      </c>
      <c r="L69" s="62">
        <f t="shared" si="8"/>
        <v>0</v>
      </c>
      <c r="M69" s="62">
        <v>0.19845121995000001</v>
      </c>
      <c r="N69" s="62">
        <f t="shared" si="9"/>
        <v>0</v>
      </c>
      <c r="O69" s="63">
        <f t="shared" si="10"/>
        <v>0.74179600456619976</v>
      </c>
      <c r="P69" s="61">
        <v>0.33765427378130236</v>
      </c>
      <c r="Q69" s="66">
        <f t="shared" si="6"/>
        <v>14.376901498297501</v>
      </c>
      <c r="R69" s="67">
        <f t="shared" si="11"/>
        <v>1.6892825199672981</v>
      </c>
      <c r="T69" s="69"/>
      <c r="U69" s="70"/>
    </row>
    <row r="70" spans="1:21" x14ac:dyDescent="0.2">
      <c r="A70" s="58">
        <v>10203</v>
      </c>
      <c r="B70" s="59" t="s">
        <v>192</v>
      </c>
      <c r="C70" s="60">
        <v>8.1573430365296797</v>
      </c>
      <c r="D70" s="61">
        <v>0</v>
      </c>
      <c r="E70" s="62">
        <v>0</v>
      </c>
      <c r="F70" s="63">
        <v>0</v>
      </c>
      <c r="G70" s="62">
        <v>0</v>
      </c>
      <c r="H70" s="63">
        <v>0</v>
      </c>
      <c r="I70" s="64">
        <v>0</v>
      </c>
      <c r="J70" s="65">
        <f t="shared" si="7"/>
        <v>8.1573430365296797</v>
      </c>
      <c r="K70" s="60">
        <v>6.2130000000000001</v>
      </c>
      <c r="L70" s="62">
        <f t="shared" si="8"/>
        <v>0</v>
      </c>
      <c r="M70" s="62">
        <v>1.5913240000000001E-4</v>
      </c>
      <c r="N70" s="62">
        <f t="shared" si="9"/>
        <v>0</v>
      </c>
      <c r="O70" s="63">
        <f t="shared" si="10"/>
        <v>0.48608575913241991</v>
      </c>
      <c r="P70" s="61">
        <v>0.16112179182822461</v>
      </c>
      <c r="Q70" s="66">
        <f t="shared" si="6"/>
        <v>6.8603666833606454</v>
      </c>
      <c r="R70" s="67">
        <f t="shared" si="11"/>
        <v>1.2969763531690344</v>
      </c>
      <c r="T70" s="69"/>
      <c r="U70" s="70"/>
    </row>
    <row r="71" spans="1:21" x14ac:dyDescent="0.2">
      <c r="A71" s="58">
        <v>10204</v>
      </c>
      <c r="B71" s="59" t="s">
        <v>193</v>
      </c>
      <c r="C71" s="60">
        <v>93.7831574200913</v>
      </c>
      <c r="D71" s="61">
        <v>0</v>
      </c>
      <c r="E71" s="62">
        <v>0</v>
      </c>
      <c r="F71" s="63">
        <v>17.322146118721463</v>
      </c>
      <c r="G71" s="62">
        <v>0</v>
      </c>
      <c r="H71" s="63">
        <v>0.51792237442922373</v>
      </c>
      <c r="I71" s="64">
        <v>0</v>
      </c>
      <c r="J71" s="65">
        <f t="shared" si="7"/>
        <v>75.943088926940618</v>
      </c>
      <c r="K71" s="60">
        <v>79.555999999999997</v>
      </c>
      <c r="L71" s="62">
        <f t="shared" si="8"/>
        <v>-3.6129110730593794</v>
      </c>
      <c r="M71" s="62">
        <v>0.36780466499132419</v>
      </c>
      <c r="N71" s="62">
        <f t="shared" si="9"/>
        <v>0.25896118721461187</v>
      </c>
      <c r="O71" s="63">
        <f t="shared" si="10"/>
        <v>0</v>
      </c>
      <c r="P71" s="61">
        <v>1.8415616090757645</v>
      </c>
      <c r="Q71" s="66">
        <f t="shared" si="6"/>
        <v>78.411416388222321</v>
      </c>
      <c r="R71" s="67">
        <f t="shared" si="11"/>
        <v>-2.468327461281703</v>
      </c>
      <c r="T71" s="69"/>
      <c r="U71" s="70"/>
    </row>
    <row r="72" spans="1:21" x14ac:dyDescent="0.2">
      <c r="A72" s="58">
        <v>10209</v>
      </c>
      <c r="B72" s="59" t="s">
        <v>194</v>
      </c>
      <c r="C72" s="60">
        <v>134.82520890411001</v>
      </c>
      <c r="D72" s="61">
        <v>0</v>
      </c>
      <c r="E72" s="62">
        <v>0</v>
      </c>
      <c r="F72" s="63">
        <v>0</v>
      </c>
      <c r="G72" s="62">
        <v>0</v>
      </c>
      <c r="H72" s="63">
        <v>0</v>
      </c>
      <c r="I72" s="64">
        <v>0</v>
      </c>
      <c r="J72" s="65">
        <f t="shared" si="7"/>
        <v>134.82520890411001</v>
      </c>
      <c r="K72" s="60">
        <v>104.89</v>
      </c>
      <c r="L72" s="62">
        <f t="shared" si="8"/>
        <v>0</v>
      </c>
      <c r="M72" s="62">
        <v>0.31886232519999991</v>
      </c>
      <c r="N72" s="62">
        <f t="shared" si="9"/>
        <v>0</v>
      </c>
      <c r="O72" s="63">
        <f t="shared" si="10"/>
        <v>7.4838022260275032</v>
      </c>
      <c r="P72" s="61">
        <v>2.7103418866417108</v>
      </c>
      <c r="Q72" s="66">
        <f t="shared" si="6"/>
        <v>115.40300643786922</v>
      </c>
      <c r="R72" s="67">
        <f t="shared" si="11"/>
        <v>19.42220246624079</v>
      </c>
      <c r="T72" s="69"/>
      <c r="U72" s="70"/>
    </row>
    <row r="73" spans="1:21" x14ac:dyDescent="0.2">
      <c r="A73" s="58">
        <v>10230</v>
      </c>
      <c r="B73" s="59" t="s">
        <v>195</v>
      </c>
      <c r="C73" s="60">
        <v>14.031010616438399</v>
      </c>
      <c r="D73" s="61">
        <v>0</v>
      </c>
      <c r="E73" s="62">
        <v>0</v>
      </c>
      <c r="F73" s="63">
        <v>0.98036529680365292</v>
      </c>
      <c r="G73" s="62">
        <v>0</v>
      </c>
      <c r="H73" s="63">
        <v>0</v>
      </c>
      <c r="I73" s="64">
        <v>0</v>
      </c>
      <c r="J73" s="65">
        <f t="shared" si="7"/>
        <v>13.050645319634746</v>
      </c>
      <c r="K73" s="60">
        <v>9.702</v>
      </c>
      <c r="L73" s="62">
        <f t="shared" si="8"/>
        <v>0</v>
      </c>
      <c r="M73" s="62">
        <v>2.558863863105023E-2</v>
      </c>
      <c r="N73" s="62">
        <f t="shared" si="9"/>
        <v>0</v>
      </c>
      <c r="O73" s="63">
        <f t="shared" si="10"/>
        <v>0.83716132990868664</v>
      </c>
      <c r="P73" s="61">
        <v>0.25409004637221572</v>
      </c>
      <c r="Q73" s="66">
        <f t="shared" si="6"/>
        <v>10.818840014911954</v>
      </c>
      <c r="R73" s="67">
        <f t="shared" si="11"/>
        <v>2.2318053047227924</v>
      </c>
      <c r="T73" s="69"/>
      <c r="U73" s="70"/>
    </row>
    <row r="74" spans="1:21" x14ac:dyDescent="0.2">
      <c r="A74" s="58">
        <v>10231</v>
      </c>
      <c r="B74" s="59" t="s">
        <v>196</v>
      </c>
      <c r="C74" s="60">
        <v>61.0400019406393</v>
      </c>
      <c r="D74" s="61">
        <v>0</v>
      </c>
      <c r="E74" s="62">
        <v>0</v>
      </c>
      <c r="F74" s="63">
        <v>4.4187214611872143</v>
      </c>
      <c r="G74" s="62">
        <v>0</v>
      </c>
      <c r="H74" s="63">
        <v>0</v>
      </c>
      <c r="I74" s="64">
        <v>0</v>
      </c>
      <c r="J74" s="65">
        <f t="shared" si="7"/>
        <v>56.621280479452082</v>
      </c>
      <c r="K74" s="60">
        <v>36.658999999999999</v>
      </c>
      <c r="L74" s="62">
        <f t="shared" si="8"/>
        <v>0</v>
      </c>
      <c r="M74" s="62">
        <v>6.7507896499999992E-3</v>
      </c>
      <c r="N74" s="62">
        <f t="shared" si="9"/>
        <v>0</v>
      </c>
      <c r="O74" s="63">
        <f t="shared" si="10"/>
        <v>4.9905701198630208</v>
      </c>
      <c r="P74" s="61">
        <v>1.0018653108793873</v>
      </c>
      <c r="Q74" s="66">
        <f t="shared" si="6"/>
        <v>42.658186220392409</v>
      </c>
      <c r="R74" s="67">
        <f t="shared" si="11"/>
        <v>13.963094259059673</v>
      </c>
      <c r="T74" s="69"/>
      <c r="U74" s="70"/>
    </row>
    <row r="75" spans="1:21" x14ac:dyDescent="0.2">
      <c r="A75" s="58">
        <v>10234</v>
      </c>
      <c r="B75" s="59" t="s">
        <v>197</v>
      </c>
      <c r="C75" s="60">
        <v>71.425697374429205</v>
      </c>
      <c r="D75" s="61">
        <v>0</v>
      </c>
      <c r="E75" s="62">
        <v>0</v>
      </c>
      <c r="F75" s="63">
        <v>0</v>
      </c>
      <c r="G75" s="62">
        <v>0</v>
      </c>
      <c r="H75" s="63">
        <v>0</v>
      </c>
      <c r="I75" s="64">
        <v>0</v>
      </c>
      <c r="J75" s="65">
        <f t="shared" si="7"/>
        <v>71.425697374429205</v>
      </c>
      <c r="K75" s="60">
        <v>50.999000000000002</v>
      </c>
      <c r="L75" s="62">
        <f t="shared" si="8"/>
        <v>0</v>
      </c>
      <c r="M75" s="62">
        <v>0.1379036841136986</v>
      </c>
      <c r="N75" s="62">
        <f t="shared" si="9"/>
        <v>0</v>
      </c>
      <c r="O75" s="63">
        <f t="shared" si="10"/>
        <v>5.1066743436073008</v>
      </c>
      <c r="P75" s="61">
        <v>1.3526996277014836</v>
      </c>
      <c r="Q75" s="66">
        <f t="shared" si="6"/>
        <v>57.596277655422483</v>
      </c>
      <c r="R75" s="67">
        <f t="shared" si="11"/>
        <v>13.829419719006722</v>
      </c>
      <c r="T75" s="69"/>
      <c r="U75" s="70"/>
    </row>
    <row r="76" spans="1:21" x14ac:dyDescent="0.2">
      <c r="A76" s="58">
        <v>10235</v>
      </c>
      <c r="B76" s="59" t="s">
        <v>198</v>
      </c>
      <c r="C76" s="60">
        <v>30.712754223744302</v>
      </c>
      <c r="D76" s="61">
        <v>0</v>
      </c>
      <c r="E76" s="62">
        <v>0</v>
      </c>
      <c r="F76" s="63">
        <v>0</v>
      </c>
      <c r="G76" s="62">
        <v>0</v>
      </c>
      <c r="H76" s="63">
        <v>0</v>
      </c>
      <c r="I76" s="64">
        <v>0</v>
      </c>
      <c r="J76" s="65">
        <f t="shared" si="7"/>
        <v>30.712754223744302</v>
      </c>
      <c r="K76" s="60">
        <v>33.113</v>
      </c>
      <c r="L76" s="62">
        <f t="shared" si="8"/>
        <v>-2.4002457762556979</v>
      </c>
      <c r="M76" s="62">
        <v>0</v>
      </c>
      <c r="N76" s="62">
        <f t="shared" si="9"/>
        <v>0</v>
      </c>
      <c r="O76" s="63">
        <f t="shared" si="10"/>
        <v>0</v>
      </c>
      <c r="P76" s="61">
        <v>0.7386644424305574</v>
      </c>
      <c r="Q76" s="66">
        <f t="shared" si="6"/>
        <v>31.45141866617486</v>
      </c>
      <c r="R76" s="67">
        <f t="shared" si="11"/>
        <v>-0.73866444243055795</v>
      </c>
      <c r="T76" s="69"/>
      <c r="U76" s="70"/>
    </row>
    <row r="77" spans="1:21" x14ac:dyDescent="0.2">
      <c r="A77" s="58">
        <v>10236</v>
      </c>
      <c r="B77" s="59" t="s">
        <v>85</v>
      </c>
      <c r="C77" s="60">
        <v>30.646000000000001</v>
      </c>
      <c r="D77" s="61">
        <v>0</v>
      </c>
      <c r="E77" s="62">
        <v>0</v>
      </c>
      <c r="F77" s="63">
        <v>0</v>
      </c>
      <c r="G77" s="62">
        <v>0.13242009132420091</v>
      </c>
      <c r="H77" s="63">
        <v>0</v>
      </c>
      <c r="I77" s="64">
        <v>0</v>
      </c>
      <c r="J77" s="65">
        <f t="shared" si="7"/>
        <v>30.513579908675801</v>
      </c>
      <c r="K77" s="60">
        <v>29.103000000000002</v>
      </c>
      <c r="L77" s="62">
        <f t="shared" si="8"/>
        <v>0</v>
      </c>
      <c r="M77" s="62">
        <v>0</v>
      </c>
      <c r="N77" s="62">
        <f t="shared" si="9"/>
        <v>0</v>
      </c>
      <c r="O77" s="63">
        <f t="shared" si="10"/>
        <v>0.35264497716894994</v>
      </c>
      <c r="P77" s="61">
        <v>0.70843003577555341</v>
      </c>
      <c r="Q77" s="66">
        <f t="shared" si="6"/>
        <v>30.164075012944505</v>
      </c>
      <c r="R77" s="67">
        <f t="shared" si="11"/>
        <v>0.34950489573129673</v>
      </c>
      <c r="T77" s="69"/>
      <c r="U77" s="70"/>
    </row>
    <row r="78" spans="1:21" x14ac:dyDescent="0.2">
      <c r="A78" s="58">
        <v>10237</v>
      </c>
      <c r="B78" s="59" t="s">
        <v>199</v>
      </c>
      <c r="C78" s="60">
        <v>115.976186872146</v>
      </c>
      <c r="D78" s="61">
        <v>0</v>
      </c>
      <c r="E78" s="62">
        <v>0</v>
      </c>
      <c r="F78" s="63">
        <v>1.1896118721461186</v>
      </c>
      <c r="G78" s="62">
        <v>0</v>
      </c>
      <c r="H78" s="63">
        <v>0</v>
      </c>
      <c r="I78" s="64">
        <v>0</v>
      </c>
      <c r="J78" s="65">
        <f t="shared" si="7"/>
        <v>114.78657499999989</v>
      </c>
      <c r="K78" s="60">
        <v>113.732</v>
      </c>
      <c r="L78" s="62">
        <f t="shared" si="8"/>
        <v>0</v>
      </c>
      <c r="M78" s="62">
        <v>0.10272450872899544</v>
      </c>
      <c r="N78" s="62">
        <f t="shared" si="9"/>
        <v>0</v>
      </c>
      <c r="O78" s="63">
        <f t="shared" si="10"/>
        <v>0.26364374999997153</v>
      </c>
      <c r="P78" s="61">
        <v>2.7441500999253434</v>
      </c>
      <c r="Q78" s="66">
        <f t="shared" si="6"/>
        <v>116.84251835865432</v>
      </c>
      <c r="R78" s="67">
        <f t="shared" si="11"/>
        <v>-2.0559433586544316</v>
      </c>
      <c r="T78" s="69"/>
      <c r="U78" s="70"/>
    </row>
    <row r="79" spans="1:21" x14ac:dyDescent="0.2">
      <c r="A79" s="58">
        <v>10239</v>
      </c>
      <c r="B79" s="59" t="s">
        <v>86</v>
      </c>
      <c r="C79" s="60">
        <v>16.863</v>
      </c>
      <c r="D79" s="61">
        <v>0</v>
      </c>
      <c r="E79" s="62">
        <v>0</v>
      </c>
      <c r="F79" s="63">
        <v>0</v>
      </c>
      <c r="G79" s="62">
        <v>0</v>
      </c>
      <c r="H79" s="63">
        <v>0</v>
      </c>
      <c r="I79" s="64">
        <v>0</v>
      </c>
      <c r="J79" s="65">
        <f t="shared" si="7"/>
        <v>16.863</v>
      </c>
      <c r="K79" s="60">
        <v>14</v>
      </c>
      <c r="L79" s="62">
        <f t="shared" si="8"/>
        <v>0</v>
      </c>
      <c r="M79" s="62">
        <v>0</v>
      </c>
      <c r="N79" s="62">
        <f t="shared" si="9"/>
        <v>0</v>
      </c>
      <c r="O79" s="63">
        <f t="shared" si="10"/>
        <v>0.71574999999999989</v>
      </c>
      <c r="P79" s="61">
        <v>0.35392466561314717</v>
      </c>
      <c r="Q79" s="66">
        <f t="shared" si="6"/>
        <v>15.069674665613148</v>
      </c>
      <c r="R79" s="67">
        <f t="shared" si="11"/>
        <v>1.7933253343868518</v>
      </c>
      <c r="T79" s="69"/>
      <c r="U79" s="70"/>
    </row>
    <row r="80" spans="1:21" x14ac:dyDescent="0.2">
      <c r="A80" s="58">
        <v>10242</v>
      </c>
      <c r="B80" s="59" t="s">
        <v>200</v>
      </c>
      <c r="C80" s="60">
        <v>9.5656842465753407</v>
      </c>
      <c r="D80" s="61">
        <v>0</v>
      </c>
      <c r="E80" s="62">
        <v>0</v>
      </c>
      <c r="F80" s="63">
        <v>0</v>
      </c>
      <c r="G80" s="62">
        <v>0</v>
      </c>
      <c r="H80" s="63">
        <v>0</v>
      </c>
      <c r="I80" s="64">
        <v>0</v>
      </c>
      <c r="J80" s="65">
        <f t="shared" si="7"/>
        <v>9.5656842465753407</v>
      </c>
      <c r="K80" s="60">
        <v>9.5259999999999998</v>
      </c>
      <c r="L80" s="62">
        <f t="shared" si="8"/>
        <v>0</v>
      </c>
      <c r="M80" s="62">
        <v>0</v>
      </c>
      <c r="N80" s="62">
        <f t="shared" si="9"/>
        <v>0</v>
      </c>
      <c r="O80" s="63">
        <f t="shared" si="10"/>
        <v>9.9210616438352162E-3</v>
      </c>
      <c r="P80" s="61">
        <v>0.22934595063490898</v>
      </c>
      <c r="Q80" s="66">
        <f t="shared" si="6"/>
        <v>9.7652670122787448</v>
      </c>
      <c r="R80" s="67">
        <f t="shared" si="11"/>
        <v>-0.19958276570340416</v>
      </c>
      <c r="T80" s="69"/>
      <c r="U80" s="70"/>
    </row>
    <row r="81" spans="1:21" x14ac:dyDescent="0.2">
      <c r="A81" s="58">
        <v>10244</v>
      </c>
      <c r="B81" s="59" t="s">
        <v>28</v>
      </c>
      <c r="C81" s="60">
        <v>112.000828196347</v>
      </c>
      <c r="D81" s="61">
        <v>0</v>
      </c>
      <c r="E81" s="62">
        <v>0</v>
      </c>
      <c r="F81" s="63">
        <v>1.0300228310502284</v>
      </c>
      <c r="G81" s="62">
        <v>0.74771689497716898</v>
      </c>
      <c r="H81" s="63">
        <v>2.5729452054794519</v>
      </c>
      <c r="I81" s="64">
        <v>0</v>
      </c>
      <c r="J81" s="65">
        <f t="shared" si="7"/>
        <v>107.65014326484015</v>
      </c>
      <c r="K81" s="60">
        <v>86.037999999999997</v>
      </c>
      <c r="L81" s="62">
        <f t="shared" si="8"/>
        <v>0</v>
      </c>
      <c r="M81" s="62">
        <v>3.4288371550000002E-2</v>
      </c>
      <c r="N81" s="62">
        <f t="shared" si="9"/>
        <v>1.286472602739726</v>
      </c>
      <c r="O81" s="63">
        <f t="shared" si="10"/>
        <v>5.4030358162100391</v>
      </c>
      <c r="P81" s="61">
        <v>2.2309897837862382</v>
      </c>
      <c r="Q81" s="66">
        <f t="shared" si="6"/>
        <v>94.992786574286001</v>
      </c>
      <c r="R81" s="67">
        <f t="shared" si="11"/>
        <v>12.657356690554153</v>
      </c>
      <c r="T81" s="69"/>
      <c r="U81" s="70"/>
    </row>
    <row r="82" spans="1:21" x14ac:dyDescent="0.2">
      <c r="A82" s="58">
        <v>10246</v>
      </c>
      <c r="B82" s="59" t="s">
        <v>201</v>
      </c>
      <c r="C82" s="60">
        <v>10.191738127853901</v>
      </c>
      <c r="D82" s="61">
        <v>0</v>
      </c>
      <c r="E82" s="62">
        <v>0</v>
      </c>
      <c r="F82" s="63">
        <v>0.54189497716894974</v>
      </c>
      <c r="G82" s="62">
        <v>0</v>
      </c>
      <c r="H82" s="63">
        <v>0</v>
      </c>
      <c r="I82" s="64">
        <v>0</v>
      </c>
      <c r="J82" s="65">
        <f t="shared" si="7"/>
        <v>9.6498431506849514</v>
      </c>
      <c r="K82" s="60">
        <v>8.9870000000000001</v>
      </c>
      <c r="L82" s="62">
        <f t="shared" si="8"/>
        <v>0</v>
      </c>
      <c r="M82" s="62">
        <v>1.0999999999999999E-9</v>
      </c>
      <c r="N82" s="62">
        <f t="shared" si="9"/>
        <v>0</v>
      </c>
      <c r="O82" s="63">
        <f t="shared" si="10"/>
        <v>0.16571078767123781</v>
      </c>
      <c r="P82" s="61">
        <v>0.22012946029728042</v>
      </c>
      <c r="Q82" s="66">
        <f t="shared" si="6"/>
        <v>9.3728402490685188</v>
      </c>
      <c r="R82" s="67">
        <f t="shared" si="11"/>
        <v>0.2770029016164326</v>
      </c>
      <c r="T82" s="69"/>
      <c r="U82" s="70"/>
    </row>
    <row r="83" spans="1:21" x14ac:dyDescent="0.2">
      <c r="A83" s="58">
        <v>10247</v>
      </c>
      <c r="B83" s="59" t="s">
        <v>202</v>
      </c>
      <c r="C83" s="60">
        <v>83.376710159817307</v>
      </c>
      <c r="D83" s="61">
        <v>0</v>
      </c>
      <c r="E83" s="62">
        <v>0</v>
      </c>
      <c r="F83" s="63">
        <v>0.65627853881278542</v>
      </c>
      <c r="G83" s="62">
        <v>0</v>
      </c>
      <c r="H83" s="63">
        <v>1.7284246575342466</v>
      </c>
      <c r="I83" s="64">
        <v>0</v>
      </c>
      <c r="J83" s="65">
        <f t="shared" si="7"/>
        <v>80.992006963470274</v>
      </c>
      <c r="K83" s="60">
        <v>79.929000000000002</v>
      </c>
      <c r="L83" s="62">
        <f t="shared" si="8"/>
        <v>0</v>
      </c>
      <c r="M83" s="62">
        <v>0.23061181575000009</v>
      </c>
      <c r="N83" s="62">
        <f t="shared" si="9"/>
        <v>0.86421232876712328</v>
      </c>
      <c r="O83" s="63">
        <f t="shared" si="10"/>
        <v>0.26575174086756803</v>
      </c>
      <c r="P83" s="61">
        <v>1.9550743905726402</v>
      </c>
      <c r="Q83" s="66">
        <f t="shared" si="6"/>
        <v>83.244650275957326</v>
      </c>
      <c r="R83" s="67">
        <f t="shared" si="11"/>
        <v>-2.2526433124870522</v>
      </c>
      <c r="T83" s="69"/>
      <c r="U83" s="70"/>
    </row>
    <row r="84" spans="1:21" x14ac:dyDescent="0.2">
      <c r="A84" s="58">
        <v>10256</v>
      </c>
      <c r="B84" s="59" t="s">
        <v>203</v>
      </c>
      <c r="C84" s="60">
        <v>55.875512100456604</v>
      </c>
      <c r="D84" s="61">
        <v>0</v>
      </c>
      <c r="E84" s="62">
        <v>0</v>
      </c>
      <c r="F84" s="63">
        <v>0</v>
      </c>
      <c r="G84" s="62">
        <v>0.52180365296803655</v>
      </c>
      <c r="H84" s="63">
        <v>0</v>
      </c>
      <c r="I84" s="64">
        <v>0</v>
      </c>
      <c r="J84" s="65">
        <f t="shared" si="7"/>
        <v>55.353708447488565</v>
      </c>
      <c r="K84" s="60">
        <v>46.746000000000002</v>
      </c>
      <c r="L84" s="62">
        <f t="shared" si="8"/>
        <v>0</v>
      </c>
      <c r="M84" s="62">
        <v>0</v>
      </c>
      <c r="N84" s="62">
        <f t="shared" si="9"/>
        <v>0</v>
      </c>
      <c r="O84" s="63">
        <f t="shared" si="10"/>
        <v>2.1519271118721406</v>
      </c>
      <c r="P84" s="61">
        <v>1.1760312931549797</v>
      </c>
      <c r="Q84" s="66">
        <f t="shared" si="6"/>
        <v>50.07395840502712</v>
      </c>
      <c r="R84" s="67">
        <f t="shared" si="11"/>
        <v>5.2797500424614441</v>
      </c>
      <c r="T84" s="69"/>
      <c r="U84" s="70"/>
    </row>
    <row r="85" spans="1:21" x14ac:dyDescent="0.2">
      <c r="A85" s="58">
        <v>10258</v>
      </c>
      <c r="B85" s="59" t="s">
        <v>204</v>
      </c>
      <c r="C85" s="60">
        <v>53.682542694063898</v>
      </c>
      <c r="D85" s="61">
        <v>0</v>
      </c>
      <c r="E85" s="62">
        <v>0</v>
      </c>
      <c r="F85" s="63">
        <v>9.7512557077625566</v>
      </c>
      <c r="G85" s="62">
        <v>0</v>
      </c>
      <c r="H85" s="63">
        <v>0</v>
      </c>
      <c r="I85" s="64">
        <v>7.5</v>
      </c>
      <c r="J85" s="65">
        <f>IF((C85+D85-SUM(E85:H85)+I85)&gt;0,C85+D85-SUM(E85:H85)+I85,0)</f>
        <v>51.431286986301345</v>
      </c>
      <c r="K85" s="60">
        <v>37.951999999999998</v>
      </c>
      <c r="L85" s="62">
        <f t="shared" si="8"/>
        <v>0</v>
      </c>
      <c r="M85" s="62">
        <v>3.4852810849999999E-2</v>
      </c>
      <c r="N85" s="62">
        <f t="shared" si="9"/>
        <v>0</v>
      </c>
      <c r="O85" s="63">
        <f t="shared" si="10"/>
        <v>3.3698217465753366</v>
      </c>
      <c r="P85" s="61">
        <v>0.99465859460839678</v>
      </c>
      <c r="Q85" s="66">
        <f t="shared" si="6"/>
        <v>42.351333152033732</v>
      </c>
      <c r="R85" s="67">
        <f t="shared" si="11"/>
        <v>9.0799538342676129</v>
      </c>
      <c r="T85" s="69"/>
      <c r="U85" s="70"/>
    </row>
    <row r="86" spans="1:21" x14ac:dyDescent="0.2">
      <c r="A86" s="58">
        <v>10259</v>
      </c>
      <c r="B86" s="59" t="s">
        <v>205</v>
      </c>
      <c r="C86" s="60">
        <v>32.875030707762598</v>
      </c>
      <c r="D86" s="61">
        <v>0</v>
      </c>
      <c r="E86" s="62">
        <v>0</v>
      </c>
      <c r="F86" s="63">
        <v>0</v>
      </c>
      <c r="G86" s="62">
        <v>0</v>
      </c>
      <c r="H86" s="63">
        <v>0</v>
      </c>
      <c r="I86" s="64">
        <v>0</v>
      </c>
      <c r="J86" s="65">
        <f t="shared" si="7"/>
        <v>32.875030707762598</v>
      </c>
      <c r="K86" s="60">
        <v>26.984999999999999</v>
      </c>
      <c r="L86" s="62">
        <f t="shared" si="8"/>
        <v>0</v>
      </c>
      <c r="M86" s="62">
        <v>0</v>
      </c>
      <c r="N86" s="62">
        <f t="shared" si="9"/>
        <v>0</v>
      </c>
      <c r="O86" s="63">
        <f t="shared" si="10"/>
        <v>1.4725076769406495</v>
      </c>
      <c r="P86" s="61">
        <v>0.68442409586631925</v>
      </c>
      <c r="Q86" s="66">
        <f t="shared" si="6"/>
        <v>29.14193177280697</v>
      </c>
      <c r="R86" s="67">
        <f t="shared" si="11"/>
        <v>3.7330989349556276</v>
      </c>
      <c r="T86" s="69"/>
      <c r="U86" s="70"/>
    </row>
    <row r="87" spans="1:21" x14ac:dyDescent="0.2">
      <c r="A87" s="58">
        <v>10260</v>
      </c>
      <c r="B87" s="59" t="s">
        <v>206</v>
      </c>
      <c r="C87" s="60">
        <v>27.595265410958898</v>
      </c>
      <c r="D87" s="61">
        <v>0</v>
      </c>
      <c r="E87" s="62">
        <v>0</v>
      </c>
      <c r="F87" s="63">
        <v>0</v>
      </c>
      <c r="G87" s="62">
        <v>0</v>
      </c>
      <c r="H87" s="63">
        <v>0</v>
      </c>
      <c r="I87" s="64">
        <v>0</v>
      </c>
      <c r="J87" s="65">
        <f t="shared" si="7"/>
        <v>27.595265410958898</v>
      </c>
      <c r="K87" s="60">
        <v>26.285</v>
      </c>
      <c r="L87" s="62">
        <f t="shared" si="8"/>
        <v>0</v>
      </c>
      <c r="M87" s="62">
        <v>0</v>
      </c>
      <c r="N87" s="62">
        <f t="shared" si="9"/>
        <v>0</v>
      </c>
      <c r="O87" s="63">
        <f t="shared" si="10"/>
        <v>0.32756635273972456</v>
      </c>
      <c r="P87" s="61">
        <v>0.64005189320973099</v>
      </c>
      <c r="Q87" s="66">
        <f t="shared" si="6"/>
        <v>27.252618245949456</v>
      </c>
      <c r="R87" s="67">
        <f t="shared" si="11"/>
        <v>0.34264716500944203</v>
      </c>
      <c r="T87" s="69"/>
      <c r="U87" s="70"/>
    </row>
    <row r="88" spans="1:21" x14ac:dyDescent="0.2">
      <c r="A88" s="58">
        <v>10273</v>
      </c>
      <c r="B88" s="59" t="s">
        <v>207</v>
      </c>
      <c r="C88" s="60">
        <v>7.8589368721461197</v>
      </c>
      <c r="D88" s="61">
        <v>0</v>
      </c>
      <c r="E88" s="62">
        <v>0</v>
      </c>
      <c r="F88" s="63">
        <v>0</v>
      </c>
      <c r="G88" s="62">
        <v>0</v>
      </c>
      <c r="H88" s="63">
        <v>0</v>
      </c>
      <c r="I88" s="64">
        <v>0</v>
      </c>
      <c r="J88" s="65">
        <f t="shared" si="7"/>
        <v>7.8589368721461197</v>
      </c>
      <c r="K88" s="60">
        <v>5.8810000000000002</v>
      </c>
      <c r="L88" s="62">
        <f t="shared" si="8"/>
        <v>0</v>
      </c>
      <c r="M88" s="62">
        <v>0</v>
      </c>
      <c r="N88" s="62">
        <f t="shared" si="9"/>
        <v>0</v>
      </c>
      <c r="O88" s="63">
        <f t="shared" si="10"/>
        <v>0.49448421803652987</v>
      </c>
      <c r="P88" s="61">
        <v>0.15333510830168195</v>
      </c>
      <c r="Q88" s="66">
        <f t="shared" si="6"/>
        <v>6.5288193263382119</v>
      </c>
      <c r="R88" s="67">
        <f t="shared" si="11"/>
        <v>1.3301175458079078</v>
      </c>
      <c r="T88" s="69"/>
      <c r="U88" s="70"/>
    </row>
    <row r="89" spans="1:21" x14ac:dyDescent="0.2">
      <c r="A89" s="58">
        <v>10278</v>
      </c>
      <c r="B89" s="59" t="s">
        <v>33</v>
      </c>
      <c r="C89" s="60">
        <v>47.003</v>
      </c>
      <c r="D89" s="61">
        <v>0</v>
      </c>
      <c r="E89" s="62">
        <v>0</v>
      </c>
      <c r="F89" s="63">
        <v>1.5296803652968036</v>
      </c>
      <c r="G89" s="62">
        <v>0</v>
      </c>
      <c r="H89" s="63">
        <v>0</v>
      </c>
      <c r="I89" s="64">
        <v>0</v>
      </c>
      <c r="J89" s="65">
        <f t="shared" si="7"/>
        <v>45.473319634703195</v>
      </c>
      <c r="K89" s="60">
        <v>35.927999999999997</v>
      </c>
      <c r="L89" s="62">
        <f t="shared" si="8"/>
        <v>0</v>
      </c>
      <c r="M89" s="62">
        <v>3.5353184360730587E-2</v>
      </c>
      <c r="N89" s="62">
        <f t="shared" si="9"/>
        <v>0</v>
      </c>
      <c r="O89" s="63">
        <f t="shared" si="10"/>
        <v>2.3863299086757994</v>
      </c>
      <c r="P89" s="61">
        <v>0.92233822707460478</v>
      </c>
      <c r="Q89" s="66">
        <f t="shared" si="6"/>
        <v>39.272021320111129</v>
      </c>
      <c r="R89" s="67">
        <f t="shared" si="11"/>
        <v>6.2012983145920657</v>
      </c>
      <c r="T89" s="69"/>
      <c r="U89" s="70"/>
    </row>
    <row r="90" spans="1:21" x14ac:dyDescent="0.2">
      <c r="A90" s="58">
        <v>10279</v>
      </c>
      <c r="B90" s="59" t="s">
        <v>208</v>
      </c>
      <c r="C90" s="60">
        <v>144.81289178082201</v>
      </c>
      <c r="D90" s="61">
        <v>0</v>
      </c>
      <c r="E90" s="62">
        <v>115.191</v>
      </c>
      <c r="F90" s="63">
        <v>4.404452054794521</v>
      </c>
      <c r="G90" s="62">
        <v>0</v>
      </c>
      <c r="H90" s="63">
        <v>0</v>
      </c>
      <c r="I90" s="64">
        <v>0</v>
      </c>
      <c r="J90" s="65">
        <f t="shared" si="7"/>
        <v>25.217439726027493</v>
      </c>
      <c r="K90" s="60">
        <v>64.765000000000001</v>
      </c>
      <c r="L90" s="62">
        <f t="shared" si="8"/>
        <v>-39.547560273972508</v>
      </c>
      <c r="M90" s="62">
        <v>0.11576818005000004</v>
      </c>
      <c r="N90" s="62">
        <f t="shared" si="9"/>
        <v>0</v>
      </c>
      <c r="O90" s="63">
        <f t="shared" si="10"/>
        <v>0</v>
      </c>
      <c r="P90" s="61">
        <v>0.60928237684567987</v>
      </c>
      <c r="Q90" s="66">
        <f t="shared" si="6"/>
        <v>25.942490282923174</v>
      </c>
      <c r="R90" s="67">
        <f t="shared" si="11"/>
        <v>-0.7250505568956811</v>
      </c>
      <c r="T90" s="69"/>
      <c r="U90" s="70"/>
    </row>
    <row r="91" spans="1:21" x14ac:dyDescent="0.2">
      <c r="A91" s="58">
        <v>10284</v>
      </c>
      <c r="B91" s="59" t="s">
        <v>209</v>
      </c>
      <c r="C91" s="60">
        <v>12.10499931506846</v>
      </c>
      <c r="D91" s="61">
        <v>0</v>
      </c>
      <c r="E91" s="62">
        <v>0</v>
      </c>
      <c r="F91" s="63">
        <v>0</v>
      </c>
      <c r="G91" s="62">
        <v>0</v>
      </c>
      <c r="H91" s="63">
        <v>0</v>
      </c>
      <c r="I91" s="64">
        <v>0</v>
      </c>
      <c r="J91" s="65">
        <f t="shared" si="7"/>
        <v>12.10499931506846</v>
      </c>
      <c r="K91" s="60">
        <v>10.706</v>
      </c>
      <c r="L91" s="62">
        <f t="shared" si="8"/>
        <v>0</v>
      </c>
      <c r="M91" s="62">
        <v>0</v>
      </c>
      <c r="N91" s="62">
        <f t="shared" si="9"/>
        <v>0</v>
      </c>
      <c r="O91" s="63">
        <f t="shared" si="10"/>
        <v>0.34974982876711502</v>
      </c>
      <c r="P91" s="61">
        <v>0.26589895596547986</v>
      </c>
      <c r="Q91" s="66">
        <f t="shared" si="6"/>
        <v>11.321648784732593</v>
      </c>
      <c r="R91" s="67">
        <f t="shared" si="11"/>
        <v>0.78335053033586632</v>
      </c>
      <c r="T91" s="69"/>
      <c r="U91" s="70"/>
    </row>
    <row r="92" spans="1:21" x14ac:dyDescent="0.2">
      <c r="A92" s="58">
        <v>10285</v>
      </c>
      <c r="B92" s="59" t="s">
        <v>87</v>
      </c>
      <c r="C92" s="60">
        <v>8.8369999999999997</v>
      </c>
      <c r="D92" s="61">
        <v>0</v>
      </c>
      <c r="E92" s="62">
        <v>0</v>
      </c>
      <c r="F92" s="63">
        <v>0</v>
      </c>
      <c r="G92" s="62">
        <v>0</v>
      </c>
      <c r="H92" s="63">
        <v>0</v>
      </c>
      <c r="I92" s="64">
        <v>0</v>
      </c>
      <c r="J92" s="65">
        <f t="shared" si="7"/>
        <v>8.8369999999999997</v>
      </c>
      <c r="K92" s="60">
        <v>6.5289999999999999</v>
      </c>
      <c r="L92" s="62">
        <f t="shared" si="8"/>
        <v>0</v>
      </c>
      <c r="M92" s="62">
        <v>0</v>
      </c>
      <c r="N92" s="62">
        <f t="shared" si="9"/>
        <v>0</v>
      </c>
      <c r="O92" s="63">
        <f t="shared" si="10"/>
        <v>0.57699999999999996</v>
      </c>
      <c r="P92" s="61">
        <v>0.17090455286662409</v>
      </c>
      <c r="Q92" s="66">
        <f t="shared" si="6"/>
        <v>7.2769045528666236</v>
      </c>
      <c r="R92" s="67">
        <f t="shared" si="11"/>
        <v>1.5600954471333761</v>
      </c>
      <c r="T92" s="69"/>
      <c r="U92" s="70"/>
    </row>
    <row r="93" spans="1:21" x14ac:dyDescent="0.2">
      <c r="A93" s="58">
        <v>10286</v>
      </c>
      <c r="B93" s="59" t="s">
        <v>210</v>
      </c>
      <c r="C93" s="60">
        <v>77.533968036529686</v>
      </c>
      <c r="D93" s="61">
        <v>0</v>
      </c>
      <c r="E93" s="62">
        <v>0</v>
      </c>
      <c r="F93" s="63">
        <v>24.130707762557076</v>
      </c>
      <c r="G93" s="62">
        <v>0</v>
      </c>
      <c r="H93" s="63">
        <v>0</v>
      </c>
      <c r="I93" s="64">
        <v>0</v>
      </c>
      <c r="J93" s="65">
        <f t="shared" si="7"/>
        <v>53.403260273972606</v>
      </c>
      <c r="K93" s="60">
        <v>45.911000000000001</v>
      </c>
      <c r="L93" s="62">
        <f t="shared" si="8"/>
        <v>0</v>
      </c>
      <c r="M93" s="62">
        <v>0.16880236330000001</v>
      </c>
      <c r="N93" s="62">
        <f t="shared" si="9"/>
        <v>0</v>
      </c>
      <c r="O93" s="63">
        <f t="shared" si="10"/>
        <v>1.8730650684931511</v>
      </c>
      <c r="P93" s="61">
        <v>1.1533019092461456</v>
      </c>
      <c r="Q93" s="66">
        <f t="shared" si="6"/>
        <v>49.106169341039298</v>
      </c>
      <c r="R93" s="67">
        <f t="shared" si="11"/>
        <v>4.2970909329333082</v>
      </c>
      <c r="T93" s="69"/>
      <c r="U93" s="70"/>
    </row>
    <row r="94" spans="1:21" x14ac:dyDescent="0.2">
      <c r="A94" s="58">
        <v>10288</v>
      </c>
      <c r="B94" s="59" t="s">
        <v>88</v>
      </c>
      <c r="C94" s="60">
        <v>27.009</v>
      </c>
      <c r="D94" s="61">
        <v>0</v>
      </c>
      <c r="E94" s="62">
        <v>0</v>
      </c>
      <c r="F94" s="63">
        <v>6.6210045662100453E-2</v>
      </c>
      <c r="G94" s="62">
        <v>0</v>
      </c>
      <c r="H94" s="63">
        <v>0</v>
      </c>
      <c r="I94" s="64">
        <v>0</v>
      </c>
      <c r="J94" s="65">
        <f t="shared" si="7"/>
        <v>26.942789954337901</v>
      </c>
      <c r="K94" s="60">
        <v>24.734000000000002</v>
      </c>
      <c r="L94" s="62">
        <f t="shared" si="8"/>
        <v>0</v>
      </c>
      <c r="M94" s="62">
        <v>2.4140584322251482E-2</v>
      </c>
      <c r="N94" s="62">
        <f t="shared" si="9"/>
        <v>0</v>
      </c>
      <c r="O94" s="63">
        <f t="shared" si="10"/>
        <v>0.5521974885844747</v>
      </c>
      <c r="P94" s="61">
        <v>0.60873234045218361</v>
      </c>
      <c r="Q94" s="66">
        <f t="shared" si="6"/>
        <v>25.919070413358909</v>
      </c>
      <c r="R94" s="67">
        <f t="shared" si="11"/>
        <v>1.0237195409789912</v>
      </c>
      <c r="T94" s="69"/>
      <c r="U94" s="70"/>
    </row>
    <row r="95" spans="1:21" x14ac:dyDescent="0.2">
      <c r="A95" s="58">
        <v>10291</v>
      </c>
      <c r="B95" s="59" t="s">
        <v>211</v>
      </c>
      <c r="C95" s="60">
        <v>81.807346575342507</v>
      </c>
      <c r="D95" s="61">
        <v>0</v>
      </c>
      <c r="E95" s="62">
        <v>0</v>
      </c>
      <c r="F95" s="63">
        <v>0</v>
      </c>
      <c r="G95" s="62">
        <v>0</v>
      </c>
      <c r="H95" s="63">
        <v>0</v>
      </c>
      <c r="I95" s="64">
        <v>0</v>
      </c>
      <c r="J95" s="65">
        <f t="shared" si="7"/>
        <v>81.807346575342507</v>
      </c>
      <c r="K95" s="60">
        <v>79.182000000000002</v>
      </c>
      <c r="L95" s="62">
        <f t="shared" si="8"/>
        <v>0</v>
      </c>
      <c r="M95" s="62">
        <v>0</v>
      </c>
      <c r="N95" s="62">
        <f t="shared" si="9"/>
        <v>0</v>
      </c>
      <c r="O95" s="63">
        <f t="shared" si="10"/>
        <v>0.65633664383562618</v>
      </c>
      <c r="P95" s="61">
        <v>1.920171014034582</v>
      </c>
      <c r="Q95" s="66">
        <f t="shared" si="6"/>
        <v>81.758507657870211</v>
      </c>
      <c r="R95" s="67">
        <f t="shared" si="11"/>
        <v>4.8838917472295407E-2</v>
      </c>
      <c r="T95" s="69"/>
      <c r="U95" s="70"/>
    </row>
    <row r="96" spans="1:21" x14ac:dyDescent="0.2">
      <c r="A96" s="58">
        <v>10294</v>
      </c>
      <c r="B96" s="59" t="s">
        <v>212</v>
      </c>
      <c r="C96" s="60">
        <v>37.994881050228301</v>
      </c>
      <c r="D96" s="61">
        <v>0</v>
      </c>
      <c r="E96" s="62">
        <v>0</v>
      </c>
      <c r="F96" s="63">
        <v>0</v>
      </c>
      <c r="G96" s="62">
        <v>0</v>
      </c>
      <c r="H96" s="63">
        <v>0</v>
      </c>
      <c r="I96" s="64">
        <v>0</v>
      </c>
      <c r="J96" s="65">
        <f t="shared" si="7"/>
        <v>37.994881050228301</v>
      </c>
      <c r="K96" s="60">
        <v>36.326999999999998</v>
      </c>
      <c r="L96" s="62">
        <f t="shared" si="8"/>
        <v>0</v>
      </c>
      <c r="M96" s="62">
        <v>5.6239420450000001E-2</v>
      </c>
      <c r="N96" s="62">
        <f t="shared" si="9"/>
        <v>0</v>
      </c>
      <c r="O96" s="63">
        <f t="shared" si="10"/>
        <v>0.4169702625570757</v>
      </c>
      <c r="P96" s="61">
        <v>0.88507224616835545</v>
      </c>
      <c r="Q96" s="66">
        <f t="shared" si="6"/>
        <v>37.685281929175424</v>
      </c>
      <c r="R96" s="67">
        <f t="shared" si="11"/>
        <v>0.30959912105287657</v>
      </c>
      <c r="T96" s="69"/>
      <c r="U96" s="70"/>
    </row>
    <row r="97" spans="1:21" x14ac:dyDescent="0.2">
      <c r="A97" s="58">
        <v>10304</v>
      </c>
      <c r="B97" s="59" t="s">
        <v>213</v>
      </c>
      <c r="C97" s="60">
        <v>13.621837100456601</v>
      </c>
      <c r="D97" s="61">
        <v>0</v>
      </c>
      <c r="E97" s="62">
        <v>0</v>
      </c>
      <c r="F97" s="63">
        <v>0</v>
      </c>
      <c r="G97" s="62">
        <v>0</v>
      </c>
      <c r="H97" s="63">
        <v>0</v>
      </c>
      <c r="I97" s="64">
        <v>0</v>
      </c>
      <c r="J97" s="65">
        <f t="shared" si="7"/>
        <v>13.621837100456601</v>
      </c>
      <c r="K97" s="60">
        <v>14.068</v>
      </c>
      <c r="L97" s="62">
        <f t="shared" si="8"/>
        <v>-0.44616289954339905</v>
      </c>
      <c r="M97" s="62">
        <v>0</v>
      </c>
      <c r="N97" s="62">
        <f t="shared" si="9"/>
        <v>0</v>
      </c>
      <c r="O97" s="63">
        <f t="shared" si="10"/>
        <v>0</v>
      </c>
      <c r="P97" s="61">
        <v>0.3276152517415602</v>
      </c>
      <c r="Q97" s="66">
        <f t="shared" si="6"/>
        <v>13.949452352198161</v>
      </c>
      <c r="R97" s="67">
        <f t="shared" si="11"/>
        <v>-0.3276152517415607</v>
      </c>
      <c r="T97" s="69"/>
      <c r="U97" s="70"/>
    </row>
    <row r="98" spans="1:21" x14ac:dyDescent="0.2">
      <c r="A98" s="58">
        <v>10306</v>
      </c>
      <c r="B98" s="59" t="s">
        <v>214</v>
      </c>
      <c r="C98" s="60">
        <v>85.561999999999998</v>
      </c>
      <c r="D98" s="61">
        <v>0</v>
      </c>
      <c r="E98" s="62">
        <v>51.155999999999999</v>
      </c>
      <c r="F98" s="63">
        <v>29.999771689497717</v>
      </c>
      <c r="G98" s="62">
        <v>57.46</v>
      </c>
      <c r="H98" s="63">
        <v>0</v>
      </c>
      <c r="I98" s="64">
        <v>0</v>
      </c>
      <c r="J98" s="65">
        <f t="shared" si="7"/>
        <v>0</v>
      </c>
      <c r="K98" s="60">
        <v>25.768999999999998</v>
      </c>
      <c r="L98" s="62">
        <f t="shared" si="8"/>
        <v>-25.768999999999998</v>
      </c>
      <c r="M98" s="62">
        <v>3.1615541499999998E-3</v>
      </c>
      <c r="N98" s="62">
        <f t="shared" si="9"/>
        <v>0</v>
      </c>
      <c r="O98" s="63">
        <f t="shared" si="10"/>
        <v>0</v>
      </c>
      <c r="P98" s="61">
        <v>7.6037714377901754E-5</v>
      </c>
      <c r="Q98" s="66">
        <f t="shared" si="6"/>
        <v>3.2375918643779015E-3</v>
      </c>
      <c r="R98" s="67">
        <f t="shared" si="11"/>
        <v>-3.2375918643779015E-3</v>
      </c>
      <c r="T98" s="69"/>
      <c r="U98" s="70"/>
    </row>
    <row r="99" spans="1:21" x14ac:dyDescent="0.2">
      <c r="A99" s="58">
        <v>10307</v>
      </c>
      <c r="B99" s="59" t="s">
        <v>215</v>
      </c>
      <c r="C99" s="60">
        <v>74.482335616438405</v>
      </c>
      <c r="D99" s="61">
        <v>0</v>
      </c>
      <c r="E99" s="62">
        <v>0</v>
      </c>
      <c r="F99" s="63">
        <v>0</v>
      </c>
      <c r="G99" s="62">
        <v>0</v>
      </c>
      <c r="H99" s="63">
        <v>0</v>
      </c>
      <c r="I99" s="64">
        <v>0</v>
      </c>
      <c r="J99" s="65">
        <f t="shared" si="7"/>
        <v>74.482335616438405</v>
      </c>
      <c r="K99" s="60">
        <v>71.984999999999999</v>
      </c>
      <c r="L99" s="62">
        <f t="shared" si="8"/>
        <v>0</v>
      </c>
      <c r="M99" s="62">
        <v>0.29851517444269415</v>
      </c>
      <c r="N99" s="62">
        <f t="shared" si="9"/>
        <v>0</v>
      </c>
      <c r="O99" s="63">
        <f t="shared" si="10"/>
        <v>0.62433390410960143</v>
      </c>
      <c r="P99" s="61">
        <v>1.7534876649644378</v>
      </c>
      <c r="Q99" s="66">
        <f t="shared" ref="Q99:Q136" si="12">SUM(K99:P99)</f>
        <v>74.661336743516742</v>
      </c>
      <c r="R99" s="67">
        <f t="shared" si="11"/>
        <v>-0.17900112707833671</v>
      </c>
      <c r="T99" s="69"/>
      <c r="U99" s="70"/>
    </row>
    <row r="100" spans="1:21" x14ac:dyDescent="0.2">
      <c r="A100" s="58">
        <v>10326</v>
      </c>
      <c r="B100" s="59" t="s">
        <v>216</v>
      </c>
      <c r="C100" s="60">
        <v>22.648668150684902</v>
      </c>
      <c r="D100" s="61">
        <v>0</v>
      </c>
      <c r="E100" s="62">
        <v>0</v>
      </c>
      <c r="F100" s="63">
        <v>0</v>
      </c>
      <c r="G100" s="62">
        <v>0</v>
      </c>
      <c r="H100" s="63">
        <v>0</v>
      </c>
      <c r="I100" s="64">
        <v>0</v>
      </c>
      <c r="J100" s="65">
        <f t="shared" si="7"/>
        <v>22.648668150684902</v>
      </c>
      <c r="K100" s="60">
        <v>30.46</v>
      </c>
      <c r="L100" s="62">
        <f t="shared" si="8"/>
        <v>-7.8113318493150992</v>
      </c>
      <c r="M100" s="62">
        <v>0</v>
      </c>
      <c r="N100" s="62">
        <f t="shared" si="9"/>
        <v>0</v>
      </c>
      <c r="O100" s="63">
        <f t="shared" si="10"/>
        <v>0</v>
      </c>
      <c r="P100" s="61">
        <v>0.54471721127460648</v>
      </c>
      <c r="Q100" s="66">
        <f t="shared" si="12"/>
        <v>23.193385361959507</v>
      </c>
      <c r="R100" s="67">
        <f t="shared" si="11"/>
        <v>-0.54471721127460526</v>
      </c>
      <c r="T100" s="69"/>
      <c r="U100" s="70"/>
    </row>
    <row r="101" spans="1:21" x14ac:dyDescent="0.2">
      <c r="A101" s="58">
        <v>10331</v>
      </c>
      <c r="B101" s="59" t="s">
        <v>89</v>
      </c>
      <c r="C101" s="60">
        <v>38.087000000000003</v>
      </c>
      <c r="D101" s="61">
        <v>0</v>
      </c>
      <c r="E101" s="62">
        <v>0</v>
      </c>
      <c r="F101" s="63">
        <v>0</v>
      </c>
      <c r="G101" s="62">
        <v>0</v>
      </c>
      <c r="H101" s="63">
        <v>0</v>
      </c>
      <c r="I101" s="64">
        <v>0</v>
      </c>
      <c r="J101" s="65">
        <f t="shared" si="7"/>
        <v>38.087000000000003</v>
      </c>
      <c r="K101" s="60">
        <v>36.601999999999997</v>
      </c>
      <c r="L101" s="62">
        <f t="shared" si="8"/>
        <v>0</v>
      </c>
      <c r="M101" s="62">
        <v>7.6908904109589046E-2</v>
      </c>
      <c r="N101" s="62">
        <f t="shared" si="9"/>
        <v>0</v>
      </c>
      <c r="O101" s="63">
        <f t="shared" si="10"/>
        <v>0.37125000000000163</v>
      </c>
      <c r="P101" s="61">
        <v>0.89108370970225448</v>
      </c>
      <c r="Q101" s="66">
        <f t="shared" si="12"/>
        <v>37.941242613811845</v>
      </c>
      <c r="R101" s="67">
        <f t="shared" si="11"/>
        <v>0.14575738618815848</v>
      </c>
      <c r="T101" s="69"/>
      <c r="U101" s="70"/>
    </row>
    <row r="102" spans="1:21" x14ac:dyDescent="0.2">
      <c r="A102" s="58">
        <v>10333</v>
      </c>
      <c r="B102" s="59" t="s">
        <v>90</v>
      </c>
      <c r="C102" s="60">
        <v>23.553000000000001</v>
      </c>
      <c r="D102" s="61">
        <v>0</v>
      </c>
      <c r="E102" s="62">
        <v>0</v>
      </c>
      <c r="F102" s="63">
        <v>0</v>
      </c>
      <c r="G102" s="62">
        <v>0</v>
      </c>
      <c r="H102" s="63">
        <v>0</v>
      </c>
      <c r="I102" s="64">
        <v>0</v>
      </c>
      <c r="J102" s="65">
        <f t="shared" si="7"/>
        <v>23.553000000000001</v>
      </c>
      <c r="K102" s="60">
        <v>18.515000000000001</v>
      </c>
      <c r="L102" s="62">
        <f t="shared" si="8"/>
        <v>0</v>
      </c>
      <c r="M102" s="62">
        <v>1.68607305E-3</v>
      </c>
      <c r="N102" s="62">
        <f t="shared" si="9"/>
        <v>0</v>
      </c>
      <c r="O102" s="63">
        <f t="shared" si="10"/>
        <v>1.2595000000000001</v>
      </c>
      <c r="P102" s="61">
        <v>0.47563189392369393</v>
      </c>
      <c r="Q102" s="66">
        <f t="shared" si="12"/>
        <v>20.251817966973693</v>
      </c>
      <c r="R102" s="67">
        <f t="shared" si="11"/>
        <v>3.3011820330263077</v>
      </c>
      <c r="T102" s="69"/>
      <c r="U102" s="70"/>
    </row>
    <row r="103" spans="1:21" x14ac:dyDescent="0.2">
      <c r="A103" s="58">
        <v>10338</v>
      </c>
      <c r="B103" s="59" t="s">
        <v>217</v>
      </c>
      <c r="C103" s="60">
        <v>2.7743930365296801</v>
      </c>
      <c r="D103" s="61">
        <v>0</v>
      </c>
      <c r="E103" s="62">
        <v>0</v>
      </c>
      <c r="F103" s="63">
        <v>0</v>
      </c>
      <c r="G103" s="62">
        <v>0</v>
      </c>
      <c r="H103" s="63">
        <v>0</v>
      </c>
      <c r="I103" s="64">
        <v>0</v>
      </c>
      <c r="J103" s="65">
        <f t="shared" si="7"/>
        <v>2.7743930365296801</v>
      </c>
      <c r="K103" s="60">
        <v>2.3730000000000002</v>
      </c>
      <c r="L103" s="62">
        <f t="shared" si="8"/>
        <v>0</v>
      </c>
      <c r="M103" s="62">
        <v>0</v>
      </c>
      <c r="N103" s="62">
        <f t="shared" si="9"/>
        <v>0</v>
      </c>
      <c r="O103" s="63">
        <f t="shared" si="10"/>
        <v>0.10034825913241996</v>
      </c>
      <c r="P103" s="61">
        <v>5.948585396995066E-2</v>
      </c>
      <c r="Q103" s="66">
        <f t="shared" si="12"/>
        <v>2.5328341131023708</v>
      </c>
      <c r="R103" s="67">
        <f t="shared" si="11"/>
        <v>0.24155892342730922</v>
      </c>
      <c r="T103" s="69"/>
      <c r="U103" s="70"/>
    </row>
    <row r="104" spans="1:21" x14ac:dyDescent="0.2">
      <c r="A104" s="58">
        <v>10342</v>
      </c>
      <c r="B104" s="59" t="s">
        <v>218</v>
      </c>
      <c r="C104" s="60">
        <v>39.569792123287698</v>
      </c>
      <c r="D104" s="61">
        <v>0</v>
      </c>
      <c r="E104" s="62">
        <v>0</v>
      </c>
      <c r="F104" s="63">
        <v>0</v>
      </c>
      <c r="G104" s="62">
        <v>0</v>
      </c>
      <c r="H104" s="63">
        <v>0</v>
      </c>
      <c r="I104" s="64">
        <v>0</v>
      </c>
      <c r="J104" s="65">
        <f t="shared" si="7"/>
        <v>39.569792123287698</v>
      </c>
      <c r="K104" s="60">
        <v>38.691000000000003</v>
      </c>
      <c r="L104" s="62">
        <f t="shared" si="8"/>
        <v>0</v>
      </c>
      <c r="M104" s="62">
        <v>0.20485903945000006</v>
      </c>
      <c r="N104" s="62">
        <f t="shared" si="9"/>
        <v>0</v>
      </c>
      <c r="O104" s="63">
        <f t="shared" si="10"/>
        <v>0.21969803082192385</v>
      </c>
      <c r="P104" s="61">
        <v>0.94075806237316928</v>
      </c>
      <c r="Q104" s="66">
        <f t="shared" si="12"/>
        <v>40.056315132645096</v>
      </c>
      <c r="R104" s="67">
        <f t="shared" si="11"/>
        <v>-0.48652300935739845</v>
      </c>
      <c r="T104" s="69"/>
      <c r="U104" s="70"/>
    </row>
    <row r="105" spans="1:21" x14ac:dyDescent="0.2">
      <c r="A105" s="58">
        <v>10343</v>
      </c>
      <c r="B105" s="59" t="s">
        <v>219</v>
      </c>
      <c r="C105" s="60">
        <v>11.906994178082201</v>
      </c>
      <c r="D105" s="61">
        <v>0</v>
      </c>
      <c r="E105" s="62">
        <v>0</v>
      </c>
      <c r="F105" s="63">
        <v>7.9223744292237441E-2</v>
      </c>
      <c r="G105" s="62">
        <v>0</v>
      </c>
      <c r="H105" s="63">
        <v>0</v>
      </c>
      <c r="I105" s="64">
        <v>0</v>
      </c>
      <c r="J105" s="65">
        <f t="shared" si="7"/>
        <v>11.827770433789963</v>
      </c>
      <c r="K105" s="60">
        <v>31.388999999999999</v>
      </c>
      <c r="L105" s="62">
        <f t="shared" si="8"/>
        <v>-19.561229566210038</v>
      </c>
      <c r="M105" s="62">
        <v>0</v>
      </c>
      <c r="N105" s="62">
        <f t="shared" si="9"/>
        <v>0</v>
      </c>
      <c r="O105" s="63">
        <f t="shared" si="10"/>
        <v>0</v>
      </c>
      <c r="P105" s="61">
        <v>0.28446662220601604</v>
      </c>
      <c r="Q105" s="66">
        <f t="shared" si="12"/>
        <v>12.112237055995978</v>
      </c>
      <c r="R105" s="67">
        <f t="shared" si="11"/>
        <v>-0.28446662220601482</v>
      </c>
      <c r="T105" s="69"/>
      <c r="U105" s="70"/>
    </row>
    <row r="106" spans="1:21" x14ac:dyDescent="0.2">
      <c r="A106" s="58">
        <v>10349</v>
      </c>
      <c r="B106" s="59" t="s">
        <v>220</v>
      </c>
      <c r="C106" s="60">
        <v>1112.5275000000001</v>
      </c>
      <c r="D106" s="61">
        <v>0</v>
      </c>
      <c r="E106" s="62">
        <v>0</v>
      </c>
      <c r="F106" s="63">
        <v>614.37397260273974</v>
      </c>
      <c r="G106" s="62">
        <v>0</v>
      </c>
      <c r="H106" s="63">
        <v>0</v>
      </c>
      <c r="I106" s="64">
        <v>0</v>
      </c>
      <c r="J106" s="65">
        <f t="shared" si="7"/>
        <v>498.1535273972604</v>
      </c>
      <c r="K106" s="60">
        <v>523.91099999999994</v>
      </c>
      <c r="L106" s="62">
        <f t="shared" si="8"/>
        <v>-25.75747260273954</v>
      </c>
      <c r="M106" s="62">
        <v>41.700401837950018</v>
      </c>
      <c r="N106" s="62">
        <f t="shared" si="9"/>
        <v>0</v>
      </c>
      <c r="O106" s="63">
        <f t="shared" si="10"/>
        <v>0</v>
      </c>
      <c r="P106" s="61">
        <v>12.983886066596366</v>
      </c>
      <c r="Q106" s="66">
        <f t="shared" si="12"/>
        <v>552.83781530180681</v>
      </c>
      <c r="R106" s="67">
        <f t="shared" si="11"/>
        <v>-54.684287904546409</v>
      </c>
      <c r="T106" s="69"/>
      <c r="U106" s="70"/>
    </row>
    <row r="107" spans="1:21" x14ac:dyDescent="0.2">
      <c r="A107" s="58">
        <v>10352</v>
      </c>
      <c r="B107" s="59" t="s">
        <v>221</v>
      </c>
      <c r="C107" s="60">
        <v>16.877945547945199</v>
      </c>
      <c r="D107" s="61">
        <v>0</v>
      </c>
      <c r="E107" s="62">
        <v>0</v>
      </c>
      <c r="F107" s="63">
        <v>0</v>
      </c>
      <c r="G107" s="62">
        <v>0</v>
      </c>
      <c r="H107" s="63">
        <v>0</v>
      </c>
      <c r="I107" s="64">
        <v>0</v>
      </c>
      <c r="J107" s="65">
        <f t="shared" si="7"/>
        <v>16.877945547945199</v>
      </c>
      <c r="K107" s="60">
        <v>15.907</v>
      </c>
      <c r="L107" s="62">
        <f t="shared" si="8"/>
        <v>0</v>
      </c>
      <c r="M107" s="62">
        <v>2.3601994999999999E-4</v>
      </c>
      <c r="N107" s="62">
        <f t="shared" si="9"/>
        <v>0</v>
      </c>
      <c r="O107" s="63">
        <f t="shared" si="10"/>
        <v>0.24273638698629973</v>
      </c>
      <c r="P107" s="61">
        <v>0.38841877469965741</v>
      </c>
      <c r="Q107" s="66">
        <f t="shared" si="12"/>
        <v>16.538391181635959</v>
      </c>
      <c r="R107" s="67">
        <f t="shared" si="11"/>
        <v>0.33955436630924041</v>
      </c>
      <c r="T107" s="69"/>
      <c r="U107" s="70"/>
    </row>
    <row r="108" spans="1:21" x14ac:dyDescent="0.2">
      <c r="A108" s="58">
        <v>10354</v>
      </c>
      <c r="B108" s="59" t="s">
        <v>222</v>
      </c>
      <c r="C108" s="60">
        <v>804.01699109589003</v>
      </c>
      <c r="D108" s="61">
        <v>0</v>
      </c>
      <c r="E108" s="62">
        <v>0</v>
      </c>
      <c r="F108" s="63">
        <v>30.827739726027396</v>
      </c>
      <c r="G108" s="62">
        <v>0</v>
      </c>
      <c r="H108" s="63">
        <v>1.3688356164383562</v>
      </c>
      <c r="I108" s="64">
        <v>0</v>
      </c>
      <c r="J108" s="65">
        <f t="shared" si="7"/>
        <v>771.8204157534243</v>
      </c>
      <c r="K108" s="60">
        <v>799.07</v>
      </c>
      <c r="L108" s="62">
        <f t="shared" si="8"/>
        <v>-27.249584246575751</v>
      </c>
      <c r="M108" s="62">
        <v>7.6383296307662096</v>
      </c>
      <c r="N108" s="62">
        <f t="shared" si="9"/>
        <v>0.68441780821917808</v>
      </c>
      <c r="O108" s="63">
        <f t="shared" si="10"/>
        <v>0</v>
      </c>
      <c r="P108" s="61">
        <v>18.763019768836553</v>
      </c>
      <c r="Q108" s="66">
        <f t="shared" si="12"/>
        <v>798.90618296124626</v>
      </c>
      <c r="R108" s="67">
        <f t="shared" si="11"/>
        <v>-27.085767207821959</v>
      </c>
      <c r="T108" s="69"/>
      <c r="U108" s="70"/>
    </row>
    <row r="109" spans="1:21" x14ac:dyDescent="0.2">
      <c r="A109" s="58">
        <v>10360</v>
      </c>
      <c r="B109" s="59" t="s">
        <v>223</v>
      </c>
      <c r="C109" s="60">
        <v>7.1748460045662101</v>
      </c>
      <c r="D109" s="61">
        <v>0</v>
      </c>
      <c r="E109" s="62">
        <v>0</v>
      </c>
      <c r="F109" s="63">
        <v>0</v>
      </c>
      <c r="G109" s="62">
        <v>0</v>
      </c>
      <c r="H109" s="63">
        <v>0</v>
      </c>
      <c r="I109" s="64">
        <v>0</v>
      </c>
      <c r="J109" s="65">
        <f t="shared" si="7"/>
        <v>7.1748460045662101</v>
      </c>
      <c r="K109" s="60">
        <v>6.7649999999999997</v>
      </c>
      <c r="L109" s="62">
        <f t="shared" si="8"/>
        <v>0</v>
      </c>
      <c r="M109" s="62">
        <v>0</v>
      </c>
      <c r="N109" s="62">
        <f t="shared" si="9"/>
        <v>0</v>
      </c>
      <c r="O109" s="63">
        <f t="shared" si="10"/>
        <v>0.10246150114155261</v>
      </c>
      <c r="P109" s="61">
        <v>0.16516752563767972</v>
      </c>
      <c r="Q109" s="66">
        <f t="shared" si="12"/>
        <v>7.0326290267792313</v>
      </c>
      <c r="R109" s="67">
        <f t="shared" si="11"/>
        <v>0.14221697778697884</v>
      </c>
      <c r="T109" s="69"/>
      <c r="U109" s="70"/>
    </row>
    <row r="110" spans="1:21" x14ac:dyDescent="0.2">
      <c r="A110" s="58">
        <v>10363</v>
      </c>
      <c r="B110" s="59" t="s">
        <v>224</v>
      </c>
      <c r="C110" s="60">
        <v>90.664248173516</v>
      </c>
      <c r="D110" s="61">
        <v>0</v>
      </c>
      <c r="E110" s="62">
        <v>0</v>
      </c>
      <c r="F110" s="63">
        <v>0</v>
      </c>
      <c r="G110" s="62">
        <v>0</v>
      </c>
      <c r="H110" s="63">
        <v>0</v>
      </c>
      <c r="I110" s="64">
        <v>0</v>
      </c>
      <c r="J110" s="65">
        <f t="shared" si="7"/>
        <v>90.664248173516</v>
      </c>
      <c r="K110" s="60">
        <v>100.706</v>
      </c>
      <c r="L110" s="62">
        <f t="shared" si="8"/>
        <v>-10.041751826484003</v>
      </c>
      <c r="M110" s="62">
        <v>6.1262963250000003E-2</v>
      </c>
      <c r="N110" s="62">
        <f t="shared" si="9"/>
        <v>0</v>
      </c>
      <c r="O110" s="63">
        <f t="shared" si="10"/>
        <v>0</v>
      </c>
      <c r="P110" s="61">
        <v>2.1820156085596567</v>
      </c>
      <c r="Q110" s="66">
        <f t="shared" si="12"/>
        <v>92.907526745325654</v>
      </c>
      <c r="R110" s="67">
        <f t="shared" si="11"/>
        <v>-2.243278571809654</v>
      </c>
      <c r="T110" s="69"/>
      <c r="U110" s="70"/>
    </row>
    <row r="111" spans="1:21" x14ac:dyDescent="0.2">
      <c r="A111" s="58">
        <v>10369</v>
      </c>
      <c r="B111" s="59" t="s">
        <v>225</v>
      </c>
      <c r="C111" s="60">
        <v>17.228615753424702</v>
      </c>
      <c r="D111" s="61">
        <v>0</v>
      </c>
      <c r="E111" s="62">
        <v>0</v>
      </c>
      <c r="F111" s="63">
        <v>0</v>
      </c>
      <c r="G111" s="62">
        <v>0</v>
      </c>
      <c r="H111" s="63">
        <v>0</v>
      </c>
      <c r="I111" s="64">
        <v>0</v>
      </c>
      <c r="J111" s="65">
        <f t="shared" si="7"/>
        <v>17.228615753424702</v>
      </c>
      <c r="K111" s="60">
        <v>16.431999999999999</v>
      </c>
      <c r="L111" s="62">
        <f t="shared" si="8"/>
        <v>0</v>
      </c>
      <c r="M111" s="62">
        <v>0</v>
      </c>
      <c r="N111" s="62">
        <f t="shared" si="9"/>
        <v>0</v>
      </c>
      <c r="O111" s="63">
        <f t="shared" si="10"/>
        <v>0.19915393835617579</v>
      </c>
      <c r="P111" s="61">
        <v>0.39999154622723848</v>
      </c>
      <c r="Q111" s="66">
        <f t="shared" si="12"/>
        <v>17.031145484583412</v>
      </c>
      <c r="R111" s="67">
        <f t="shared" si="11"/>
        <v>0.19747026884128971</v>
      </c>
      <c r="T111" s="69"/>
      <c r="U111" s="70"/>
    </row>
    <row r="112" spans="1:21" x14ac:dyDescent="0.2">
      <c r="A112" s="58">
        <v>10370</v>
      </c>
      <c r="B112" s="59" t="s">
        <v>226</v>
      </c>
      <c r="C112" s="60">
        <v>567.92783105022829</v>
      </c>
      <c r="D112" s="61">
        <v>0</v>
      </c>
      <c r="E112" s="62">
        <v>0</v>
      </c>
      <c r="F112" s="63">
        <v>178.42568493150685</v>
      </c>
      <c r="G112" s="62">
        <v>0</v>
      </c>
      <c r="H112" s="63">
        <v>29.188584474885843</v>
      </c>
      <c r="I112" s="64">
        <v>0</v>
      </c>
      <c r="J112" s="65">
        <f t="shared" si="7"/>
        <v>360.31356164383561</v>
      </c>
      <c r="K112" s="60">
        <v>402.39</v>
      </c>
      <c r="L112" s="62">
        <f t="shared" si="8"/>
        <v>-42.076438356164374</v>
      </c>
      <c r="M112" s="62">
        <v>19.600016274381964</v>
      </c>
      <c r="N112" s="62">
        <f t="shared" si="9"/>
        <v>14.594292237442922</v>
      </c>
      <c r="O112" s="63">
        <f t="shared" si="10"/>
        <v>0</v>
      </c>
      <c r="P112" s="61">
        <v>9.4882059036472501</v>
      </c>
      <c r="Q112" s="66">
        <f t="shared" si="12"/>
        <v>403.99607605930777</v>
      </c>
      <c r="R112" s="67">
        <f t="shared" si="11"/>
        <v>-43.682514415472156</v>
      </c>
      <c r="T112" s="69"/>
      <c r="U112" s="70"/>
    </row>
    <row r="113" spans="1:21" x14ac:dyDescent="0.2">
      <c r="A113" s="58">
        <v>10371</v>
      </c>
      <c r="B113" s="59" t="s">
        <v>227</v>
      </c>
      <c r="C113" s="60">
        <v>11.9787913242009</v>
      </c>
      <c r="D113" s="61">
        <v>0</v>
      </c>
      <c r="E113" s="62">
        <v>0</v>
      </c>
      <c r="F113" s="63">
        <v>0</v>
      </c>
      <c r="G113" s="62">
        <v>0</v>
      </c>
      <c r="H113" s="63">
        <v>0</v>
      </c>
      <c r="I113" s="64">
        <v>0</v>
      </c>
      <c r="J113" s="65">
        <f t="shared" si="7"/>
        <v>11.9787913242009</v>
      </c>
      <c r="K113" s="60">
        <v>11.032</v>
      </c>
      <c r="L113" s="62">
        <f t="shared" si="8"/>
        <v>0</v>
      </c>
      <c r="M113" s="62">
        <v>0</v>
      </c>
      <c r="N113" s="62">
        <f t="shared" si="9"/>
        <v>0</v>
      </c>
      <c r="O113" s="63">
        <f t="shared" si="10"/>
        <v>0.23669783105022502</v>
      </c>
      <c r="P113" s="61">
        <v>0.27102051283489104</v>
      </c>
      <c r="Q113" s="66">
        <f t="shared" si="12"/>
        <v>11.539718343885117</v>
      </c>
      <c r="R113" s="67">
        <f t="shared" si="11"/>
        <v>0.43907298031578357</v>
      </c>
      <c r="T113" s="69"/>
      <c r="U113" s="70"/>
    </row>
    <row r="114" spans="1:21" x14ac:dyDescent="0.2">
      <c r="A114" s="58">
        <v>10376</v>
      </c>
      <c r="B114" s="59" t="s">
        <v>228</v>
      </c>
      <c r="C114" s="60">
        <v>57.990975456621001</v>
      </c>
      <c r="D114" s="61">
        <v>0</v>
      </c>
      <c r="E114" s="62">
        <v>0</v>
      </c>
      <c r="F114" s="63">
        <v>0</v>
      </c>
      <c r="G114" s="62">
        <v>0.69737442922374426</v>
      </c>
      <c r="H114" s="63">
        <v>0</v>
      </c>
      <c r="I114" s="64">
        <v>0</v>
      </c>
      <c r="J114" s="65">
        <f t="shared" si="7"/>
        <v>57.293601027397258</v>
      </c>
      <c r="K114" s="60">
        <v>56.029000000000003</v>
      </c>
      <c r="L114" s="62">
        <f t="shared" si="8"/>
        <v>0</v>
      </c>
      <c r="M114" s="62">
        <v>0.15433748840000008</v>
      </c>
      <c r="N114" s="62">
        <f t="shared" si="9"/>
        <v>0</v>
      </c>
      <c r="O114" s="63">
        <f t="shared" si="10"/>
        <v>0.31615025684931375</v>
      </c>
      <c r="P114" s="61">
        <v>1.3588544455805154</v>
      </c>
      <c r="Q114" s="66">
        <f t="shared" si="12"/>
        <v>57.858342190829831</v>
      </c>
      <c r="R114" s="67">
        <f t="shared" si="11"/>
        <v>-0.56474116343257208</v>
      </c>
      <c r="T114" s="69"/>
      <c r="U114" s="70"/>
    </row>
    <row r="115" spans="1:21" x14ac:dyDescent="0.2">
      <c r="A115" s="58">
        <v>10378</v>
      </c>
      <c r="B115" s="59" t="s">
        <v>229</v>
      </c>
      <c r="C115" s="60">
        <v>2.0486468036529701</v>
      </c>
      <c r="D115" s="61">
        <v>0</v>
      </c>
      <c r="E115" s="62">
        <v>0</v>
      </c>
      <c r="F115" s="63">
        <v>0</v>
      </c>
      <c r="G115" s="62">
        <v>0</v>
      </c>
      <c r="H115" s="63">
        <v>0</v>
      </c>
      <c r="I115" s="64">
        <v>0</v>
      </c>
      <c r="J115" s="65">
        <f t="shared" si="7"/>
        <v>2.0486468036529701</v>
      </c>
      <c r="K115" s="60">
        <v>2.0209999999999999</v>
      </c>
      <c r="L115" s="62">
        <f t="shared" si="8"/>
        <v>0</v>
      </c>
      <c r="M115" s="62">
        <v>0</v>
      </c>
      <c r="N115" s="62">
        <f t="shared" si="9"/>
        <v>0</v>
      </c>
      <c r="O115" s="63">
        <f t="shared" si="10"/>
        <v>6.9117009132425578E-3</v>
      </c>
      <c r="P115" s="61">
        <v>4.8772775471091032E-2</v>
      </c>
      <c r="Q115" s="66">
        <f t="shared" si="12"/>
        <v>2.0766844763843335</v>
      </c>
      <c r="R115" s="67">
        <f t="shared" si="11"/>
        <v>-2.8037672731363372E-2</v>
      </c>
      <c r="T115" s="69"/>
      <c r="U115" s="70"/>
    </row>
    <row r="116" spans="1:21" x14ac:dyDescent="0.2">
      <c r="A116" s="58">
        <v>10379</v>
      </c>
      <c r="B116" s="59" t="s">
        <v>230</v>
      </c>
      <c r="C116" s="60">
        <v>4.5138270547945201</v>
      </c>
      <c r="D116" s="61">
        <v>0</v>
      </c>
      <c r="E116" s="62">
        <v>0</v>
      </c>
      <c r="F116" s="63">
        <v>0</v>
      </c>
      <c r="G116" s="62">
        <v>0</v>
      </c>
      <c r="H116" s="63">
        <v>0</v>
      </c>
      <c r="I116" s="64">
        <v>0</v>
      </c>
      <c r="J116" s="65">
        <f t="shared" si="7"/>
        <v>4.5138270547945201</v>
      </c>
      <c r="K116" s="60">
        <v>4.8079999999999998</v>
      </c>
      <c r="L116" s="62">
        <f t="shared" si="8"/>
        <v>-0.29417294520547976</v>
      </c>
      <c r="M116" s="62">
        <v>0</v>
      </c>
      <c r="N116" s="62">
        <f t="shared" si="9"/>
        <v>0</v>
      </c>
      <c r="O116" s="63">
        <f t="shared" si="10"/>
        <v>0</v>
      </c>
      <c r="P116" s="61">
        <v>0.1085608773595452</v>
      </c>
      <c r="Q116" s="66">
        <f t="shared" si="12"/>
        <v>4.6223879321540648</v>
      </c>
      <c r="R116" s="67">
        <f t="shared" si="11"/>
        <v>-0.10856087735954478</v>
      </c>
      <c r="T116" s="69"/>
      <c r="U116" s="70"/>
    </row>
    <row r="117" spans="1:21" x14ac:dyDescent="0.2">
      <c r="A117" s="58">
        <v>10388</v>
      </c>
      <c r="B117" s="59" t="s">
        <v>231</v>
      </c>
      <c r="C117" s="60">
        <v>786.03760696347001</v>
      </c>
      <c r="D117" s="61">
        <v>0</v>
      </c>
      <c r="E117" s="62">
        <v>599.44000000000005</v>
      </c>
      <c r="F117" s="63">
        <v>0</v>
      </c>
      <c r="G117" s="62">
        <v>0.2321917808219178</v>
      </c>
      <c r="H117" s="63">
        <v>0</v>
      </c>
      <c r="I117" s="64">
        <v>0</v>
      </c>
      <c r="J117" s="65">
        <f t="shared" si="7"/>
        <v>186.36541518264801</v>
      </c>
      <c r="K117" s="60">
        <v>113.223</v>
      </c>
      <c r="L117" s="62">
        <f t="shared" si="8"/>
        <v>0</v>
      </c>
      <c r="M117" s="62">
        <v>5.1727637318776312</v>
      </c>
      <c r="N117" s="62">
        <f t="shared" si="9"/>
        <v>0</v>
      </c>
      <c r="O117" s="63">
        <f t="shared" si="10"/>
        <v>18.285603795662002</v>
      </c>
      <c r="P117" s="61">
        <v>3.2872879260474077</v>
      </c>
      <c r="Q117" s="66">
        <f t="shared" si="12"/>
        <v>139.96865545358705</v>
      </c>
      <c r="R117" s="67">
        <f t="shared" si="11"/>
        <v>46.39675972906096</v>
      </c>
      <c r="T117" s="69"/>
      <c r="U117" s="70"/>
    </row>
    <row r="118" spans="1:21" x14ac:dyDescent="0.2">
      <c r="A118" s="58">
        <v>10391</v>
      </c>
      <c r="B118" s="59" t="s">
        <v>232</v>
      </c>
      <c r="C118" s="60">
        <v>41.976900799086799</v>
      </c>
      <c r="D118" s="61">
        <v>0</v>
      </c>
      <c r="E118" s="62">
        <v>0</v>
      </c>
      <c r="F118" s="63">
        <v>0</v>
      </c>
      <c r="G118" s="62">
        <v>0</v>
      </c>
      <c r="H118" s="63">
        <v>0</v>
      </c>
      <c r="I118" s="64">
        <v>0</v>
      </c>
      <c r="J118" s="65">
        <f t="shared" si="7"/>
        <v>41.976900799086799</v>
      </c>
      <c r="K118" s="60">
        <v>29.977</v>
      </c>
      <c r="L118" s="62">
        <f t="shared" si="8"/>
        <v>0</v>
      </c>
      <c r="M118" s="62">
        <v>0.15845638540000001</v>
      </c>
      <c r="N118" s="62">
        <f t="shared" si="9"/>
        <v>0</v>
      </c>
      <c r="O118" s="63">
        <f t="shared" si="10"/>
        <v>2.9999751997716997</v>
      </c>
      <c r="P118" s="61">
        <v>0.7969316238539802</v>
      </c>
      <c r="Q118" s="66">
        <f t="shared" si="12"/>
        <v>33.932363209025681</v>
      </c>
      <c r="R118" s="67">
        <f t="shared" si="11"/>
        <v>8.0445375900611182</v>
      </c>
      <c r="T118" s="69"/>
      <c r="U118" s="70"/>
    </row>
    <row r="119" spans="1:21" x14ac:dyDescent="0.2">
      <c r="A119" s="58">
        <v>10406</v>
      </c>
      <c r="B119" s="59" t="s">
        <v>233</v>
      </c>
      <c r="C119" s="60">
        <v>0.73566723744292195</v>
      </c>
      <c r="D119" s="61">
        <v>0</v>
      </c>
      <c r="E119" s="62">
        <v>0</v>
      </c>
      <c r="F119" s="63">
        <v>0</v>
      </c>
      <c r="G119" s="62">
        <v>0</v>
      </c>
      <c r="H119" s="63">
        <v>0</v>
      </c>
      <c r="I119" s="64">
        <v>0</v>
      </c>
      <c r="J119" s="65">
        <f t="shared" si="7"/>
        <v>0.73566723744292195</v>
      </c>
      <c r="K119" s="60">
        <v>0.45800000000000002</v>
      </c>
      <c r="L119" s="62">
        <f t="shared" si="8"/>
        <v>0</v>
      </c>
      <c r="M119" s="62">
        <v>0</v>
      </c>
      <c r="N119" s="62">
        <f t="shared" si="9"/>
        <v>0</v>
      </c>
      <c r="O119" s="63">
        <f t="shared" si="10"/>
        <v>6.9416809360730483E-2</v>
      </c>
      <c r="P119" s="61">
        <v>1.2684764139901095E-2</v>
      </c>
      <c r="Q119" s="66">
        <f t="shared" si="12"/>
        <v>0.54010157350063159</v>
      </c>
      <c r="R119" s="67">
        <f t="shared" si="11"/>
        <v>0.19556566394229036</v>
      </c>
      <c r="T119" s="69"/>
      <c r="U119" s="70"/>
    </row>
    <row r="120" spans="1:21" x14ac:dyDescent="0.2">
      <c r="A120" s="58">
        <v>10408</v>
      </c>
      <c r="B120" s="59" t="s">
        <v>234</v>
      </c>
      <c r="C120" s="60">
        <v>1.64200616438356</v>
      </c>
      <c r="D120" s="61">
        <v>0</v>
      </c>
      <c r="E120" s="62">
        <v>0</v>
      </c>
      <c r="F120" s="63">
        <v>0</v>
      </c>
      <c r="G120" s="62">
        <v>0</v>
      </c>
      <c r="H120" s="63">
        <v>0</v>
      </c>
      <c r="I120" s="64">
        <v>0</v>
      </c>
      <c r="J120" s="65">
        <f t="shared" si="7"/>
        <v>1.64200616438356</v>
      </c>
      <c r="K120" s="60">
        <v>1.5269999999999999</v>
      </c>
      <c r="L120" s="62">
        <f t="shared" si="8"/>
        <v>0</v>
      </c>
      <c r="M120" s="62">
        <v>0</v>
      </c>
      <c r="N120" s="62">
        <f t="shared" si="9"/>
        <v>0</v>
      </c>
      <c r="O120" s="63">
        <f t="shared" si="10"/>
        <v>2.875154109589001E-2</v>
      </c>
      <c r="P120" s="61">
        <v>3.7416974599289957E-2</v>
      </c>
      <c r="Q120" s="66">
        <f t="shared" si="12"/>
        <v>1.59316851569518</v>
      </c>
      <c r="R120" s="67">
        <f t="shared" si="11"/>
        <v>4.883764868837992E-2</v>
      </c>
      <c r="T120" s="69"/>
      <c r="U120" s="70"/>
    </row>
    <row r="121" spans="1:21" x14ac:dyDescent="0.2">
      <c r="A121" s="58">
        <v>10409</v>
      </c>
      <c r="B121" s="59" t="s">
        <v>235</v>
      </c>
      <c r="C121" s="60">
        <v>18.3571232876712</v>
      </c>
      <c r="D121" s="61">
        <v>0</v>
      </c>
      <c r="E121" s="62">
        <v>0</v>
      </c>
      <c r="F121" s="63">
        <v>0</v>
      </c>
      <c r="G121" s="62">
        <v>0</v>
      </c>
      <c r="H121" s="63">
        <v>0</v>
      </c>
      <c r="I121" s="64">
        <v>0</v>
      </c>
      <c r="J121" s="65">
        <f t="shared" si="7"/>
        <v>18.3571232876712</v>
      </c>
      <c r="K121" s="60">
        <v>20.420999999999999</v>
      </c>
      <c r="L121" s="62">
        <f t="shared" si="8"/>
        <v>-2.0638767123287991</v>
      </c>
      <c r="M121" s="62">
        <v>0</v>
      </c>
      <c r="N121" s="62">
        <f t="shared" si="9"/>
        <v>0</v>
      </c>
      <c r="O121" s="63">
        <f t="shared" si="10"/>
        <v>0</v>
      </c>
      <c r="P121" s="61">
        <v>0.44150238494187155</v>
      </c>
      <c r="Q121" s="66">
        <f t="shared" si="12"/>
        <v>18.79862567261307</v>
      </c>
      <c r="R121" s="67">
        <f t="shared" si="11"/>
        <v>-0.44150238494187022</v>
      </c>
      <c r="T121" s="69"/>
      <c r="U121" s="70"/>
    </row>
    <row r="122" spans="1:21" x14ac:dyDescent="0.2">
      <c r="A122" s="58">
        <v>10426</v>
      </c>
      <c r="B122" s="59" t="s">
        <v>236</v>
      </c>
      <c r="C122" s="60">
        <v>18.062725570776301</v>
      </c>
      <c r="D122" s="61">
        <v>0</v>
      </c>
      <c r="E122" s="62">
        <v>0</v>
      </c>
      <c r="F122" s="63">
        <v>0</v>
      </c>
      <c r="G122" s="62">
        <v>0</v>
      </c>
      <c r="H122" s="63">
        <v>0</v>
      </c>
      <c r="I122" s="64">
        <v>0</v>
      </c>
      <c r="J122" s="65">
        <f t="shared" si="7"/>
        <v>18.062725570776301</v>
      </c>
      <c r="K122" s="60">
        <v>36.539000000000001</v>
      </c>
      <c r="L122" s="62">
        <f t="shared" si="8"/>
        <v>-18.4762744292237</v>
      </c>
      <c r="M122" s="62">
        <v>0</v>
      </c>
      <c r="N122" s="62">
        <f t="shared" si="9"/>
        <v>0</v>
      </c>
      <c r="O122" s="63">
        <f t="shared" si="10"/>
        <v>0</v>
      </c>
      <c r="P122" s="61">
        <v>0.43442190222714067</v>
      </c>
      <c r="Q122" s="66">
        <f t="shared" si="12"/>
        <v>18.497147473003441</v>
      </c>
      <c r="R122" s="67">
        <f t="shared" si="11"/>
        <v>-0.43442190222713961</v>
      </c>
      <c r="T122" s="69"/>
      <c r="U122" s="70"/>
    </row>
    <row r="123" spans="1:21" x14ac:dyDescent="0.2">
      <c r="A123" s="58">
        <v>10434</v>
      </c>
      <c r="B123" s="59" t="s">
        <v>237</v>
      </c>
      <c r="C123" s="60">
        <v>28.8310511415525</v>
      </c>
      <c r="D123" s="61">
        <v>0</v>
      </c>
      <c r="E123" s="62">
        <v>0</v>
      </c>
      <c r="F123" s="63">
        <v>0</v>
      </c>
      <c r="G123" s="62">
        <v>0</v>
      </c>
      <c r="H123" s="63">
        <v>0</v>
      </c>
      <c r="I123" s="64">
        <v>0</v>
      </c>
      <c r="J123" s="65">
        <f t="shared" si="7"/>
        <v>28.8310511415525</v>
      </c>
      <c r="K123" s="60">
        <v>27.157</v>
      </c>
      <c r="L123" s="62">
        <f t="shared" si="8"/>
        <v>0</v>
      </c>
      <c r="M123" s="62">
        <v>0</v>
      </c>
      <c r="N123" s="62">
        <f t="shared" si="9"/>
        <v>0</v>
      </c>
      <c r="O123" s="63">
        <f t="shared" si="10"/>
        <v>0.41851278538812497</v>
      </c>
      <c r="P123" s="61">
        <v>0.66321146674002729</v>
      </c>
      <c r="Q123" s="66">
        <f t="shared" si="12"/>
        <v>28.238724252128151</v>
      </c>
      <c r="R123" s="67">
        <f t="shared" si="11"/>
        <v>0.59232688942434919</v>
      </c>
      <c r="T123" s="69"/>
      <c r="U123" s="70"/>
    </row>
    <row r="124" spans="1:21" x14ac:dyDescent="0.2">
      <c r="A124" s="58">
        <v>10436</v>
      </c>
      <c r="B124" s="59" t="s">
        <v>238</v>
      </c>
      <c r="C124" s="60">
        <v>23.755408789954298</v>
      </c>
      <c r="D124" s="61">
        <v>0</v>
      </c>
      <c r="E124" s="62">
        <v>0</v>
      </c>
      <c r="F124" s="63">
        <v>0</v>
      </c>
      <c r="G124" s="62">
        <v>0</v>
      </c>
      <c r="H124" s="63">
        <v>0</v>
      </c>
      <c r="I124" s="64">
        <v>0</v>
      </c>
      <c r="J124" s="65">
        <f t="shared" si="7"/>
        <v>23.755408789954298</v>
      </c>
      <c r="K124" s="60">
        <v>19.152000000000001</v>
      </c>
      <c r="L124" s="62">
        <f t="shared" si="8"/>
        <v>0</v>
      </c>
      <c r="M124" s="62">
        <v>2.0984936999999997E-3</v>
      </c>
      <c r="N124" s="62">
        <f t="shared" si="9"/>
        <v>0</v>
      </c>
      <c r="O124" s="63">
        <f t="shared" si="10"/>
        <v>1.1508521974885744</v>
      </c>
      <c r="P124" s="61">
        <v>0.48834907386102361</v>
      </c>
      <c r="Q124" s="66">
        <f t="shared" si="12"/>
        <v>20.7932997650496</v>
      </c>
      <c r="R124" s="67">
        <f t="shared" si="11"/>
        <v>2.9621090249046986</v>
      </c>
      <c r="T124" s="69"/>
      <c r="U124" s="70"/>
    </row>
    <row r="125" spans="1:21" x14ac:dyDescent="0.2">
      <c r="A125" s="58">
        <v>10440</v>
      </c>
      <c r="B125" s="59" t="s">
        <v>239</v>
      </c>
      <c r="C125" s="60">
        <v>5.6697660958904104</v>
      </c>
      <c r="D125" s="61">
        <v>0</v>
      </c>
      <c r="E125" s="62">
        <v>0</v>
      </c>
      <c r="F125" s="63">
        <v>0</v>
      </c>
      <c r="G125" s="62">
        <v>0</v>
      </c>
      <c r="H125" s="63">
        <v>0</v>
      </c>
      <c r="I125" s="64">
        <v>0</v>
      </c>
      <c r="J125" s="65">
        <f t="shared" si="7"/>
        <v>5.6697660958904104</v>
      </c>
      <c r="K125" s="60">
        <v>5.0049999999999999</v>
      </c>
      <c r="L125" s="62">
        <f t="shared" si="8"/>
        <v>0</v>
      </c>
      <c r="M125" s="62">
        <v>0</v>
      </c>
      <c r="N125" s="62">
        <f t="shared" si="9"/>
        <v>0</v>
      </c>
      <c r="O125" s="63">
        <f t="shared" si="10"/>
        <v>0.16619152397260262</v>
      </c>
      <c r="P125" s="61">
        <v>0.12437097877740137</v>
      </c>
      <c r="Q125" s="66">
        <f t="shared" si="12"/>
        <v>5.2955625027500037</v>
      </c>
      <c r="R125" s="67">
        <f t="shared" si="11"/>
        <v>0.37420359314040663</v>
      </c>
      <c r="T125" s="69"/>
      <c r="U125" s="70"/>
    </row>
    <row r="126" spans="1:21" x14ac:dyDescent="0.2">
      <c r="A126" s="58">
        <v>10442</v>
      </c>
      <c r="B126" s="59" t="s">
        <v>240</v>
      </c>
      <c r="C126" s="60">
        <v>12.518423287671199</v>
      </c>
      <c r="D126" s="61">
        <v>0</v>
      </c>
      <c r="E126" s="62">
        <v>0</v>
      </c>
      <c r="F126" s="63">
        <v>0</v>
      </c>
      <c r="G126" s="62">
        <v>0</v>
      </c>
      <c r="H126" s="63">
        <v>0</v>
      </c>
      <c r="I126" s="64">
        <v>0</v>
      </c>
      <c r="J126" s="65">
        <f t="shared" si="7"/>
        <v>12.518423287671199</v>
      </c>
      <c r="K126" s="60">
        <v>13.396000000000001</v>
      </c>
      <c r="L126" s="62">
        <f t="shared" si="8"/>
        <v>-0.87757671232880163</v>
      </c>
      <c r="M126" s="62">
        <v>2.4967182000000003E-3</v>
      </c>
      <c r="N126" s="62">
        <f t="shared" si="9"/>
        <v>0</v>
      </c>
      <c r="O126" s="63">
        <f t="shared" si="10"/>
        <v>0</v>
      </c>
      <c r="P126" s="61">
        <v>0.30113738180160227</v>
      </c>
      <c r="Q126" s="66">
        <f t="shared" si="12"/>
        <v>12.822057387672801</v>
      </c>
      <c r="R126" s="67">
        <f t="shared" si="11"/>
        <v>-0.30363410000160229</v>
      </c>
      <c r="T126" s="69"/>
      <c r="U126" s="70"/>
    </row>
    <row r="127" spans="1:21" x14ac:dyDescent="0.2">
      <c r="A127" s="58">
        <v>10446</v>
      </c>
      <c r="B127" s="59" t="s">
        <v>241</v>
      </c>
      <c r="C127" s="60">
        <v>80.940614155251097</v>
      </c>
      <c r="D127" s="61">
        <v>0</v>
      </c>
      <c r="E127" s="62">
        <v>0</v>
      </c>
      <c r="F127" s="63">
        <v>0</v>
      </c>
      <c r="G127" s="62">
        <v>0</v>
      </c>
      <c r="H127" s="63">
        <v>0</v>
      </c>
      <c r="I127" s="64">
        <v>0</v>
      </c>
      <c r="J127" s="65">
        <f t="shared" si="7"/>
        <v>80.940614155251097</v>
      </c>
      <c r="K127" s="60">
        <v>95.771000000000001</v>
      </c>
      <c r="L127" s="62">
        <f t="shared" si="8"/>
        <v>-14.830385844748903</v>
      </c>
      <c r="M127" s="62">
        <v>0</v>
      </c>
      <c r="N127" s="62">
        <f t="shared" si="9"/>
        <v>0</v>
      </c>
      <c r="O127" s="63">
        <f t="shared" si="10"/>
        <v>0</v>
      </c>
      <c r="P127" s="61">
        <v>1.9466816030049443</v>
      </c>
      <c r="Q127" s="66">
        <f t="shared" si="12"/>
        <v>82.887295758256045</v>
      </c>
      <c r="R127" s="67">
        <f t="shared" si="11"/>
        <v>-1.9466816030049472</v>
      </c>
      <c r="T127" s="69"/>
      <c r="U127" s="70"/>
    </row>
    <row r="128" spans="1:21" x14ac:dyDescent="0.2">
      <c r="A128" s="58">
        <v>10448</v>
      </c>
      <c r="B128" s="59" t="s">
        <v>91</v>
      </c>
      <c r="C128" s="60">
        <v>8.7279999999999998</v>
      </c>
      <c r="D128" s="61">
        <v>0</v>
      </c>
      <c r="E128" s="62">
        <v>0</v>
      </c>
      <c r="F128" s="63">
        <v>0</v>
      </c>
      <c r="G128" s="62">
        <v>0</v>
      </c>
      <c r="H128" s="63">
        <v>0</v>
      </c>
      <c r="I128" s="64">
        <v>0</v>
      </c>
      <c r="J128" s="65">
        <f t="shared" si="7"/>
        <v>8.7279999999999998</v>
      </c>
      <c r="K128" s="60">
        <v>8.4809999999999999</v>
      </c>
      <c r="L128" s="62">
        <f t="shared" si="8"/>
        <v>0</v>
      </c>
      <c r="M128" s="62">
        <v>0</v>
      </c>
      <c r="N128" s="62">
        <f t="shared" si="9"/>
        <v>0</v>
      </c>
      <c r="O128" s="63">
        <f t="shared" si="10"/>
        <v>6.1749999999999972E-2</v>
      </c>
      <c r="P128" s="61">
        <v>0.20545945243475278</v>
      </c>
      <c r="Q128" s="66">
        <f t="shared" si="12"/>
        <v>8.748209452434752</v>
      </c>
      <c r="R128" s="67">
        <f t="shared" si="11"/>
        <v>-2.0209452434752251E-2</v>
      </c>
      <c r="T128" s="69"/>
      <c r="U128" s="70"/>
    </row>
    <row r="129" spans="1:21" x14ac:dyDescent="0.2">
      <c r="A129" s="58">
        <v>10451</v>
      </c>
      <c r="B129" s="59" t="s">
        <v>242</v>
      </c>
      <c r="C129" s="60">
        <v>25.4498619863014</v>
      </c>
      <c r="D129" s="61">
        <v>0</v>
      </c>
      <c r="E129" s="62">
        <v>0</v>
      </c>
      <c r="F129" s="63">
        <v>0</v>
      </c>
      <c r="G129" s="62">
        <v>0</v>
      </c>
      <c r="H129" s="63">
        <v>0</v>
      </c>
      <c r="I129" s="64">
        <v>0</v>
      </c>
      <c r="J129" s="65">
        <f t="shared" si="7"/>
        <v>25.4498619863014</v>
      </c>
      <c r="K129" s="60">
        <v>26.832999999999998</v>
      </c>
      <c r="L129" s="62">
        <f t="shared" si="8"/>
        <v>-1.3831380136985985</v>
      </c>
      <c r="M129" s="62">
        <v>0</v>
      </c>
      <c r="N129" s="62">
        <f t="shared" si="9"/>
        <v>0</v>
      </c>
      <c r="O129" s="63">
        <f t="shared" si="10"/>
        <v>0</v>
      </c>
      <c r="P129" s="61">
        <v>0.61208799370759015</v>
      </c>
      <c r="Q129" s="66">
        <f t="shared" si="12"/>
        <v>26.06194998000899</v>
      </c>
      <c r="R129" s="67">
        <f t="shared" si="11"/>
        <v>-0.61208799370758982</v>
      </c>
      <c r="T129" s="69"/>
      <c r="U129" s="70"/>
    </row>
    <row r="130" spans="1:21" x14ac:dyDescent="0.2">
      <c r="A130" s="58">
        <v>10482</v>
      </c>
      <c r="B130" s="59" t="s">
        <v>243</v>
      </c>
      <c r="C130" s="60">
        <v>2.6367754566210002</v>
      </c>
      <c r="D130" s="61">
        <v>0</v>
      </c>
      <c r="E130" s="62">
        <v>0</v>
      </c>
      <c r="F130" s="63">
        <v>0</v>
      </c>
      <c r="G130" s="62">
        <v>0</v>
      </c>
      <c r="H130" s="63">
        <v>0</v>
      </c>
      <c r="I130" s="64">
        <v>0</v>
      </c>
      <c r="J130" s="65">
        <f t="shared" si="7"/>
        <v>2.6367754566210002</v>
      </c>
      <c r="K130" s="60">
        <v>4.1139999999999999</v>
      </c>
      <c r="L130" s="62">
        <f t="shared" si="8"/>
        <v>-1.4772245433789997</v>
      </c>
      <c r="M130" s="62">
        <v>0</v>
      </c>
      <c r="N130" s="62">
        <f t="shared" si="9"/>
        <v>0</v>
      </c>
      <c r="O130" s="63">
        <f t="shared" si="10"/>
        <v>0</v>
      </c>
      <c r="P130" s="61">
        <v>6.341639887749799E-2</v>
      </c>
      <c r="Q130" s="66">
        <f t="shared" si="12"/>
        <v>2.7001918554984981</v>
      </c>
      <c r="R130" s="67">
        <f t="shared" si="11"/>
        <v>-6.3416398877497837E-2</v>
      </c>
      <c r="T130" s="69"/>
      <c r="U130" s="70"/>
    </row>
    <row r="131" spans="1:21" x14ac:dyDescent="0.2">
      <c r="A131" s="58">
        <v>10502</v>
      </c>
      <c r="B131" s="59" t="s">
        <v>52</v>
      </c>
      <c r="C131" s="60">
        <v>18.0328926940639</v>
      </c>
      <c r="D131" s="61">
        <v>0</v>
      </c>
      <c r="E131" s="62">
        <v>0</v>
      </c>
      <c r="F131" s="63">
        <v>0</v>
      </c>
      <c r="G131" s="62">
        <v>0</v>
      </c>
      <c r="H131" s="63">
        <v>0</v>
      </c>
      <c r="I131" s="64">
        <v>0</v>
      </c>
      <c r="J131" s="65">
        <f t="shared" si="7"/>
        <v>18.0328926940639</v>
      </c>
      <c r="K131" s="60">
        <v>18.707000000000001</v>
      </c>
      <c r="L131" s="62">
        <f t="shared" si="8"/>
        <v>-0.67410730593610069</v>
      </c>
      <c r="M131" s="62">
        <v>0</v>
      </c>
      <c r="N131" s="62">
        <f t="shared" si="9"/>
        <v>0</v>
      </c>
      <c r="O131" s="63">
        <f t="shared" si="10"/>
        <v>0</v>
      </c>
      <c r="P131" s="61">
        <v>0.43370439948927714</v>
      </c>
      <c r="Q131" s="66">
        <f t="shared" si="12"/>
        <v>18.466597093553176</v>
      </c>
      <c r="R131" s="67">
        <f t="shared" si="11"/>
        <v>-0.43370439948927597</v>
      </c>
      <c r="T131" s="69"/>
      <c r="U131" s="70"/>
    </row>
    <row r="132" spans="1:21" x14ac:dyDescent="0.2">
      <c r="A132" s="58">
        <v>13927</v>
      </c>
      <c r="B132" s="59" t="s">
        <v>244</v>
      </c>
      <c r="C132" s="60">
        <v>3.65138755707763</v>
      </c>
      <c r="D132" s="61">
        <v>0</v>
      </c>
      <c r="E132" s="62">
        <v>0</v>
      </c>
      <c r="F132" s="63">
        <v>0</v>
      </c>
      <c r="G132" s="62">
        <v>0</v>
      </c>
      <c r="H132" s="63">
        <v>0</v>
      </c>
      <c r="I132" s="64">
        <v>0</v>
      </c>
      <c r="J132" s="65">
        <f t="shared" ref="J132:J136" si="13">IF((C132+D132-SUM(E132:H132)+I132)&gt;0,C132+D132-SUM(E132:H132)+I132,0)</f>
        <v>3.65138755707763</v>
      </c>
      <c r="K132" s="60">
        <v>4.0730000000000004</v>
      </c>
      <c r="L132" s="62">
        <f t="shared" ref="L132:L136" si="14">IF(K132&gt;J132,J132-K132,0)</f>
        <v>-0.42161244292237043</v>
      </c>
      <c r="M132" s="62">
        <v>0</v>
      </c>
      <c r="N132" s="62">
        <f t="shared" ref="N132:N136" si="15">H132*0.5</f>
        <v>0</v>
      </c>
      <c r="O132" s="63">
        <f t="shared" ref="O132:O136" si="16">IF(J132&gt;K132, (J132-K132)*0.25,0)</f>
        <v>0</v>
      </c>
      <c r="P132" s="61">
        <v>8.7818569910653982E-2</v>
      </c>
      <c r="Q132" s="66">
        <f t="shared" si="12"/>
        <v>3.7392061269882841</v>
      </c>
      <c r="R132" s="67">
        <f t="shared" ref="R132:R136" si="17">J132-Q132</f>
        <v>-8.7818569910654176E-2</v>
      </c>
      <c r="T132" s="69"/>
      <c r="U132" s="70"/>
    </row>
    <row r="133" spans="1:21" x14ac:dyDescent="0.2">
      <c r="A133" s="58">
        <v>10597</v>
      </c>
      <c r="B133" s="59" t="s">
        <v>245</v>
      </c>
      <c r="C133" s="60">
        <v>13.056170319634701</v>
      </c>
      <c r="D133" s="61">
        <v>0</v>
      </c>
      <c r="E133" s="62">
        <v>0</v>
      </c>
      <c r="F133" s="63">
        <v>0</v>
      </c>
      <c r="G133" s="62">
        <v>0</v>
      </c>
      <c r="H133" s="63">
        <v>0</v>
      </c>
      <c r="I133" s="64">
        <v>0</v>
      </c>
      <c r="J133" s="65">
        <f t="shared" si="13"/>
        <v>13.056170319634701</v>
      </c>
      <c r="K133" s="60">
        <v>12.936999999999999</v>
      </c>
      <c r="L133" s="62">
        <f t="shared" si="14"/>
        <v>0</v>
      </c>
      <c r="M133" s="62">
        <v>3.6972248250000013E-2</v>
      </c>
      <c r="N133" s="62">
        <f t="shared" si="15"/>
        <v>0</v>
      </c>
      <c r="O133" s="63">
        <f t="shared" si="16"/>
        <v>2.9792579908675343E-2</v>
      </c>
      <c r="P133" s="61">
        <v>0.31275015670407991</v>
      </c>
      <c r="Q133" s="66">
        <f t="shared" si="12"/>
        <v>13.316514984862756</v>
      </c>
      <c r="R133" s="67">
        <f t="shared" si="17"/>
        <v>-0.26034466522805566</v>
      </c>
      <c r="T133" s="69"/>
      <c r="U133" s="70"/>
    </row>
    <row r="134" spans="1:21" x14ac:dyDescent="0.2">
      <c r="A134" s="58">
        <v>10706</v>
      </c>
      <c r="B134" s="59" t="s">
        <v>246</v>
      </c>
      <c r="C134" s="60">
        <v>16.6015743150685</v>
      </c>
      <c r="D134" s="61">
        <v>0</v>
      </c>
      <c r="E134" s="62">
        <v>0</v>
      </c>
      <c r="F134" s="63">
        <v>0</v>
      </c>
      <c r="G134" s="62">
        <v>0</v>
      </c>
      <c r="H134" s="63">
        <v>0</v>
      </c>
      <c r="I134" s="64">
        <v>0</v>
      </c>
      <c r="J134" s="65">
        <f t="shared" si="13"/>
        <v>16.6015743150685</v>
      </c>
      <c r="K134" s="60">
        <v>17.277999999999999</v>
      </c>
      <c r="L134" s="62">
        <f t="shared" si="14"/>
        <v>-0.67642568493149824</v>
      </c>
      <c r="M134" s="62">
        <v>0.16925553445000002</v>
      </c>
      <c r="N134" s="62">
        <f t="shared" si="15"/>
        <v>0</v>
      </c>
      <c r="O134" s="63">
        <f t="shared" si="16"/>
        <v>0</v>
      </c>
      <c r="P134" s="61">
        <v>0.40335085514131608</v>
      </c>
      <c r="Q134" s="66">
        <f t="shared" si="12"/>
        <v>17.174180704659815</v>
      </c>
      <c r="R134" s="67">
        <f t="shared" si="17"/>
        <v>-0.57260638959131427</v>
      </c>
      <c r="T134" s="69"/>
      <c r="U134" s="70"/>
    </row>
    <row r="135" spans="1:21" x14ac:dyDescent="0.2">
      <c r="A135" s="58">
        <v>11680</v>
      </c>
      <c r="B135" s="59" t="s">
        <v>247</v>
      </c>
      <c r="C135" s="60">
        <v>6.5893698630137001</v>
      </c>
      <c r="D135" s="61">
        <v>0</v>
      </c>
      <c r="E135" s="62">
        <v>0</v>
      </c>
      <c r="F135" s="63">
        <v>0</v>
      </c>
      <c r="G135" s="62">
        <v>0</v>
      </c>
      <c r="H135" s="63">
        <v>0</v>
      </c>
      <c r="I135" s="64">
        <v>0</v>
      </c>
      <c r="J135" s="65">
        <f t="shared" si="13"/>
        <v>6.5893698630137001</v>
      </c>
      <c r="K135" s="60">
        <v>6.3289999999999997</v>
      </c>
      <c r="L135" s="62">
        <f t="shared" si="14"/>
        <v>0</v>
      </c>
      <c r="M135" s="62">
        <v>0</v>
      </c>
      <c r="N135" s="62">
        <f t="shared" si="15"/>
        <v>0</v>
      </c>
      <c r="O135" s="63">
        <f t="shared" si="16"/>
        <v>6.5092465753425088E-2</v>
      </c>
      <c r="P135" s="61">
        <v>0.15378265041478176</v>
      </c>
      <c r="Q135" s="66">
        <f t="shared" si="12"/>
        <v>6.5478751161682069</v>
      </c>
      <c r="R135" s="67">
        <f t="shared" si="17"/>
        <v>4.1494746845493147E-2</v>
      </c>
      <c r="T135" s="69"/>
      <c r="U135" s="70"/>
    </row>
    <row r="136" spans="1:21" ht="15" thickBot="1" x14ac:dyDescent="0.25">
      <c r="A136" s="71">
        <v>12026</v>
      </c>
      <c r="B136" s="59" t="s">
        <v>248</v>
      </c>
      <c r="C136" s="72">
        <v>46.6857275114155</v>
      </c>
      <c r="D136" s="73">
        <v>0</v>
      </c>
      <c r="E136" s="74">
        <v>0</v>
      </c>
      <c r="F136" s="75">
        <v>0</v>
      </c>
      <c r="G136" s="74">
        <v>0</v>
      </c>
      <c r="H136" s="75">
        <v>0</v>
      </c>
      <c r="I136" s="76">
        <v>0</v>
      </c>
      <c r="J136" s="65">
        <f t="shared" si="13"/>
        <v>46.6857275114155</v>
      </c>
      <c r="K136" s="60">
        <v>45.173000000000002</v>
      </c>
      <c r="L136" s="62">
        <f t="shared" si="14"/>
        <v>0</v>
      </c>
      <c r="M136" s="62">
        <v>0.17204076247899544</v>
      </c>
      <c r="N136" s="62">
        <f t="shared" si="15"/>
        <v>0</v>
      </c>
      <c r="O136" s="63">
        <f t="shared" si="16"/>
        <v>0.37818187785387458</v>
      </c>
      <c r="P136" s="61">
        <v>1.0996773038231344</v>
      </c>
      <c r="Q136" s="77">
        <f t="shared" si="12"/>
        <v>46.822899944156006</v>
      </c>
      <c r="R136" s="78">
        <f t="shared" si="17"/>
        <v>-0.13717243274050617</v>
      </c>
      <c r="T136" s="69"/>
      <c r="U136" s="70"/>
    </row>
    <row r="137" spans="1:21" ht="15" thickBot="1" x14ac:dyDescent="0.25">
      <c r="B137" s="79" t="s">
        <v>272</v>
      </c>
      <c r="C137" s="80">
        <f t="shared" ref="C137:R137" si="18">SUM(C4:C136)</f>
        <v>9941.6621260273969</v>
      </c>
      <c r="D137" s="81">
        <f t="shared" si="18"/>
        <v>0</v>
      </c>
      <c r="E137" s="81">
        <f t="shared" si="18"/>
        <v>1064.403</v>
      </c>
      <c r="F137" s="82">
        <f t="shared" si="18"/>
        <v>1493.9831735159817</v>
      </c>
      <c r="G137" s="81">
        <f t="shared" si="18"/>
        <v>64.918059360730595</v>
      </c>
      <c r="H137" s="82">
        <f t="shared" si="18"/>
        <v>44.529794520547938</v>
      </c>
      <c r="I137" s="83">
        <f t="shared" si="18"/>
        <v>130.5</v>
      </c>
      <c r="J137" s="84">
        <f t="shared" si="18"/>
        <v>7457.3818703196312</v>
      </c>
      <c r="K137" s="80">
        <f t="shared" si="18"/>
        <v>7245.2340000000013</v>
      </c>
      <c r="L137" s="81">
        <f t="shared" si="18"/>
        <v>-483.05519566210188</v>
      </c>
      <c r="M137" s="81">
        <f t="shared" si="18"/>
        <v>121.48285630905922</v>
      </c>
      <c r="N137" s="81">
        <f t="shared" si="18"/>
        <v>22.264897260273969</v>
      </c>
      <c r="O137" s="81">
        <f t="shared" si="18"/>
        <v>173.80076649543344</v>
      </c>
      <c r="P137" s="85">
        <f t="shared" si="18"/>
        <v>170.27267559733443</v>
      </c>
      <c r="Q137" s="86">
        <f t="shared" si="18"/>
        <v>7250</v>
      </c>
      <c r="R137" s="85">
        <f t="shared" si="18"/>
        <v>207.38187031963281</v>
      </c>
    </row>
    <row r="138" spans="1:21" ht="15" thickBot="1" x14ac:dyDescent="0.25"/>
    <row r="139" spans="1:21" ht="15" x14ac:dyDescent="0.25">
      <c r="Q139" s="87" t="s">
        <v>273</v>
      </c>
      <c r="R139" s="88">
        <f>SUMIF(R$4:R$136,"&lt;0")</f>
        <v>-188.91796407775422</v>
      </c>
    </row>
    <row r="140" spans="1:21" ht="15.75" thickBot="1" x14ac:dyDescent="0.3">
      <c r="J140" s="63"/>
      <c r="M140" s="63"/>
      <c r="N140" s="63"/>
      <c r="Q140" s="89" t="s">
        <v>274</v>
      </c>
      <c r="R140" s="90">
        <f>SUMIF(R$4:R$136,"&gt;0")</f>
        <v>396.29983439738697</v>
      </c>
    </row>
  </sheetData>
  <mergeCells count="15">
    <mergeCell ref="C1:J1"/>
    <mergeCell ref="K1:R1"/>
    <mergeCell ref="C2:C3"/>
    <mergeCell ref="D2:D3"/>
    <mergeCell ref="E2:E3"/>
    <mergeCell ref="F2:I2"/>
    <mergeCell ref="J2:J3"/>
    <mergeCell ref="K2:K3"/>
    <mergeCell ref="L2:L3"/>
    <mergeCell ref="M2:M3"/>
    <mergeCell ref="N2:N3"/>
    <mergeCell ref="O2:O3"/>
    <mergeCell ref="P2:P3"/>
    <mergeCell ref="Q2:Q3"/>
    <mergeCell ref="R2:R3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504048-2451-431E-80B9-CA2DA3D1D5F2}">
  <dimension ref="A1:AA181"/>
  <sheetViews>
    <sheetView topLeftCell="B1" zoomScaleNormal="100" workbookViewId="0">
      <pane xSplit="4" ySplit="3" topLeftCell="F54" activePane="bottomRight" state="frozen"/>
      <selection activeCell="B1" sqref="B1"/>
      <selection pane="topRight" activeCell="F1" sqref="F1"/>
      <selection pane="bottomLeft" activeCell="B4" sqref="B4"/>
      <selection pane="bottomRight" activeCell="F91" sqref="F91"/>
    </sheetView>
  </sheetViews>
  <sheetFormatPr defaultColWidth="9.140625" defaultRowHeight="12.75" outlineLevelRow="1" outlineLevelCol="1" x14ac:dyDescent="0.2"/>
  <cols>
    <col min="1" max="1" width="9.5703125" style="38" hidden="1" customWidth="1"/>
    <col min="2" max="2" width="9.28515625" style="38" bestFit="1" customWidth="1"/>
    <col min="3" max="3" width="26.5703125" style="38" bestFit="1" customWidth="1"/>
    <col min="4" max="5" width="10.140625" style="38" customWidth="1" outlineLevel="1"/>
    <col min="6" max="8" width="10.140625" style="38" customWidth="1"/>
    <col min="9" max="9" width="10.140625" style="48" customWidth="1"/>
    <col min="10" max="12" width="8.7109375" style="49" customWidth="1"/>
    <col min="13" max="14" width="11.140625" style="38" bestFit="1" customWidth="1"/>
    <col min="15" max="15" width="11.140625" style="38" customWidth="1"/>
    <col min="16" max="17" width="10.140625" style="38" customWidth="1"/>
    <col min="18" max="19" width="9.140625" style="38"/>
    <col min="20" max="21" width="9.5703125" style="38" bestFit="1" customWidth="1"/>
    <col min="22" max="16384" width="9.140625" style="38"/>
  </cols>
  <sheetData>
    <row r="1" spans="1:27" s="23" customFormat="1" ht="15.75" x14ac:dyDescent="0.25">
      <c r="B1" s="24" t="s">
        <v>104</v>
      </c>
      <c r="C1" s="25"/>
      <c r="D1" s="26"/>
      <c r="E1" s="26"/>
      <c r="F1" s="27"/>
      <c r="G1" s="27"/>
      <c r="H1" s="27"/>
      <c r="I1" s="28"/>
      <c r="J1" s="26"/>
      <c r="K1" s="26"/>
      <c r="L1" s="26"/>
      <c r="M1" s="26"/>
      <c r="N1" s="26"/>
      <c r="O1" s="26"/>
    </row>
    <row r="2" spans="1:27" s="23" customFormat="1" ht="28.5" customHeight="1" outlineLevel="1" x14ac:dyDescent="0.35">
      <c r="A2" s="29" t="s">
        <v>105</v>
      </c>
      <c r="B2" s="30"/>
      <c r="C2" s="25"/>
      <c r="D2" s="26"/>
      <c r="E2" s="26"/>
      <c r="F2" s="31" t="s">
        <v>106</v>
      </c>
      <c r="G2" s="31" t="s">
        <v>107</v>
      </c>
      <c r="H2" s="31" t="s">
        <v>108</v>
      </c>
      <c r="I2" s="32" t="s">
        <v>109</v>
      </c>
      <c r="J2" s="32" t="s">
        <v>110</v>
      </c>
      <c r="K2" s="32" t="s">
        <v>111</v>
      </c>
      <c r="L2" s="32" t="s">
        <v>112</v>
      </c>
      <c r="M2" s="32" t="s">
        <v>113</v>
      </c>
      <c r="N2" s="32" t="s">
        <v>114</v>
      </c>
      <c r="O2" s="32" t="s">
        <v>115</v>
      </c>
      <c r="P2" s="32" t="s">
        <v>116</v>
      </c>
      <c r="Q2" s="32" t="s">
        <v>117</v>
      </c>
      <c r="R2" s="32" t="s">
        <v>118</v>
      </c>
    </row>
    <row r="3" spans="1:27" s="23" customFormat="1" ht="48.75" customHeight="1" x14ac:dyDescent="0.2">
      <c r="A3" s="33" t="s">
        <v>119</v>
      </c>
      <c r="B3" s="34" t="s">
        <v>59</v>
      </c>
      <c r="C3" s="34" t="s">
        <v>120</v>
      </c>
      <c r="D3" s="35" t="s">
        <v>121</v>
      </c>
      <c r="E3" s="35" t="s">
        <v>122</v>
      </c>
      <c r="F3" s="34" t="s">
        <v>123</v>
      </c>
      <c r="G3" s="34" t="s">
        <v>124</v>
      </c>
      <c r="H3" s="34" t="s">
        <v>125</v>
      </c>
      <c r="I3" s="36" t="s">
        <v>126</v>
      </c>
      <c r="J3" s="37" t="s">
        <v>127</v>
      </c>
      <c r="K3" s="37" t="s">
        <v>128</v>
      </c>
      <c r="L3" s="37" t="s">
        <v>129</v>
      </c>
      <c r="M3" s="37" t="s">
        <v>130</v>
      </c>
      <c r="N3" s="37" t="s">
        <v>131</v>
      </c>
      <c r="O3" s="37" t="s">
        <v>132</v>
      </c>
      <c r="P3" s="37" t="s">
        <v>133</v>
      </c>
      <c r="Q3" s="37" t="s">
        <v>134</v>
      </c>
      <c r="R3" s="37" t="s">
        <v>135</v>
      </c>
    </row>
    <row r="4" spans="1:27" x14ac:dyDescent="0.2">
      <c r="B4" s="39">
        <v>10015</v>
      </c>
      <c r="C4" s="40" t="s">
        <v>136</v>
      </c>
      <c r="D4" s="41">
        <v>1</v>
      </c>
      <c r="E4" s="41">
        <v>0</v>
      </c>
      <c r="F4" s="42">
        <v>0.76100000000000001</v>
      </c>
      <c r="G4" s="42">
        <v>0.76100000000000001</v>
      </c>
      <c r="H4" s="42">
        <v>0.76</v>
      </c>
      <c r="I4" s="42">
        <v>0.56499999999999995</v>
      </c>
      <c r="J4" s="42">
        <v>0.19600000000000001</v>
      </c>
      <c r="K4" s="42">
        <v>0.19600000000000001</v>
      </c>
      <c r="L4" s="42">
        <v>0.19500000000000001</v>
      </c>
      <c r="M4" s="42">
        <v>0.19600000000000001</v>
      </c>
      <c r="N4" s="42">
        <v>0.19600000000000001</v>
      </c>
      <c r="O4" s="42">
        <v>0.19500000000000001</v>
      </c>
      <c r="P4" s="42">
        <v>0</v>
      </c>
      <c r="Q4" s="42">
        <v>0</v>
      </c>
      <c r="R4" s="42">
        <v>0</v>
      </c>
      <c r="S4" s="43"/>
      <c r="T4" s="43"/>
      <c r="U4" s="43"/>
      <c r="V4" s="43"/>
      <c r="W4" s="43"/>
      <c r="X4" s="43"/>
      <c r="Y4" s="43"/>
      <c r="Z4" s="43"/>
      <c r="AA4" s="43"/>
    </row>
    <row r="5" spans="1:27" x14ac:dyDescent="0.2">
      <c r="B5" s="39">
        <v>10024</v>
      </c>
      <c r="C5" s="40" t="s">
        <v>137</v>
      </c>
      <c r="D5" s="41">
        <v>1</v>
      </c>
      <c r="E5" s="41">
        <v>0</v>
      </c>
      <c r="F5" s="42">
        <v>212.74700000000001</v>
      </c>
      <c r="G5" s="42">
        <v>213.64500000000001</v>
      </c>
      <c r="H5" s="42">
        <v>213.821</v>
      </c>
      <c r="I5" s="42">
        <v>197.79300000000001</v>
      </c>
      <c r="J5" s="42">
        <v>14.954000000000001</v>
      </c>
      <c r="K5" s="42">
        <v>15.852</v>
      </c>
      <c r="L5" s="42">
        <v>16.027999999999999</v>
      </c>
      <c r="M5" s="42">
        <v>0</v>
      </c>
      <c r="N5" s="42">
        <v>0</v>
      </c>
      <c r="O5" s="42">
        <v>0</v>
      </c>
      <c r="P5" s="42">
        <v>14.954000000000001</v>
      </c>
      <c r="Q5" s="42">
        <v>15.852</v>
      </c>
      <c r="R5" s="42">
        <v>16.027999999999999</v>
      </c>
      <c r="S5" s="43"/>
      <c r="T5" s="43"/>
      <c r="U5" s="43"/>
      <c r="V5" s="43"/>
      <c r="W5" s="43"/>
      <c r="X5" s="43"/>
      <c r="Y5" s="43"/>
      <c r="Z5" s="43"/>
      <c r="AA5" s="43"/>
    </row>
    <row r="6" spans="1:27" x14ac:dyDescent="0.2">
      <c r="B6" s="39">
        <v>10025</v>
      </c>
      <c r="C6" s="40" t="s">
        <v>138</v>
      </c>
      <c r="D6" s="41">
        <v>1</v>
      </c>
      <c r="E6" s="41">
        <v>0</v>
      </c>
      <c r="F6" s="42">
        <v>74.805000000000007</v>
      </c>
      <c r="G6" s="42">
        <v>75.47</v>
      </c>
      <c r="H6" s="42">
        <v>75.930999999999997</v>
      </c>
      <c r="I6" s="42">
        <v>58.73</v>
      </c>
      <c r="J6" s="42">
        <v>16.074999999999999</v>
      </c>
      <c r="K6" s="42">
        <v>16.739999999999998</v>
      </c>
      <c r="L6" s="42">
        <v>17.201000000000001</v>
      </c>
      <c r="M6" s="42">
        <v>0</v>
      </c>
      <c r="N6" s="42">
        <v>0</v>
      </c>
      <c r="O6" s="42">
        <v>0</v>
      </c>
      <c r="P6" s="42">
        <v>16.074999999999999</v>
      </c>
      <c r="Q6" s="42">
        <v>16.739999999999998</v>
      </c>
      <c r="R6" s="42">
        <v>17.201000000000001</v>
      </c>
      <c r="S6" s="43"/>
      <c r="T6" s="43"/>
      <c r="U6" s="43"/>
      <c r="V6" s="43"/>
      <c r="W6" s="43"/>
      <c r="X6" s="43"/>
      <c r="Y6" s="43"/>
      <c r="Z6" s="43"/>
      <c r="AA6" s="43"/>
    </row>
    <row r="7" spans="1:27" x14ac:dyDescent="0.2">
      <c r="B7" s="39">
        <v>10027</v>
      </c>
      <c r="C7" s="40" t="s">
        <v>139</v>
      </c>
      <c r="D7" s="41">
        <v>1</v>
      </c>
      <c r="E7" s="41">
        <v>0</v>
      </c>
      <c r="F7" s="42">
        <v>68.317999999999998</v>
      </c>
      <c r="G7" s="42">
        <v>68.653000000000006</v>
      </c>
      <c r="H7" s="42">
        <v>68.837999999999994</v>
      </c>
      <c r="I7" s="42">
        <v>60.241</v>
      </c>
      <c r="J7" s="42">
        <v>8.077</v>
      </c>
      <c r="K7" s="42">
        <v>8.4120000000000008</v>
      </c>
      <c r="L7" s="42">
        <v>8.5969999999999995</v>
      </c>
      <c r="M7" s="42">
        <v>0</v>
      </c>
      <c r="N7" s="42">
        <v>0</v>
      </c>
      <c r="O7" s="42">
        <v>0</v>
      </c>
      <c r="P7" s="42">
        <v>8.077</v>
      </c>
      <c r="Q7" s="42">
        <v>8.4120000000000008</v>
      </c>
      <c r="R7" s="42">
        <v>8.5969999999999995</v>
      </c>
      <c r="S7" s="43"/>
      <c r="T7" s="43"/>
      <c r="U7" s="43"/>
      <c r="V7" s="43"/>
      <c r="W7" s="43"/>
      <c r="X7" s="43"/>
      <c r="Y7" s="43"/>
      <c r="Z7" s="43"/>
      <c r="AA7" s="43"/>
    </row>
    <row r="8" spans="1:27" x14ac:dyDescent="0.2">
      <c r="B8" s="39">
        <v>10029</v>
      </c>
      <c r="C8" s="40" t="s">
        <v>79</v>
      </c>
      <c r="D8" s="41">
        <v>0</v>
      </c>
      <c r="E8" s="41">
        <v>1</v>
      </c>
      <c r="F8" s="42">
        <v>23.213000000000001</v>
      </c>
      <c r="G8" s="42">
        <v>24.408999999999999</v>
      </c>
      <c r="H8" s="42">
        <v>24.669</v>
      </c>
      <c r="I8" s="42">
        <v>17.341999999999999</v>
      </c>
      <c r="J8" s="42">
        <v>5.8710000000000004</v>
      </c>
      <c r="K8" s="42">
        <v>7.0670000000000002</v>
      </c>
      <c r="L8" s="42">
        <v>7.327</v>
      </c>
      <c r="M8" s="42">
        <v>0</v>
      </c>
      <c r="N8" s="42">
        <v>0</v>
      </c>
      <c r="O8" s="42">
        <v>0</v>
      </c>
      <c r="P8" s="42">
        <v>5.8710000000000004</v>
      </c>
      <c r="Q8" s="42">
        <v>7.0670000000000002</v>
      </c>
      <c r="R8" s="42">
        <v>7.327</v>
      </c>
      <c r="S8" s="43"/>
      <c r="T8" s="43"/>
      <c r="U8" s="43"/>
      <c r="V8" s="43"/>
      <c r="W8" s="43"/>
      <c r="X8" s="43"/>
      <c r="Y8" s="43"/>
      <c r="Z8" s="43"/>
      <c r="AA8" s="43"/>
    </row>
    <row r="9" spans="1:27" x14ac:dyDescent="0.2">
      <c r="B9" s="39">
        <v>10044</v>
      </c>
      <c r="C9" s="40" t="s">
        <v>140</v>
      </c>
      <c r="D9" s="41">
        <v>1</v>
      </c>
      <c r="E9" s="41">
        <v>0</v>
      </c>
      <c r="F9" s="42">
        <v>22.338000000000001</v>
      </c>
      <c r="G9" s="42">
        <v>22.45</v>
      </c>
      <c r="H9" s="42">
        <v>22.556000000000001</v>
      </c>
      <c r="I9" s="42">
        <v>19.992999999999999</v>
      </c>
      <c r="J9" s="42">
        <v>2.3450000000000002</v>
      </c>
      <c r="K9" s="42">
        <v>2.4569999999999999</v>
      </c>
      <c r="L9" s="42">
        <v>2.5630000000000002</v>
      </c>
      <c r="M9" s="42">
        <v>0</v>
      </c>
      <c r="N9" s="42">
        <v>0</v>
      </c>
      <c r="O9" s="42">
        <v>0</v>
      </c>
      <c r="P9" s="42">
        <v>2.3450000000000002</v>
      </c>
      <c r="Q9" s="42">
        <v>2.4569999999999999</v>
      </c>
      <c r="R9" s="42">
        <v>2.5630000000000002</v>
      </c>
      <c r="S9" s="43"/>
      <c r="T9" s="43"/>
      <c r="U9" s="43"/>
      <c r="V9" s="43"/>
      <c r="W9" s="43"/>
      <c r="X9" s="43"/>
      <c r="Y9" s="43"/>
      <c r="Z9" s="43"/>
      <c r="AA9" s="43"/>
    </row>
    <row r="10" spans="1:27" x14ac:dyDescent="0.2">
      <c r="B10" s="39">
        <v>10046</v>
      </c>
      <c r="C10" s="40" t="s">
        <v>80</v>
      </c>
      <c r="D10" s="41">
        <v>0</v>
      </c>
      <c r="E10" s="41">
        <v>1</v>
      </c>
      <c r="F10" s="42">
        <v>102.441</v>
      </c>
      <c r="G10" s="42">
        <v>103.89</v>
      </c>
      <c r="H10" s="42">
        <v>105.331</v>
      </c>
      <c r="I10" s="42">
        <v>80.575999999999993</v>
      </c>
      <c r="J10" s="42">
        <v>21.864999999999998</v>
      </c>
      <c r="K10" s="42">
        <v>23.314</v>
      </c>
      <c r="L10" s="42">
        <v>24.754999999999999</v>
      </c>
      <c r="M10" s="42">
        <v>0</v>
      </c>
      <c r="N10" s="42">
        <v>0</v>
      </c>
      <c r="O10" s="42">
        <v>0</v>
      </c>
      <c r="P10" s="42">
        <v>21.864999999999998</v>
      </c>
      <c r="Q10" s="42">
        <v>23.314</v>
      </c>
      <c r="R10" s="42">
        <v>24.754999999999999</v>
      </c>
      <c r="S10" s="43"/>
      <c r="T10" s="43"/>
      <c r="U10" s="43"/>
      <c r="V10" s="43"/>
      <c r="W10" s="43"/>
      <c r="X10" s="43"/>
      <c r="Y10" s="43"/>
      <c r="Z10" s="43"/>
      <c r="AA10" s="43"/>
    </row>
    <row r="11" spans="1:27" x14ac:dyDescent="0.2">
      <c r="B11" s="39">
        <v>10047</v>
      </c>
      <c r="C11" s="40" t="s">
        <v>141</v>
      </c>
      <c r="D11" s="41">
        <v>1</v>
      </c>
      <c r="E11" s="41">
        <v>0</v>
      </c>
      <c r="F11" s="42">
        <v>151.52000000000001</v>
      </c>
      <c r="G11" s="42">
        <v>151.672</v>
      </c>
      <c r="H11" s="42">
        <v>151.976</v>
      </c>
      <c r="I11" s="42">
        <v>154.232</v>
      </c>
      <c r="J11" s="42">
        <v>0</v>
      </c>
      <c r="K11" s="42">
        <v>0</v>
      </c>
      <c r="L11" s="42">
        <v>0</v>
      </c>
      <c r="M11" s="42">
        <v>0</v>
      </c>
      <c r="N11" s="42">
        <v>0</v>
      </c>
      <c r="O11" s="42">
        <v>0</v>
      </c>
      <c r="P11" s="42">
        <v>0</v>
      </c>
      <c r="Q11" s="42">
        <v>0</v>
      </c>
      <c r="R11" s="42">
        <v>0</v>
      </c>
      <c r="S11" s="43"/>
      <c r="T11" s="43"/>
      <c r="U11" s="43"/>
      <c r="V11" s="43"/>
      <c r="W11" s="43"/>
      <c r="X11" s="43"/>
      <c r="Y11" s="43"/>
      <c r="Z11" s="43"/>
      <c r="AA11" s="43"/>
    </row>
    <row r="12" spans="1:27" x14ac:dyDescent="0.2">
      <c r="B12" s="39">
        <v>10055</v>
      </c>
      <c r="C12" s="40" t="s">
        <v>142</v>
      </c>
      <c r="D12" s="41">
        <v>1</v>
      </c>
      <c r="E12" s="41">
        <v>0</v>
      </c>
      <c r="F12" s="42">
        <v>0.46600000000000003</v>
      </c>
      <c r="G12" s="42">
        <v>0.46899999999999997</v>
      </c>
      <c r="H12" s="42">
        <v>0.47099999999999997</v>
      </c>
      <c r="I12" s="42">
        <v>0.39200000000000002</v>
      </c>
      <c r="J12" s="42">
        <v>7.3999999999999996E-2</v>
      </c>
      <c r="K12" s="42">
        <v>7.6999999999999999E-2</v>
      </c>
      <c r="L12" s="42">
        <v>7.9000000000000001E-2</v>
      </c>
      <c r="M12" s="42">
        <v>7.3999999999999996E-2</v>
      </c>
      <c r="N12" s="42">
        <v>7.6999999999999999E-2</v>
      </c>
      <c r="O12" s="42">
        <v>7.9000000000000001E-2</v>
      </c>
      <c r="P12" s="42">
        <v>0</v>
      </c>
      <c r="Q12" s="42">
        <v>0</v>
      </c>
      <c r="R12" s="42">
        <v>0</v>
      </c>
      <c r="S12" s="43"/>
      <c r="T12" s="43"/>
      <c r="U12" s="43"/>
      <c r="V12" s="43"/>
      <c r="W12" s="43"/>
      <c r="X12" s="43"/>
      <c r="Y12" s="43"/>
      <c r="Z12" s="43"/>
      <c r="AA12" s="43"/>
    </row>
    <row r="13" spans="1:27" x14ac:dyDescent="0.2">
      <c r="B13" s="39">
        <v>10057</v>
      </c>
      <c r="C13" s="40" t="s">
        <v>143</v>
      </c>
      <c r="D13" s="41">
        <v>1</v>
      </c>
      <c r="E13" s="41">
        <v>0</v>
      </c>
      <c r="F13" s="42">
        <v>19.218</v>
      </c>
      <c r="G13" s="42">
        <v>19.218</v>
      </c>
      <c r="H13" s="42">
        <v>19.222999999999999</v>
      </c>
      <c r="I13" s="42">
        <v>20.74</v>
      </c>
      <c r="J13" s="42">
        <v>0</v>
      </c>
      <c r="K13" s="42">
        <v>0</v>
      </c>
      <c r="L13" s="42">
        <v>0</v>
      </c>
      <c r="M13" s="42">
        <v>0</v>
      </c>
      <c r="N13" s="42">
        <v>0</v>
      </c>
      <c r="O13" s="42">
        <v>0</v>
      </c>
      <c r="P13" s="42">
        <v>0</v>
      </c>
      <c r="Q13" s="42">
        <v>0</v>
      </c>
      <c r="R13" s="42">
        <v>0</v>
      </c>
      <c r="S13" s="43"/>
      <c r="T13" s="43"/>
      <c r="U13" s="43"/>
      <c r="V13" s="43"/>
      <c r="W13" s="43"/>
      <c r="X13" s="43"/>
      <c r="Y13" s="43"/>
      <c r="Z13" s="43"/>
      <c r="AA13" s="43"/>
    </row>
    <row r="14" spans="1:27" x14ac:dyDescent="0.2">
      <c r="B14" s="39">
        <v>10059</v>
      </c>
      <c r="C14" s="40" t="s">
        <v>144</v>
      </c>
      <c r="D14" s="41">
        <v>1</v>
      </c>
      <c r="E14" s="41">
        <v>0</v>
      </c>
      <c r="F14" s="42">
        <v>7.7350000000000003</v>
      </c>
      <c r="G14" s="42">
        <v>7.7350000000000003</v>
      </c>
      <c r="H14" s="42">
        <v>7.7350000000000003</v>
      </c>
      <c r="I14" s="42">
        <v>7.52</v>
      </c>
      <c r="J14" s="42">
        <v>0.215</v>
      </c>
      <c r="K14" s="42">
        <v>0.215</v>
      </c>
      <c r="L14" s="42">
        <v>0.215</v>
      </c>
      <c r="M14" s="42">
        <v>0.215</v>
      </c>
      <c r="N14" s="42">
        <v>0.215</v>
      </c>
      <c r="O14" s="42">
        <v>0.215</v>
      </c>
      <c r="P14" s="42">
        <v>0</v>
      </c>
      <c r="Q14" s="42">
        <v>0</v>
      </c>
      <c r="R14" s="42">
        <v>0</v>
      </c>
      <c r="S14" s="43"/>
      <c r="T14" s="43"/>
      <c r="U14" s="43"/>
      <c r="V14" s="43"/>
      <c r="W14" s="43"/>
      <c r="X14" s="43"/>
      <c r="Y14" s="43"/>
      <c r="Z14" s="43"/>
      <c r="AA14" s="43"/>
    </row>
    <row r="15" spans="1:27" x14ac:dyDescent="0.2">
      <c r="B15" s="39">
        <v>10061</v>
      </c>
      <c r="C15" s="40" t="s">
        <v>145</v>
      </c>
      <c r="D15" s="41">
        <v>1</v>
      </c>
      <c r="E15" s="41">
        <v>0</v>
      </c>
      <c r="F15" s="42">
        <v>11.823</v>
      </c>
      <c r="G15" s="42">
        <v>12.473000000000001</v>
      </c>
      <c r="H15" s="42">
        <v>13.11</v>
      </c>
      <c r="I15" s="42">
        <v>8.61</v>
      </c>
      <c r="J15" s="42">
        <v>3.2130000000000001</v>
      </c>
      <c r="K15" s="42">
        <v>3.863</v>
      </c>
      <c r="L15" s="42">
        <v>4.5</v>
      </c>
      <c r="M15" s="42">
        <v>0</v>
      </c>
      <c r="N15" s="42">
        <v>0</v>
      </c>
      <c r="O15" s="42">
        <v>0</v>
      </c>
      <c r="P15" s="42">
        <v>3.2130000000000001</v>
      </c>
      <c r="Q15" s="42">
        <v>3.863</v>
      </c>
      <c r="R15" s="42">
        <v>4.5</v>
      </c>
      <c r="S15" s="43"/>
      <c r="T15" s="43"/>
      <c r="U15" s="43"/>
      <c r="V15" s="43"/>
      <c r="W15" s="43"/>
      <c r="X15" s="43"/>
      <c r="Y15" s="43"/>
      <c r="Z15" s="43"/>
      <c r="AA15" s="43"/>
    </row>
    <row r="16" spans="1:27" x14ac:dyDescent="0.2">
      <c r="B16" s="39">
        <v>10062</v>
      </c>
      <c r="C16" s="40" t="s">
        <v>146</v>
      </c>
      <c r="D16" s="41">
        <v>1</v>
      </c>
      <c r="E16" s="41">
        <v>0</v>
      </c>
      <c r="F16" s="42">
        <v>7.28</v>
      </c>
      <c r="G16" s="42">
        <v>7.3929999999999998</v>
      </c>
      <c r="H16" s="42">
        <v>7.5069999999999997</v>
      </c>
      <c r="I16" s="42">
        <v>5.2370000000000001</v>
      </c>
      <c r="J16" s="42">
        <v>2.0430000000000001</v>
      </c>
      <c r="K16" s="42">
        <v>2.1560000000000001</v>
      </c>
      <c r="L16" s="42">
        <v>2.27</v>
      </c>
      <c r="M16" s="42">
        <v>0</v>
      </c>
      <c r="N16" s="42">
        <v>0</v>
      </c>
      <c r="O16" s="42">
        <v>0</v>
      </c>
      <c r="P16" s="42">
        <v>2.0430000000000001</v>
      </c>
      <c r="Q16" s="42">
        <v>2.1560000000000001</v>
      </c>
      <c r="R16" s="42">
        <v>2.27</v>
      </c>
      <c r="S16" s="43"/>
      <c r="T16" s="43"/>
      <c r="U16" s="43"/>
      <c r="V16" s="43"/>
      <c r="W16" s="43"/>
      <c r="X16" s="43"/>
      <c r="Y16" s="43"/>
      <c r="Z16" s="43"/>
      <c r="AA16" s="43"/>
    </row>
    <row r="17" spans="2:27" x14ac:dyDescent="0.2">
      <c r="B17" s="39">
        <v>10064</v>
      </c>
      <c r="C17" s="40" t="s">
        <v>147</v>
      </c>
      <c r="D17" s="41">
        <v>1</v>
      </c>
      <c r="E17" s="41">
        <v>0</v>
      </c>
      <c r="F17" s="42">
        <v>21.321999999999999</v>
      </c>
      <c r="G17" s="42">
        <v>21.35</v>
      </c>
      <c r="H17" s="42">
        <v>21.370999999999999</v>
      </c>
      <c r="I17" s="42">
        <v>13.845000000000001</v>
      </c>
      <c r="J17" s="42">
        <v>7.4770000000000003</v>
      </c>
      <c r="K17" s="42">
        <v>7.5049999999999999</v>
      </c>
      <c r="L17" s="42">
        <v>7.5259999999999998</v>
      </c>
      <c r="M17" s="42">
        <v>0</v>
      </c>
      <c r="N17" s="42">
        <v>0</v>
      </c>
      <c r="O17" s="42">
        <v>0</v>
      </c>
      <c r="P17" s="42">
        <v>7.4770000000000003</v>
      </c>
      <c r="Q17" s="42">
        <v>7.5049999999999999</v>
      </c>
      <c r="R17" s="42">
        <v>7.5259999999999998</v>
      </c>
      <c r="S17" s="43"/>
      <c r="T17" s="43"/>
      <c r="U17" s="43"/>
      <c r="V17" s="43"/>
      <c r="W17" s="43"/>
      <c r="X17" s="43"/>
      <c r="Y17" s="43"/>
      <c r="Z17" s="43"/>
      <c r="AA17" s="43"/>
    </row>
    <row r="18" spans="2:27" x14ac:dyDescent="0.2">
      <c r="B18" s="39">
        <v>10065</v>
      </c>
      <c r="C18" s="40" t="s">
        <v>148</v>
      </c>
      <c r="D18" s="41">
        <v>1</v>
      </c>
      <c r="E18" s="41">
        <v>0</v>
      </c>
      <c r="F18" s="42">
        <v>5.0780000000000003</v>
      </c>
      <c r="G18" s="42">
        <v>5.3129999999999997</v>
      </c>
      <c r="H18" s="42">
        <v>5.3730000000000002</v>
      </c>
      <c r="I18" s="42">
        <v>2.34</v>
      </c>
      <c r="J18" s="42">
        <v>2.738</v>
      </c>
      <c r="K18" s="42">
        <v>2.9729999999999999</v>
      </c>
      <c r="L18" s="42">
        <v>3.0329999999999999</v>
      </c>
      <c r="M18" s="42">
        <v>0</v>
      </c>
      <c r="N18" s="42">
        <v>0</v>
      </c>
      <c r="O18" s="42">
        <v>0</v>
      </c>
      <c r="P18" s="42">
        <v>2.738</v>
      </c>
      <c r="Q18" s="42">
        <v>2.9729999999999999</v>
      </c>
      <c r="R18" s="42">
        <v>3.0329999999999999</v>
      </c>
      <c r="S18" s="43"/>
      <c r="T18" s="43"/>
      <c r="U18" s="43"/>
      <c r="V18" s="43"/>
      <c r="W18" s="43"/>
      <c r="X18" s="43"/>
      <c r="Y18" s="43"/>
      <c r="Z18" s="43"/>
      <c r="AA18" s="43"/>
    </row>
    <row r="19" spans="2:27" x14ac:dyDescent="0.2">
      <c r="B19" s="39">
        <v>10066</v>
      </c>
      <c r="C19" s="40" t="s">
        <v>149</v>
      </c>
      <c r="D19" s="41">
        <v>1</v>
      </c>
      <c r="E19" s="41">
        <v>0</v>
      </c>
      <c r="F19" s="42">
        <v>26.420999999999999</v>
      </c>
      <c r="G19" s="42">
        <v>26.5</v>
      </c>
      <c r="H19" s="42">
        <v>26.594999999999999</v>
      </c>
      <c r="I19" s="42">
        <v>23.992000000000001</v>
      </c>
      <c r="J19" s="42">
        <v>2.4289999999999998</v>
      </c>
      <c r="K19" s="42">
        <v>2.508</v>
      </c>
      <c r="L19" s="42">
        <v>2.6030000000000002</v>
      </c>
      <c r="M19" s="42">
        <v>0</v>
      </c>
      <c r="N19" s="42">
        <v>0</v>
      </c>
      <c r="O19" s="42">
        <v>0</v>
      </c>
      <c r="P19" s="42">
        <v>2.4289999999999998</v>
      </c>
      <c r="Q19" s="42">
        <v>2.508</v>
      </c>
      <c r="R19" s="42">
        <v>2.6030000000000002</v>
      </c>
      <c r="S19" s="43"/>
      <c r="T19" s="43"/>
      <c r="U19" s="43"/>
      <c r="V19" s="43"/>
      <c r="W19" s="43"/>
      <c r="X19" s="43"/>
      <c r="Y19" s="43"/>
      <c r="Z19" s="43"/>
      <c r="AA19" s="43"/>
    </row>
    <row r="20" spans="2:27" x14ac:dyDescent="0.2">
      <c r="B20" s="39">
        <v>10067</v>
      </c>
      <c r="C20" s="40" t="s">
        <v>150</v>
      </c>
      <c r="D20" s="41">
        <v>1</v>
      </c>
      <c r="E20" s="41">
        <v>0</v>
      </c>
      <c r="F20" s="42">
        <v>16.571000000000002</v>
      </c>
      <c r="G20" s="42">
        <v>16.702999999999999</v>
      </c>
      <c r="H20" s="42">
        <v>16.831</v>
      </c>
      <c r="I20" s="42">
        <v>15.571</v>
      </c>
      <c r="J20" s="42">
        <v>1</v>
      </c>
      <c r="K20" s="42">
        <v>1.1319999999999999</v>
      </c>
      <c r="L20" s="42">
        <v>1.26</v>
      </c>
      <c r="M20" s="42">
        <v>0</v>
      </c>
      <c r="N20" s="42">
        <v>0</v>
      </c>
      <c r="O20" s="42">
        <v>0</v>
      </c>
      <c r="P20" s="42">
        <v>1</v>
      </c>
      <c r="Q20" s="42">
        <v>1.1319999999999999</v>
      </c>
      <c r="R20" s="42">
        <v>1.26</v>
      </c>
      <c r="S20" s="43"/>
      <c r="T20" s="43"/>
      <c r="U20" s="43"/>
      <c r="V20" s="43"/>
      <c r="W20" s="43"/>
      <c r="X20" s="43"/>
      <c r="Y20" s="43"/>
      <c r="Z20" s="43"/>
      <c r="AA20" s="43"/>
    </row>
    <row r="21" spans="2:27" x14ac:dyDescent="0.2">
      <c r="B21" s="39">
        <v>10068</v>
      </c>
      <c r="C21" s="40" t="s">
        <v>151</v>
      </c>
      <c r="D21" s="41">
        <v>1</v>
      </c>
      <c r="E21" s="41">
        <v>0</v>
      </c>
      <c r="F21" s="42">
        <v>2.52</v>
      </c>
      <c r="G21" s="42">
        <v>2.52</v>
      </c>
      <c r="H21" s="42">
        <v>2.5190000000000001</v>
      </c>
      <c r="I21" s="42">
        <v>2.7269999999999999</v>
      </c>
      <c r="J21" s="42">
        <v>0</v>
      </c>
      <c r="K21" s="42">
        <v>0</v>
      </c>
      <c r="L21" s="42">
        <v>0</v>
      </c>
      <c r="M21" s="42">
        <v>0</v>
      </c>
      <c r="N21" s="42">
        <v>0</v>
      </c>
      <c r="O21" s="42">
        <v>0</v>
      </c>
      <c r="P21" s="42">
        <v>0</v>
      </c>
      <c r="Q21" s="42">
        <v>0</v>
      </c>
      <c r="R21" s="42">
        <v>0</v>
      </c>
      <c r="S21" s="43"/>
      <c r="T21" s="43"/>
      <c r="U21" s="43"/>
      <c r="V21" s="43"/>
      <c r="W21" s="43"/>
      <c r="X21" s="43"/>
      <c r="Y21" s="43"/>
      <c r="Z21" s="43"/>
      <c r="AA21" s="43"/>
    </row>
    <row r="22" spans="2:27" x14ac:dyDescent="0.2">
      <c r="B22" s="39">
        <v>10070</v>
      </c>
      <c r="C22" s="40" t="s">
        <v>152</v>
      </c>
      <c r="D22" s="41">
        <v>1</v>
      </c>
      <c r="E22" s="41">
        <v>0</v>
      </c>
      <c r="F22" s="42">
        <v>0.42199999999999999</v>
      </c>
      <c r="G22" s="42">
        <v>0.42299999999999999</v>
      </c>
      <c r="H22" s="42">
        <v>0.42299999999999999</v>
      </c>
      <c r="I22" s="42">
        <v>0.35299999999999998</v>
      </c>
      <c r="J22" s="42">
        <v>6.9000000000000006E-2</v>
      </c>
      <c r="K22" s="42">
        <v>7.0000000000000007E-2</v>
      </c>
      <c r="L22" s="42">
        <v>7.0000000000000007E-2</v>
      </c>
      <c r="M22" s="42">
        <v>6.9000000000000006E-2</v>
      </c>
      <c r="N22" s="42">
        <v>7.0000000000000007E-2</v>
      </c>
      <c r="O22" s="42">
        <v>7.0000000000000007E-2</v>
      </c>
      <c r="P22" s="42">
        <v>0</v>
      </c>
      <c r="Q22" s="42">
        <v>0</v>
      </c>
      <c r="R22" s="42">
        <v>0</v>
      </c>
      <c r="S22" s="43"/>
      <c r="T22" s="43"/>
      <c r="U22" s="43"/>
      <c r="V22" s="43"/>
      <c r="W22" s="43"/>
      <c r="X22" s="43"/>
      <c r="Y22" s="43"/>
      <c r="Z22" s="43"/>
      <c r="AA22" s="43"/>
    </row>
    <row r="23" spans="2:27" x14ac:dyDescent="0.2">
      <c r="B23" s="39">
        <v>10071</v>
      </c>
      <c r="C23" s="40" t="s">
        <v>153</v>
      </c>
      <c r="D23" s="41">
        <v>1</v>
      </c>
      <c r="E23" s="41">
        <v>0</v>
      </c>
      <c r="F23" s="42">
        <v>1.899</v>
      </c>
      <c r="G23" s="42">
        <v>1.901</v>
      </c>
      <c r="H23" s="42">
        <v>1.901</v>
      </c>
      <c r="I23" s="42">
        <v>1.885</v>
      </c>
      <c r="J23" s="42">
        <v>1.4E-2</v>
      </c>
      <c r="K23" s="42">
        <v>1.6E-2</v>
      </c>
      <c r="L23" s="42">
        <v>1.6E-2</v>
      </c>
      <c r="M23" s="42">
        <v>1.4E-2</v>
      </c>
      <c r="N23" s="42">
        <v>1.6E-2</v>
      </c>
      <c r="O23" s="42">
        <v>1.6E-2</v>
      </c>
      <c r="P23" s="42">
        <v>0</v>
      </c>
      <c r="Q23" s="42">
        <v>0</v>
      </c>
      <c r="R23" s="42">
        <v>0</v>
      </c>
      <c r="S23" s="43"/>
      <c r="T23" s="43"/>
      <c r="U23" s="43"/>
      <c r="V23" s="43"/>
      <c r="W23" s="43"/>
      <c r="X23" s="43"/>
      <c r="Y23" s="43"/>
      <c r="Z23" s="43"/>
      <c r="AA23" s="43"/>
    </row>
    <row r="24" spans="2:27" x14ac:dyDescent="0.2">
      <c r="B24" s="39">
        <v>10072</v>
      </c>
      <c r="C24" s="40" t="s">
        <v>154</v>
      </c>
      <c r="D24" s="41">
        <v>1</v>
      </c>
      <c r="E24" s="41">
        <v>0</v>
      </c>
      <c r="F24" s="42">
        <v>26.145</v>
      </c>
      <c r="G24" s="42">
        <v>27.155000000000001</v>
      </c>
      <c r="H24" s="42">
        <v>27.225000000000001</v>
      </c>
      <c r="I24" s="42">
        <v>23.609000000000002</v>
      </c>
      <c r="J24" s="42">
        <v>2.536</v>
      </c>
      <c r="K24" s="42">
        <v>3.5459999999999998</v>
      </c>
      <c r="L24" s="42">
        <v>3.6160000000000001</v>
      </c>
      <c r="M24" s="42">
        <v>0</v>
      </c>
      <c r="N24" s="42">
        <v>0</v>
      </c>
      <c r="O24" s="42">
        <v>0</v>
      </c>
      <c r="P24" s="42">
        <v>2.536</v>
      </c>
      <c r="Q24" s="42">
        <v>3.5459999999999998</v>
      </c>
      <c r="R24" s="42">
        <v>3.6160000000000001</v>
      </c>
      <c r="S24" s="43"/>
      <c r="T24" s="43"/>
      <c r="U24" s="43"/>
      <c r="V24" s="43"/>
      <c r="W24" s="43"/>
      <c r="X24" s="43"/>
      <c r="Y24" s="43"/>
      <c r="Z24" s="43"/>
      <c r="AA24" s="43"/>
    </row>
    <row r="25" spans="2:27" x14ac:dyDescent="0.2">
      <c r="B25" s="39">
        <v>10074</v>
      </c>
      <c r="C25" s="40" t="s">
        <v>155</v>
      </c>
      <c r="D25" s="41">
        <v>1</v>
      </c>
      <c r="E25" s="41">
        <v>0</v>
      </c>
      <c r="F25" s="42">
        <v>31.478999999999999</v>
      </c>
      <c r="G25" s="42">
        <v>32.011000000000003</v>
      </c>
      <c r="H25" s="42">
        <v>32.435000000000002</v>
      </c>
      <c r="I25" s="42">
        <v>26.265999999999998</v>
      </c>
      <c r="J25" s="42">
        <v>5.2130000000000001</v>
      </c>
      <c r="K25" s="42">
        <v>5.7450000000000001</v>
      </c>
      <c r="L25" s="42">
        <v>6.1689999999999996</v>
      </c>
      <c r="M25" s="42">
        <v>0</v>
      </c>
      <c r="N25" s="42">
        <v>0</v>
      </c>
      <c r="O25" s="42">
        <v>0</v>
      </c>
      <c r="P25" s="42">
        <v>5.2130000000000001</v>
      </c>
      <c r="Q25" s="42">
        <v>5.7450000000000001</v>
      </c>
      <c r="R25" s="42">
        <v>6.1689999999999996</v>
      </c>
      <c r="S25" s="43"/>
      <c r="T25" s="43"/>
      <c r="U25" s="43"/>
      <c r="V25" s="43"/>
      <c r="W25" s="43"/>
      <c r="X25" s="43"/>
      <c r="Y25" s="43"/>
      <c r="Z25" s="43"/>
      <c r="AA25" s="43"/>
    </row>
    <row r="26" spans="2:27" x14ac:dyDescent="0.2">
      <c r="B26" s="39">
        <v>10076</v>
      </c>
      <c r="C26" s="40" t="s">
        <v>156</v>
      </c>
      <c r="D26" s="41">
        <v>1</v>
      </c>
      <c r="E26" s="41">
        <v>0</v>
      </c>
      <c r="F26" s="42">
        <v>7.71</v>
      </c>
      <c r="G26" s="42">
        <v>7.758</v>
      </c>
      <c r="H26" s="42">
        <v>7.806</v>
      </c>
      <c r="I26" s="42">
        <v>4.742</v>
      </c>
      <c r="J26" s="42">
        <v>2.968</v>
      </c>
      <c r="K26" s="42">
        <v>3.016</v>
      </c>
      <c r="L26" s="42">
        <v>3.0640000000000001</v>
      </c>
      <c r="M26" s="42">
        <v>0</v>
      </c>
      <c r="N26" s="42">
        <v>0</v>
      </c>
      <c r="O26" s="42">
        <v>0</v>
      </c>
      <c r="P26" s="42">
        <v>2.968</v>
      </c>
      <c r="Q26" s="42">
        <v>3.016</v>
      </c>
      <c r="R26" s="42">
        <v>3.0640000000000001</v>
      </c>
      <c r="S26" s="43"/>
      <c r="T26" s="43"/>
      <c r="U26" s="43"/>
      <c r="V26" s="43"/>
      <c r="W26" s="43"/>
      <c r="X26" s="43"/>
      <c r="Y26" s="43"/>
      <c r="Z26" s="43"/>
      <c r="AA26" s="43"/>
    </row>
    <row r="27" spans="2:27" x14ac:dyDescent="0.2">
      <c r="B27" s="39">
        <v>10078</v>
      </c>
      <c r="C27" s="40" t="s">
        <v>157</v>
      </c>
      <c r="D27" s="41">
        <v>1</v>
      </c>
      <c r="E27" s="41">
        <v>0</v>
      </c>
      <c r="F27" s="42">
        <v>3.72</v>
      </c>
      <c r="G27" s="42">
        <v>3.73</v>
      </c>
      <c r="H27" s="42">
        <v>3.74</v>
      </c>
      <c r="I27" s="42">
        <v>3.66</v>
      </c>
      <c r="J27" s="42">
        <v>0.06</v>
      </c>
      <c r="K27" s="42">
        <v>7.0000000000000007E-2</v>
      </c>
      <c r="L27" s="42">
        <v>0.08</v>
      </c>
      <c r="M27" s="42">
        <v>0.06</v>
      </c>
      <c r="N27" s="42">
        <v>7.0000000000000007E-2</v>
      </c>
      <c r="O27" s="42">
        <v>0.08</v>
      </c>
      <c r="P27" s="42">
        <v>0</v>
      </c>
      <c r="Q27" s="42">
        <v>0</v>
      </c>
      <c r="R27" s="42">
        <v>0</v>
      </c>
      <c r="S27" s="43"/>
      <c r="T27" s="43"/>
      <c r="U27" s="43"/>
      <c r="V27" s="43"/>
      <c r="W27" s="43"/>
      <c r="X27" s="43"/>
      <c r="Y27" s="43"/>
      <c r="Z27" s="43"/>
      <c r="AA27" s="43"/>
    </row>
    <row r="28" spans="2:27" x14ac:dyDescent="0.2">
      <c r="B28" s="39">
        <v>10079</v>
      </c>
      <c r="C28" s="40" t="s">
        <v>158</v>
      </c>
      <c r="D28" s="41">
        <v>1</v>
      </c>
      <c r="E28" s="41">
        <v>0</v>
      </c>
      <c r="F28" s="42">
        <v>84.346999999999994</v>
      </c>
      <c r="G28" s="42">
        <v>84.564999999999998</v>
      </c>
      <c r="H28" s="42">
        <v>84.555999999999997</v>
      </c>
      <c r="I28" s="42">
        <v>86.805000000000007</v>
      </c>
      <c r="J28" s="42">
        <v>0</v>
      </c>
      <c r="K28" s="42">
        <v>0</v>
      </c>
      <c r="L28" s="42">
        <v>0</v>
      </c>
      <c r="M28" s="42">
        <v>0</v>
      </c>
      <c r="N28" s="42">
        <v>0</v>
      </c>
      <c r="O28" s="42">
        <v>0</v>
      </c>
      <c r="P28" s="42">
        <v>0</v>
      </c>
      <c r="Q28" s="42">
        <v>0</v>
      </c>
      <c r="R28" s="42">
        <v>0</v>
      </c>
      <c r="S28" s="43"/>
      <c r="T28" s="43"/>
      <c r="U28" s="43"/>
      <c r="V28" s="43"/>
      <c r="W28" s="43"/>
      <c r="X28" s="43"/>
      <c r="Y28" s="43"/>
      <c r="Z28" s="43"/>
      <c r="AA28" s="43"/>
    </row>
    <row r="29" spans="2:27" x14ac:dyDescent="0.2">
      <c r="B29" s="39">
        <v>10080</v>
      </c>
      <c r="C29" s="40" t="s">
        <v>159</v>
      </c>
      <c r="D29" s="41">
        <v>1</v>
      </c>
      <c r="E29" s="41">
        <v>0</v>
      </c>
      <c r="F29" s="42">
        <v>6.665</v>
      </c>
      <c r="G29" s="42">
        <v>6.6680000000000001</v>
      </c>
      <c r="H29" s="42">
        <v>6.67</v>
      </c>
      <c r="I29" s="42">
        <v>7.3209999999999997</v>
      </c>
      <c r="J29" s="42">
        <v>0</v>
      </c>
      <c r="K29" s="42">
        <v>0</v>
      </c>
      <c r="L29" s="42">
        <v>0</v>
      </c>
      <c r="M29" s="42">
        <v>0</v>
      </c>
      <c r="N29" s="42">
        <v>0</v>
      </c>
      <c r="O29" s="42">
        <v>0</v>
      </c>
      <c r="P29" s="42">
        <v>0</v>
      </c>
      <c r="Q29" s="42">
        <v>0</v>
      </c>
      <c r="R29" s="42">
        <v>0</v>
      </c>
      <c r="S29" s="43"/>
      <c r="T29" s="43"/>
      <c r="U29" s="43"/>
      <c r="V29" s="43"/>
      <c r="W29" s="43"/>
      <c r="X29" s="43"/>
      <c r="Y29" s="43"/>
      <c r="Z29" s="43"/>
      <c r="AA29" s="43"/>
    </row>
    <row r="30" spans="2:27" x14ac:dyDescent="0.2">
      <c r="B30" s="39">
        <v>10081</v>
      </c>
      <c r="C30" s="40" t="s">
        <v>160</v>
      </c>
      <c r="D30" s="41">
        <v>1</v>
      </c>
      <c r="E30" s="41">
        <v>0</v>
      </c>
      <c r="F30" s="42">
        <v>9.3439999999999994</v>
      </c>
      <c r="G30" s="42">
        <v>9.3439999999999994</v>
      </c>
      <c r="H30" s="42">
        <v>9.343</v>
      </c>
      <c r="I30" s="42">
        <v>10.292</v>
      </c>
      <c r="J30" s="42">
        <v>0</v>
      </c>
      <c r="K30" s="42">
        <v>0</v>
      </c>
      <c r="L30" s="42">
        <v>0</v>
      </c>
      <c r="M30" s="42">
        <v>0</v>
      </c>
      <c r="N30" s="42">
        <v>0</v>
      </c>
      <c r="O30" s="42">
        <v>0</v>
      </c>
      <c r="P30" s="42">
        <v>0</v>
      </c>
      <c r="Q30" s="42">
        <v>0</v>
      </c>
      <c r="R30" s="42">
        <v>0</v>
      </c>
      <c r="S30" s="43"/>
      <c r="T30" s="43"/>
      <c r="U30" s="43"/>
      <c r="V30" s="43"/>
      <c r="W30" s="43"/>
      <c r="X30" s="43"/>
      <c r="Y30" s="43"/>
      <c r="Z30" s="43"/>
      <c r="AA30" s="43"/>
    </row>
    <row r="31" spans="2:27" x14ac:dyDescent="0.2">
      <c r="B31" s="39">
        <v>10082</v>
      </c>
      <c r="C31" s="40" t="s">
        <v>161</v>
      </c>
      <c r="D31" s="41">
        <v>1</v>
      </c>
      <c r="E31" s="41">
        <v>0</v>
      </c>
      <c r="F31" s="42">
        <v>0.11600000000000001</v>
      </c>
      <c r="G31" s="42">
        <v>0.11600000000000001</v>
      </c>
      <c r="H31" s="42">
        <v>0.115</v>
      </c>
      <c r="I31" s="42">
        <v>0.11600000000000001</v>
      </c>
      <c r="J31" s="42">
        <v>0</v>
      </c>
      <c r="K31" s="42">
        <v>0</v>
      </c>
      <c r="L31" s="42">
        <v>0</v>
      </c>
      <c r="M31" s="42">
        <v>0</v>
      </c>
      <c r="N31" s="42">
        <v>0</v>
      </c>
      <c r="O31" s="42">
        <v>0</v>
      </c>
      <c r="P31" s="42">
        <v>0</v>
      </c>
      <c r="Q31" s="42">
        <v>0</v>
      </c>
      <c r="R31" s="42">
        <v>0</v>
      </c>
      <c r="S31" s="43"/>
      <c r="T31" s="43"/>
      <c r="U31" s="43"/>
      <c r="V31" s="43"/>
      <c r="W31" s="43"/>
      <c r="X31" s="43"/>
      <c r="Y31" s="43"/>
      <c r="Z31" s="43"/>
      <c r="AA31" s="43"/>
    </row>
    <row r="32" spans="2:27" x14ac:dyDescent="0.2">
      <c r="B32" s="39">
        <v>10083</v>
      </c>
      <c r="C32" s="40" t="s">
        <v>162</v>
      </c>
      <c r="D32" s="41">
        <v>1</v>
      </c>
      <c r="E32" s="41">
        <v>0</v>
      </c>
      <c r="F32" s="42">
        <v>9.0980000000000008</v>
      </c>
      <c r="G32" s="42">
        <v>9.1329999999999991</v>
      </c>
      <c r="H32" s="42">
        <v>9.1649999999999991</v>
      </c>
      <c r="I32" s="42">
        <v>8.2330000000000005</v>
      </c>
      <c r="J32" s="42">
        <v>0.86499999999999999</v>
      </c>
      <c r="K32" s="42">
        <v>0.9</v>
      </c>
      <c r="L32" s="42">
        <v>0.93200000000000005</v>
      </c>
      <c r="M32" s="42">
        <v>0.86499999999999999</v>
      </c>
      <c r="N32" s="42">
        <v>0.9</v>
      </c>
      <c r="O32" s="42">
        <v>0.93200000000000005</v>
      </c>
      <c r="P32" s="42">
        <v>0</v>
      </c>
      <c r="Q32" s="42">
        <v>0</v>
      </c>
      <c r="R32" s="42">
        <v>0</v>
      </c>
      <c r="S32" s="43"/>
      <c r="T32" s="43"/>
      <c r="U32" s="43"/>
      <c r="V32" s="43"/>
      <c r="W32" s="43"/>
      <c r="X32" s="43"/>
      <c r="Y32" s="43"/>
      <c r="Z32" s="43"/>
      <c r="AA32" s="43"/>
    </row>
    <row r="33" spans="2:27" x14ac:dyDescent="0.2">
      <c r="B33" s="39">
        <v>10086</v>
      </c>
      <c r="C33" s="40" t="s">
        <v>163</v>
      </c>
      <c r="D33" s="41">
        <v>1</v>
      </c>
      <c r="E33" s="41">
        <v>0</v>
      </c>
      <c r="F33" s="42">
        <v>3.883</v>
      </c>
      <c r="G33" s="42">
        <v>3.891</v>
      </c>
      <c r="H33" s="42">
        <v>3.8969999999999998</v>
      </c>
      <c r="I33" s="42">
        <v>3.8839999999999999</v>
      </c>
      <c r="J33" s="42">
        <v>0</v>
      </c>
      <c r="K33" s="42">
        <v>7.0000000000000001E-3</v>
      </c>
      <c r="L33" s="42">
        <v>1.2999999999999999E-2</v>
      </c>
      <c r="M33" s="42">
        <v>0</v>
      </c>
      <c r="N33" s="42">
        <v>7.0000000000000001E-3</v>
      </c>
      <c r="O33" s="42">
        <v>1.2999999999999999E-2</v>
      </c>
      <c r="P33" s="42">
        <v>0</v>
      </c>
      <c r="Q33" s="42">
        <v>0</v>
      </c>
      <c r="R33" s="42">
        <v>0</v>
      </c>
      <c r="S33" s="43"/>
      <c r="T33" s="43"/>
      <c r="U33" s="43"/>
      <c r="V33" s="43"/>
      <c r="W33" s="43"/>
      <c r="X33" s="43"/>
      <c r="Y33" s="43"/>
      <c r="Z33" s="43"/>
      <c r="AA33" s="43"/>
    </row>
    <row r="34" spans="2:27" x14ac:dyDescent="0.2">
      <c r="B34" s="39">
        <v>10087</v>
      </c>
      <c r="C34" s="40" t="s">
        <v>164</v>
      </c>
      <c r="D34" s="41">
        <v>1</v>
      </c>
      <c r="E34" s="41">
        <v>0</v>
      </c>
      <c r="F34" s="42">
        <v>48.878</v>
      </c>
      <c r="G34" s="42">
        <v>48.878</v>
      </c>
      <c r="H34" s="42">
        <v>48.878999999999998</v>
      </c>
      <c r="I34" s="42">
        <v>84.147999999999996</v>
      </c>
      <c r="J34" s="42">
        <v>0</v>
      </c>
      <c r="K34" s="42">
        <v>0</v>
      </c>
      <c r="L34" s="42">
        <v>0</v>
      </c>
      <c r="M34" s="42">
        <v>0</v>
      </c>
      <c r="N34" s="42">
        <v>0</v>
      </c>
      <c r="O34" s="42">
        <v>0</v>
      </c>
      <c r="P34" s="42">
        <v>0</v>
      </c>
      <c r="Q34" s="42">
        <v>0</v>
      </c>
      <c r="R34" s="42">
        <v>0</v>
      </c>
      <c r="S34" s="43"/>
      <c r="T34" s="43"/>
      <c r="U34" s="43"/>
      <c r="V34" s="43"/>
      <c r="W34" s="43"/>
      <c r="X34" s="43"/>
      <c r="Y34" s="43"/>
      <c r="Z34" s="43"/>
      <c r="AA34" s="43"/>
    </row>
    <row r="35" spans="2:27" x14ac:dyDescent="0.2">
      <c r="B35" s="39">
        <v>10089</v>
      </c>
      <c r="C35" s="40" t="s">
        <v>165</v>
      </c>
      <c r="D35" s="41">
        <v>1</v>
      </c>
      <c r="E35" s="41">
        <v>0</v>
      </c>
      <c r="F35" s="42">
        <v>112.65600000000001</v>
      </c>
      <c r="G35" s="42">
        <v>112.80800000000001</v>
      </c>
      <c r="H35" s="42">
        <v>112.545</v>
      </c>
      <c r="I35" s="42">
        <v>102.59</v>
      </c>
      <c r="J35" s="42">
        <v>10.066000000000001</v>
      </c>
      <c r="K35" s="42">
        <v>10.218</v>
      </c>
      <c r="L35" s="42">
        <v>9.9550000000000001</v>
      </c>
      <c r="M35" s="42">
        <v>0</v>
      </c>
      <c r="N35" s="42">
        <v>0</v>
      </c>
      <c r="O35" s="42">
        <v>0</v>
      </c>
      <c r="P35" s="42">
        <v>10.066000000000001</v>
      </c>
      <c r="Q35" s="42">
        <v>10.218</v>
      </c>
      <c r="R35" s="42">
        <v>9.9550000000000001</v>
      </c>
      <c r="S35" s="43"/>
      <c r="T35" s="43"/>
      <c r="U35" s="43"/>
      <c r="V35" s="43"/>
      <c r="W35" s="43"/>
      <c r="X35" s="43"/>
      <c r="Y35" s="43"/>
      <c r="Z35" s="43"/>
      <c r="AA35" s="43"/>
    </row>
    <row r="36" spans="2:27" x14ac:dyDescent="0.2">
      <c r="B36" s="39">
        <v>10091</v>
      </c>
      <c r="C36" s="40" t="s">
        <v>166</v>
      </c>
      <c r="D36" s="41">
        <v>1</v>
      </c>
      <c r="E36" s="41">
        <v>0</v>
      </c>
      <c r="F36" s="42">
        <v>9.4580000000000002</v>
      </c>
      <c r="G36" s="42">
        <v>9.4580000000000002</v>
      </c>
      <c r="H36" s="42">
        <v>9.4559999999999995</v>
      </c>
      <c r="I36" s="42">
        <v>9.2759999999999998</v>
      </c>
      <c r="J36" s="42">
        <v>0.182</v>
      </c>
      <c r="K36" s="42">
        <v>0.182</v>
      </c>
      <c r="L36" s="42">
        <v>0.18</v>
      </c>
      <c r="M36" s="42">
        <v>0.182</v>
      </c>
      <c r="N36" s="42">
        <v>0.182</v>
      </c>
      <c r="O36" s="42">
        <v>0.18</v>
      </c>
      <c r="P36" s="42">
        <v>0</v>
      </c>
      <c r="Q36" s="42">
        <v>0</v>
      </c>
      <c r="R36" s="42">
        <v>0</v>
      </c>
      <c r="S36" s="43"/>
      <c r="T36" s="43"/>
      <c r="U36" s="43"/>
      <c r="V36" s="43"/>
      <c r="W36" s="43"/>
      <c r="X36" s="43"/>
      <c r="Y36" s="43"/>
      <c r="Z36" s="43"/>
      <c r="AA36" s="43"/>
    </row>
    <row r="37" spans="2:27" x14ac:dyDescent="0.2">
      <c r="B37" s="39">
        <v>10094</v>
      </c>
      <c r="C37" s="40" t="s">
        <v>167</v>
      </c>
      <c r="D37" s="41">
        <v>1</v>
      </c>
      <c r="E37" s="41">
        <v>0</v>
      </c>
      <c r="F37" s="42">
        <v>2.7869999999999999</v>
      </c>
      <c r="G37" s="42">
        <v>2.7959999999999998</v>
      </c>
      <c r="H37" s="42">
        <v>2.8039999999999998</v>
      </c>
      <c r="I37" s="42">
        <v>2.9889999999999999</v>
      </c>
      <c r="J37" s="42">
        <v>0</v>
      </c>
      <c r="K37" s="42">
        <v>0</v>
      </c>
      <c r="L37" s="42">
        <v>0</v>
      </c>
      <c r="M37" s="42">
        <v>0</v>
      </c>
      <c r="N37" s="42">
        <v>0</v>
      </c>
      <c r="O37" s="42">
        <v>0</v>
      </c>
      <c r="P37" s="42">
        <v>0</v>
      </c>
      <c r="Q37" s="42">
        <v>0</v>
      </c>
      <c r="R37" s="42">
        <v>0</v>
      </c>
      <c r="S37" s="43"/>
      <c r="T37" s="43"/>
      <c r="U37" s="43"/>
      <c r="V37" s="43"/>
      <c r="W37" s="43"/>
      <c r="X37" s="43"/>
      <c r="Y37" s="43"/>
      <c r="Z37" s="43"/>
      <c r="AA37" s="43"/>
    </row>
    <row r="38" spans="2:27" x14ac:dyDescent="0.2">
      <c r="B38" s="39">
        <v>10095</v>
      </c>
      <c r="C38" s="40" t="s">
        <v>168</v>
      </c>
      <c r="D38" s="41">
        <v>1</v>
      </c>
      <c r="E38" s="41">
        <v>0</v>
      </c>
      <c r="F38" s="42">
        <v>3.7210000000000001</v>
      </c>
      <c r="G38" s="42">
        <v>3.7109999999999999</v>
      </c>
      <c r="H38" s="42">
        <v>3.7050000000000001</v>
      </c>
      <c r="I38" s="42">
        <v>3.5859999999999999</v>
      </c>
      <c r="J38" s="42">
        <v>0.13500000000000001</v>
      </c>
      <c r="K38" s="42">
        <v>0.125</v>
      </c>
      <c r="L38" s="42">
        <v>0.11899999999999999</v>
      </c>
      <c r="M38" s="42">
        <v>0.13500000000000001</v>
      </c>
      <c r="N38" s="42">
        <v>0.125</v>
      </c>
      <c r="O38" s="42">
        <v>0.11899999999999999</v>
      </c>
      <c r="P38" s="42">
        <v>0</v>
      </c>
      <c r="Q38" s="42">
        <v>0</v>
      </c>
      <c r="R38" s="42">
        <v>0</v>
      </c>
      <c r="S38" s="43"/>
      <c r="T38" s="43"/>
      <c r="U38" s="43"/>
      <c r="V38" s="43"/>
      <c r="W38" s="43"/>
      <c r="X38" s="43"/>
      <c r="Y38" s="43"/>
      <c r="Z38" s="43"/>
      <c r="AA38" s="43"/>
    </row>
    <row r="39" spans="2:27" x14ac:dyDescent="0.2">
      <c r="B39" s="39">
        <v>10097</v>
      </c>
      <c r="C39" s="40" t="s">
        <v>169</v>
      </c>
      <c r="D39" s="41">
        <v>1</v>
      </c>
      <c r="E39" s="41">
        <v>0</v>
      </c>
      <c r="F39" s="42">
        <v>2.0030000000000001</v>
      </c>
      <c r="G39" s="42">
        <v>2.0070000000000001</v>
      </c>
      <c r="H39" s="42">
        <v>2.0099999999999998</v>
      </c>
      <c r="I39" s="42">
        <v>2.0059999999999998</v>
      </c>
      <c r="J39" s="42">
        <v>0</v>
      </c>
      <c r="K39" s="42">
        <v>1E-3</v>
      </c>
      <c r="L39" s="42">
        <v>4.0000000000000001E-3</v>
      </c>
      <c r="M39" s="42">
        <v>0</v>
      </c>
      <c r="N39" s="42">
        <v>1E-3</v>
      </c>
      <c r="O39" s="42">
        <v>4.0000000000000001E-3</v>
      </c>
      <c r="P39" s="42">
        <v>0</v>
      </c>
      <c r="Q39" s="42">
        <v>0</v>
      </c>
      <c r="R39" s="42">
        <v>0</v>
      </c>
      <c r="S39" s="43"/>
      <c r="T39" s="43"/>
      <c r="U39" s="43"/>
      <c r="V39" s="43"/>
      <c r="W39" s="43"/>
      <c r="X39" s="43"/>
      <c r="Y39" s="43"/>
      <c r="Z39" s="43"/>
      <c r="AA39" s="43"/>
    </row>
    <row r="40" spans="2:27" x14ac:dyDescent="0.2">
      <c r="B40" s="39">
        <v>10101</v>
      </c>
      <c r="C40" s="40" t="s">
        <v>170</v>
      </c>
      <c r="D40" s="41">
        <v>1</v>
      </c>
      <c r="E40" s="41">
        <v>0</v>
      </c>
      <c r="F40" s="42">
        <v>80.841999999999999</v>
      </c>
      <c r="G40" s="42">
        <v>80.832999999999998</v>
      </c>
      <c r="H40" s="42">
        <v>80.945999999999998</v>
      </c>
      <c r="I40" s="42">
        <v>74.843000000000004</v>
      </c>
      <c r="J40" s="42">
        <v>5.9989999999999997</v>
      </c>
      <c r="K40" s="42">
        <v>5.99</v>
      </c>
      <c r="L40" s="42">
        <v>6.1029999999999998</v>
      </c>
      <c r="M40" s="42">
        <v>0</v>
      </c>
      <c r="N40" s="42">
        <v>0</v>
      </c>
      <c r="O40" s="42">
        <v>0</v>
      </c>
      <c r="P40" s="42">
        <v>5.9989999999999997</v>
      </c>
      <c r="Q40" s="42">
        <v>5.99</v>
      </c>
      <c r="R40" s="42">
        <v>6.1029999999999998</v>
      </c>
      <c r="S40" s="43"/>
      <c r="T40" s="43"/>
      <c r="U40" s="43"/>
      <c r="V40" s="43"/>
      <c r="W40" s="43"/>
      <c r="X40" s="43"/>
      <c r="Y40" s="43"/>
      <c r="Z40" s="43"/>
      <c r="AA40" s="43"/>
    </row>
    <row r="41" spans="2:27" x14ac:dyDescent="0.2">
      <c r="B41" s="39">
        <v>10103</v>
      </c>
      <c r="C41" s="40" t="s">
        <v>171</v>
      </c>
      <c r="D41" s="41">
        <v>1</v>
      </c>
      <c r="E41" s="41">
        <v>0</v>
      </c>
      <c r="F41" s="42">
        <v>343.34399999999999</v>
      </c>
      <c r="G41" s="42">
        <v>352.46</v>
      </c>
      <c r="H41" s="42">
        <v>361.82299999999998</v>
      </c>
      <c r="I41" s="42">
        <v>313.53199999999998</v>
      </c>
      <c r="J41" s="42">
        <v>29.812000000000001</v>
      </c>
      <c r="K41" s="42">
        <v>38.927999999999997</v>
      </c>
      <c r="L41" s="42">
        <v>48.290999999999997</v>
      </c>
      <c r="M41" s="42">
        <v>0</v>
      </c>
      <c r="N41" s="42">
        <v>0</v>
      </c>
      <c r="O41" s="42">
        <v>0</v>
      </c>
      <c r="P41" s="42">
        <v>29.812000000000001</v>
      </c>
      <c r="Q41" s="42">
        <v>38.927999999999997</v>
      </c>
      <c r="R41" s="42">
        <v>48.290999999999997</v>
      </c>
      <c r="S41" s="43"/>
      <c r="T41" s="43"/>
      <c r="U41" s="43"/>
      <c r="V41" s="43"/>
      <c r="W41" s="43"/>
      <c r="X41" s="43"/>
      <c r="Y41" s="43"/>
      <c r="Z41" s="43"/>
      <c r="AA41" s="43"/>
    </row>
    <row r="42" spans="2:27" x14ac:dyDescent="0.2">
      <c r="B42" s="39">
        <v>10105</v>
      </c>
      <c r="C42" s="40" t="s">
        <v>172</v>
      </c>
      <c r="D42" s="41">
        <v>1</v>
      </c>
      <c r="E42" s="41">
        <v>0</v>
      </c>
      <c r="F42" s="42">
        <v>86.572000000000003</v>
      </c>
      <c r="G42" s="42">
        <v>86.611999999999995</v>
      </c>
      <c r="H42" s="42">
        <v>86.896000000000001</v>
      </c>
      <c r="I42" s="42">
        <v>91.391999999999996</v>
      </c>
      <c r="J42" s="42">
        <v>0</v>
      </c>
      <c r="K42" s="42">
        <v>0</v>
      </c>
      <c r="L42" s="42">
        <v>0</v>
      </c>
      <c r="M42" s="42">
        <v>0</v>
      </c>
      <c r="N42" s="42">
        <v>0</v>
      </c>
      <c r="O42" s="42">
        <v>0</v>
      </c>
      <c r="P42" s="42">
        <v>0</v>
      </c>
      <c r="Q42" s="42">
        <v>0</v>
      </c>
      <c r="R42" s="42">
        <v>0</v>
      </c>
      <c r="S42" s="43"/>
      <c r="T42" s="43"/>
      <c r="U42" s="43"/>
      <c r="V42" s="43"/>
      <c r="W42" s="43"/>
      <c r="X42" s="43"/>
      <c r="Y42" s="43"/>
      <c r="Z42" s="43"/>
      <c r="AA42" s="43"/>
    </row>
    <row r="43" spans="2:27" x14ac:dyDescent="0.2">
      <c r="B43" s="39">
        <v>10106</v>
      </c>
      <c r="C43" s="40" t="s">
        <v>7</v>
      </c>
      <c r="D43" s="41">
        <v>0</v>
      </c>
      <c r="E43" s="41">
        <v>1</v>
      </c>
      <c r="F43" s="42">
        <v>27.414999999999999</v>
      </c>
      <c r="G43" s="42">
        <v>27.661000000000001</v>
      </c>
      <c r="H43" s="42">
        <v>27.9</v>
      </c>
      <c r="I43" s="42">
        <v>23.507000000000001</v>
      </c>
      <c r="J43" s="42">
        <v>3.9079999999999999</v>
      </c>
      <c r="K43" s="42">
        <v>4.1539999999999999</v>
      </c>
      <c r="L43" s="42">
        <v>4.3929999999999998</v>
      </c>
      <c r="M43" s="42">
        <v>0</v>
      </c>
      <c r="N43" s="42">
        <v>0</v>
      </c>
      <c r="O43" s="42">
        <v>0</v>
      </c>
      <c r="P43" s="42">
        <v>3.9079999999999999</v>
      </c>
      <c r="Q43" s="42">
        <v>4.1539999999999999</v>
      </c>
      <c r="R43" s="42">
        <v>4.3929999999999998</v>
      </c>
      <c r="S43" s="43"/>
      <c r="T43" s="43"/>
      <c r="U43" s="43"/>
      <c r="V43" s="43"/>
      <c r="W43" s="43"/>
      <c r="X43" s="43"/>
      <c r="Y43" s="43"/>
      <c r="Z43" s="43"/>
      <c r="AA43" s="43"/>
    </row>
    <row r="44" spans="2:27" x14ac:dyDescent="0.2">
      <c r="B44" s="39">
        <v>10109</v>
      </c>
      <c r="C44" s="40" t="s">
        <v>173</v>
      </c>
      <c r="D44" s="41">
        <v>1</v>
      </c>
      <c r="E44" s="41">
        <v>0</v>
      </c>
      <c r="F44" s="42">
        <v>25.181999999999999</v>
      </c>
      <c r="G44" s="42">
        <v>27.456</v>
      </c>
      <c r="H44" s="42">
        <v>27.523</v>
      </c>
      <c r="I44" s="42">
        <v>11.929</v>
      </c>
      <c r="J44" s="42">
        <v>13.253</v>
      </c>
      <c r="K44" s="42">
        <v>15.526999999999999</v>
      </c>
      <c r="L44" s="42">
        <v>15.593999999999999</v>
      </c>
      <c r="M44" s="42">
        <v>0</v>
      </c>
      <c r="N44" s="42">
        <v>0</v>
      </c>
      <c r="O44" s="42">
        <v>0</v>
      </c>
      <c r="P44" s="42">
        <v>13.253</v>
      </c>
      <c r="Q44" s="42">
        <v>15.526999999999999</v>
      </c>
      <c r="R44" s="42">
        <v>15.593999999999999</v>
      </c>
      <c r="S44" s="43"/>
      <c r="T44" s="43"/>
      <c r="U44" s="43"/>
      <c r="V44" s="43"/>
      <c r="W44" s="43"/>
      <c r="X44" s="43"/>
      <c r="Y44" s="43"/>
      <c r="Z44" s="43"/>
      <c r="AA44" s="43"/>
    </row>
    <row r="45" spans="2:27" x14ac:dyDescent="0.2">
      <c r="B45" s="39">
        <v>10111</v>
      </c>
      <c r="C45" s="40" t="s">
        <v>174</v>
      </c>
      <c r="D45" s="41">
        <v>1</v>
      </c>
      <c r="E45" s="41">
        <v>0</v>
      </c>
      <c r="F45" s="42">
        <v>3.2170000000000001</v>
      </c>
      <c r="G45" s="42">
        <v>3.2160000000000002</v>
      </c>
      <c r="H45" s="42">
        <v>3.2170000000000001</v>
      </c>
      <c r="I45" s="42">
        <v>3.1840000000000002</v>
      </c>
      <c r="J45" s="42">
        <v>3.3000000000000002E-2</v>
      </c>
      <c r="K45" s="42">
        <v>3.2000000000000001E-2</v>
      </c>
      <c r="L45" s="42">
        <v>3.3000000000000002E-2</v>
      </c>
      <c r="M45" s="42">
        <v>3.3000000000000002E-2</v>
      </c>
      <c r="N45" s="42">
        <v>3.2000000000000001E-2</v>
      </c>
      <c r="O45" s="42">
        <v>3.3000000000000002E-2</v>
      </c>
      <c r="P45" s="42">
        <v>0</v>
      </c>
      <c r="Q45" s="42">
        <v>0</v>
      </c>
      <c r="R45" s="42">
        <v>0</v>
      </c>
      <c r="S45" s="43"/>
      <c r="T45" s="43"/>
      <c r="U45" s="43"/>
      <c r="V45" s="43"/>
      <c r="W45" s="43"/>
      <c r="X45" s="43"/>
      <c r="Y45" s="43"/>
      <c r="Z45" s="43"/>
      <c r="AA45" s="43"/>
    </row>
    <row r="46" spans="2:27" x14ac:dyDescent="0.2">
      <c r="B46" s="39">
        <v>10112</v>
      </c>
      <c r="C46" s="40" t="s">
        <v>175</v>
      </c>
      <c r="D46" s="41">
        <v>1</v>
      </c>
      <c r="E46" s="41">
        <v>0</v>
      </c>
      <c r="F46" s="42">
        <v>60.396000000000001</v>
      </c>
      <c r="G46" s="42">
        <v>60.753999999999998</v>
      </c>
      <c r="H46" s="42">
        <v>61.146000000000001</v>
      </c>
      <c r="I46" s="42">
        <v>57.343000000000004</v>
      </c>
      <c r="J46" s="42">
        <v>3.0529999999999999</v>
      </c>
      <c r="K46" s="42">
        <v>3.411</v>
      </c>
      <c r="L46" s="42">
        <v>3.8029999999999999</v>
      </c>
      <c r="M46" s="42">
        <v>0</v>
      </c>
      <c r="N46" s="42">
        <v>0</v>
      </c>
      <c r="O46" s="42">
        <v>0</v>
      </c>
      <c r="P46" s="42">
        <v>3.0529999999999999</v>
      </c>
      <c r="Q46" s="42">
        <v>3.411</v>
      </c>
      <c r="R46" s="42">
        <v>3.8029999999999999</v>
      </c>
      <c r="S46" s="43"/>
      <c r="T46" s="43"/>
      <c r="U46" s="43"/>
      <c r="V46" s="43"/>
      <c r="W46" s="43"/>
      <c r="X46" s="43"/>
      <c r="Y46" s="43"/>
      <c r="Z46" s="43"/>
      <c r="AA46" s="43"/>
    </row>
    <row r="47" spans="2:27" x14ac:dyDescent="0.2">
      <c r="B47" s="39">
        <v>10113</v>
      </c>
      <c r="C47" s="40" t="s">
        <v>10</v>
      </c>
      <c r="D47" s="41">
        <v>1</v>
      </c>
      <c r="E47" s="41">
        <v>0</v>
      </c>
      <c r="F47" s="42">
        <v>44.472999999999999</v>
      </c>
      <c r="G47" s="42">
        <v>44.923000000000002</v>
      </c>
      <c r="H47" s="42">
        <v>45.295000000000002</v>
      </c>
      <c r="I47" s="42">
        <v>37.106000000000002</v>
      </c>
      <c r="J47" s="42">
        <v>7.367</v>
      </c>
      <c r="K47" s="42">
        <v>7.8170000000000002</v>
      </c>
      <c r="L47" s="42">
        <v>8.1890000000000001</v>
      </c>
      <c r="M47" s="42">
        <v>0</v>
      </c>
      <c r="N47" s="42">
        <v>0</v>
      </c>
      <c r="O47" s="42">
        <v>0</v>
      </c>
      <c r="P47" s="42">
        <v>7.367</v>
      </c>
      <c r="Q47" s="42">
        <v>7.8170000000000002</v>
      </c>
      <c r="R47" s="42">
        <v>8.1890000000000001</v>
      </c>
      <c r="S47" s="43"/>
      <c r="T47" s="43"/>
      <c r="U47" s="43"/>
      <c r="V47" s="43"/>
      <c r="W47" s="43"/>
      <c r="X47" s="43"/>
      <c r="Y47" s="43"/>
      <c r="Z47" s="43"/>
      <c r="AA47" s="43"/>
    </row>
    <row r="48" spans="2:27" x14ac:dyDescent="0.2">
      <c r="B48" s="39">
        <v>10116</v>
      </c>
      <c r="C48" s="40" t="s">
        <v>176</v>
      </c>
      <c r="D48" s="41">
        <v>1</v>
      </c>
      <c r="E48" s="41">
        <v>0</v>
      </c>
      <c r="F48" s="42">
        <v>0.253</v>
      </c>
      <c r="G48" s="42">
        <v>0.253</v>
      </c>
      <c r="H48" s="42">
        <v>0.254</v>
      </c>
      <c r="I48" s="42">
        <v>0.224</v>
      </c>
      <c r="J48" s="42">
        <v>2.9000000000000001E-2</v>
      </c>
      <c r="K48" s="42">
        <v>2.9000000000000001E-2</v>
      </c>
      <c r="L48" s="42">
        <v>0.03</v>
      </c>
      <c r="M48" s="42">
        <v>2.9000000000000001E-2</v>
      </c>
      <c r="N48" s="42">
        <v>2.9000000000000001E-2</v>
      </c>
      <c r="O48" s="42">
        <v>0.03</v>
      </c>
      <c r="P48" s="42">
        <v>0</v>
      </c>
      <c r="Q48" s="42">
        <v>0</v>
      </c>
      <c r="R48" s="42">
        <v>0</v>
      </c>
      <c r="S48" s="43"/>
      <c r="T48" s="43"/>
      <c r="U48" s="43"/>
      <c r="V48" s="43"/>
      <c r="W48" s="43"/>
      <c r="X48" s="43"/>
      <c r="Y48" s="43"/>
      <c r="Z48" s="43"/>
      <c r="AA48" s="43"/>
    </row>
    <row r="49" spans="2:27" x14ac:dyDescent="0.2">
      <c r="B49" s="39">
        <v>10118</v>
      </c>
      <c r="C49" s="40" t="s">
        <v>11</v>
      </c>
      <c r="D49" s="41">
        <v>0</v>
      </c>
      <c r="E49" s="41">
        <v>1</v>
      </c>
      <c r="F49" s="42">
        <v>49.466000000000001</v>
      </c>
      <c r="G49" s="42">
        <v>49.670999999999999</v>
      </c>
      <c r="H49" s="42">
        <v>49.863</v>
      </c>
      <c r="I49" s="42">
        <v>44.962000000000003</v>
      </c>
      <c r="J49" s="42">
        <v>4.5039999999999996</v>
      </c>
      <c r="K49" s="42">
        <v>4.7089999999999996</v>
      </c>
      <c r="L49" s="42">
        <v>4.9009999999999998</v>
      </c>
      <c r="M49" s="42">
        <v>0</v>
      </c>
      <c r="N49" s="42">
        <v>0</v>
      </c>
      <c r="O49" s="42">
        <v>0</v>
      </c>
      <c r="P49" s="42">
        <v>4.5039999999999996</v>
      </c>
      <c r="Q49" s="42">
        <v>4.7089999999999996</v>
      </c>
      <c r="R49" s="42">
        <v>4.9009999999999998</v>
      </c>
      <c r="S49" s="43"/>
      <c r="T49" s="43"/>
      <c r="U49" s="43"/>
      <c r="V49" s="43"/>
      <c r="W49" s="43"/>
      <c r="X49" s="43"/>
      <c r="Y49" s="43"/>
      <c r="Z49" s="43"/>
      <c r="AA49" s="43"/>
    </row>
    <row r="50" spans="2:27" x14ac:dyDescent="0.2">
      <c r="B50" s="39">
        <v>10121</v>
      </c>
      <c r="C50" s="40" t="s">
        <v>81</v>
      </c>
      <c r="D50" s="41">
        <v>0</v>
      </c>
      <c r="E50" s="41">
        <v>1</v>
      </c>
      <c r="F50" s="42">
        <v>40.189</v>
      </c>
      <c r="G50" s="42">
        <v>40.189</v>
      </c>
      <c r="H50" s="42">
        <v>40.186</v>
      </c>
      <c r="I50" s="42">
        <v>40.238</v>
      </c>
      <c r="J50" s="42">
        <v>0</v>
      </c>
      <c r="K50" s="42">
        <v>0</v>
      </c>
      <c r="L50" s="42">
        <v>0</v>
      </c>
      <c r="M50" s="42">
        <v>0</v>
      </c>
      <c r="N50" s="42">
        <v>0</v>
      </c>
      <c r="O50" s="42">
        <v>0</v>
      </c>
      <c r="P50" s="42">
        <v>0</v>
      </c>
      <c r="Q50" s="42">
        <v>0</v>
      </c>
      <c r="R50" s="42">
        <v>0</v>
      </c>
      <c r="S50" s="43"/>
      <c r="T50" s="43"/>
      <c r="U50" s="43"/>
      <c r="V50" s="43"/>
      <c r="W50" s="43"/>
      <c r="X50" s="43"/>
      <c r="Y50" s="43"/>
      <c r="Z50" s="43"/>
      <c r="AA50" s="43"/>
    </row>
    <row r="51" spans="2:27" x14ac:dyDescent="0.2">
      <c r="B51" s="39">
        <v>10123</v>
      </c>
      <c r="C51" s="40" t="s">
        <v>177</v>
      </c>
      <c r="D51" s="41">
        <v>1</v>
      </c>
      <c r="E51" s="41">
        <v>0</v>
      </c>
      <c r="F51" s="42">
        <v>461.26299999999998</v>
      </c>
      <c r="G51" s="42">
        <v>461.16399999999999</v>
      </c>
      <c r="H51" s="42">
        <v>460.35</v>
      </c>
      <c r="I51" s="42">
        <v>540.64300000000003</v>
      </c>
      <c r="J51" s="42">
        <v>0</v>
      </c>
      <c r="K51" s="42">
        <v>0</v>
      </c>
      <c r="L51" s="42">
        <v>0</v>
      </c>
      <c r="M51" s="42">
        <v>0</v>
      </c>
      <c r="N51" s="42">
        <v>0</v>
      </c>
      <c r="O51" s="42">
        <v>0</v>
      </c>
      <c r="P51" s="42">
        <v>0</v>
      </c>
      <c r="Q51" s="42">
        <v>0</v>
      </c>
      <c r="R51" s="42">
        <v>0</v>
      </c>
      <c r="S51" s="43"/>
      <c r="T51" s="43"/>
      <c r="U51" s="43"/>
      <c r="V51" s="43"/>
      <c r="W51" s="43"/>
      <c r="X51" s="43"/>
      <c r="Y51" s="43"/>
      <c r="Z51" s="43"/>
      <c r="AA51" s="43"/>
    </row>
    <row r="52" spans="2:27" x14ac:dyDescent="0.2">
      <c r="B52" s="39">
        <v>10136</v>
      </c>
      <c r="C52" s="40" t="s">
        <v>82</v>
      </c>
      <c r="D52" s="41">
        <v>0</v>
      </c>
      <c r="E52" s="41">
        <v>1</v>
      </c>
      <c r="F52" s="42">
        <v>18.48</v>
      </c>
      <c r="G52" s="42">
        <v>18.526</v>
      </c>
      <c r="H52" s="42">
        <v>18.579999999999998</v>
      </c>
      <c r="I52" s="42">
        <v>18.248999999999999</v>
      </c>
      <c r="J52" s="42">
        <v>0.23100000000000001</v>
      </c>
      <c r="K52" s="42">
        <v>0.27700000000000002</v>
      </c>
      <c r="L52" s="42">
        <v>0.33100000000000002</v>
      </c>
      <c r="M52" s="42">
        <v>0</v>
      </c>
      <c r="N52" s="42">
        <v>0</v>
      </c>
      <c r="O52" s="42">
        <v>0</v>
      </c>
      <c r="P52" s="42">
        <v>0.23100000000000001</v>
      </c>
      <c r="Q52" s="42">
        <v>0.27700000000000002</v>
      </c>
      <c r="R52" s="42">
        <v>0.33100000000000002</v>
      </c>
      <c r="S52" s="43"/>
      <c r="T52" s="43"/>
      <c r="U52" s="43"/>
      <c r="V52" s="43"/>
      <c r="W52" s="43"/>
      <c r="X52" s="43"/>
      <c r="Y52" s="43"/>
      <c r="Z52" s="43"/>
      <c r="AA52" s="43"/>
    </row>
    <row r="53" spans="2:27" x14ac:dyDescent="0.2">
      <c r="B53" s="39">
        <v>10142</v>
      </c>
      <c r="C53" s="40" t="s">
        <v>178</v>
      </c>
      <c r="D53" s="41">
        <v>1</v>
      </c>
      <c r="E53" s="41">
        <v>0</v>
      </c>
      <c r="F53" s="42">
        <v>3.5510000000000002</v>
      </c>
      <c r="G53" s="42">
        <v>3.617</v>
      </c>
      <c r="H53" s="42">
        <v>3.6389999999999998</v>
      </c>
      <c r="I53" s="42">
        <v>2.645</v>
      </c>
      <c r="J53" s="42">
        <v>0.90600000000000003</v>
      </c>
      <c r="K53" s="42">
        <v>0.97199999999999998</v>
      </c>
      <c r="L53" s="42">
        <v>0.99399999999999999</v>
      </c>
      <c r="M53" s="42">
        <v>0.90600000000000003</v>
      </c>
      <c r="N53" s="42">
        <v>0.97199999999999998</v>
      </c>
      <c r="O53" s="42">
        <v>0.99399999999999999</v>
      </c>
      <c r="P53" s="42">
        <v>0</v>
      </c>
      <c r="Q53" s="42">
        <v>0</v>
      </c>
      <c r="R53" s="42">
        <v>0</v>
      </c>
      <c r="S53" s="43"/>
      <c r="T53" s="43"/>
      <c r="U53" s="43"/>
      <c r="V53" s="43"/>
      <c r="W53" s="43"/>
      <c r="X53" s="43"/>
      <c r="Y53" s="43"/>
      <c r="Z53" s="43"/>
      <c r="AA53" s="43"/>
    </row>
    <row r="54" spans="2:27" x14ac:dyDescent="0.2">
      <c r="B54" s="39">
        <v>10144</v>
      </c>
      <c r="C54" s="40" t="s">
        <v>179</v>
      </c>
      <c r="D54" s="41">
        <v>1</v>
      </c>
      <c r="E54" s="41">
        <v>0</v>
      </c>
      <c r="F54" s="42">
        <v>3.3210000000000002</v>
      </c>
      <c r="G54" s="42">
        <v>3.3210000000000002</v>
      </c>
      <c r="H54" s="42">
        <v>3.3180000000000001</v>
      </c>
      <c r="I54" s="42">
        <v>3.3149999999999999</v>
      </c>
      <c r="J54" s="42">
        <v>6.0000000000000001E-3</v>
      </c>
      <c r="K54" s="42">
        <v>6.0000000000000001E-3</v>
      </c>
      <c r="L54" s="42">
        <v>3.0000000000000001E-3</v>
      </c>
      <c r="M54" s="42">
        <v>6.0000000000000001E-3</v>
      </c>
      <c r="N54" s="42">
        <v>6.0000000000000001E-3</v>
      </c>
      <c r="O54" s="42">
        <v>3.0000000000000001E-3</v>
      </c>
      <c r="P54" s="42">
        <v>0</v>
      </c>
      <c r="Q54" s="42">
        <v>0</v>
      </c>
      <c r="R54" s="42">
        <v>0</v>
      </c>
      <c r="S54" s="43"/>
      <c r="T54" s="43"/>
      <c r="U54" s="43"/>
      <c r="V54" s="43"/>
      <c r="W54" s="43"/>
      <c r="X54" s="43"/>
      <c r="Y54" s="43"/>
      <c r="Z54" s="43"/>
      <c r="AA54" s="43"/>
    </row>
    <row r="55" spans="2:27" x14ac:dyDescent="0.2">
      <c r="B55" s="39">
        <v>10156</v>
      </c>
      <c r="C55" s="40" t="s">
        <v>180</v>
      </c>
      <c r="D55" s="41">
        <v>1</v>
      </c>
      <c r="E55" s="41">
        <v>0</v>
      </c>
      <c r="F55" s="42">
        <v>33.207999999999998</v>
      </c>
      <c r="G55" s="42">
        <v>33.332000000000001</v>
      </c>
      <c r="H55" s="42">
        <v>33.468000000000004</v>
      </c>
      <c r="I55" s="42">
        <v>31.736000000000001</v>
      </c>
      <c r="J55" s="42">
        <v>1.472</v>
      </c>
      <c r="K55" s="42">
        <v>1.5960000000000001</v>
      </c>
      <c r="L55" s="42">
        <v>1.732</v>
      </c>
      <c r="M55" s="42">
        <v>0</v>
      </c>
      <c r="N55" s="42">
        <v>0</v>
      </c>
      <c r="O55" s="42">
        <v>0</v>
      </c>
      <c r="P55" s="42">
        <v>1.472</v>
      </c>
      <c r="Q55" s="42">
        <v>1.5960000000000001</v>
      </c>
      <c r="R55" s="42">
        <v>1.732</v>
      </c>
      <c r="S55" s="43"/>
      <c r="T55" s="43"/>
      <c r="U55" s="43"/>
      <c r="V55" s="43"/>
      <c r="W55" s="43"/>
      <c r="X55" s="43"/>
      <c r="Y55" s="43"/>
      <c r="Z55" s="43"/>
      <c r="AA55" s="43"/>
    </row>
    <row r="56" spans="2:27" x14ac:dyDescent="0.2">
      <c r="B56" s="39">
        <v>10157</v>
      </c>
      <c r="C56" s="40" t="s">
        <v>15</v>
      </c>
      <c r="D56" s="41">
        <v>1</v>
      </c>
      <c r="E56" s="41">
        <v>0</v>
      </c>
      <c r="F56" s="42">
        <v>58.792000000000002</v>
      </c>
      <c r="G56" s="42">
        <v>59.488999999999997</v>
      </c>
      <c r="H56" s="42">
        <v>59.445999999999998</v>
      </c>
      <c r="I56" s="42">
        <v>49.179000000000002</v>
      </c>
      <c r="J56" s="42">
        <v>9.6129999999999995</v>
      </c>
      <c r="K56" s="42">
        <v>10.31</v>
      </c>
      <c r="L56" s="42">
        <v>10.266999999999999</v>
      </c>
      <c r="M56" s="42">
        <v>0</v>
      </c>
      <c r="N56" s="42">
        <v>0</v>
      </c>
      <c r="O56" s="42">
        <v>0</v>
      </c>
      <c r="P56" s="42">
        <v>9.6129999999999995</v>
      </c>
      <c r="Q56" s="42">
        <v>10.31</v>
      </c>
      <c r="R56" s="42">
        <v>10.266999999999999</v>
      </c>
      <c r="S56" s="43"/>
      <c r="T56" s="43"/>
      <c r="U56" s="43"/>
      <c r="V56" s="43"/>
      <c r="W56" s="43"/>
      <c r="X56" s="43"/>
      <c r="Y56" s="43"/>
      <c r="Z56" s="43"/>
      <c r="AA56" s="43"/>
    </row>
    <row r="57" spans="2:27" x14ac:dyDescent="0.2">
      <c r="B57" s="39">
        <v>10158</v>
      </c>
      <c r="C57" s="40" t="s">
        <v>181</v>
      </c>
      <c r="D57" s="41">
        <v>1</v>
      </c>
      <c r="E57" s="41">
        <v>0</v>
      </c>
      <c r="F57" s="42">
        <v>2.2679999999999998</v>
      </c>
      <c r="G57" s="42">
        <v>2.2679999999999998</v>
      </c>
      <c r="H57" s="42">
        <v>2.2669999999999999</v>
      </c>
      <c r="I57" s="42">
        <v>2.7480000000000002</v>
      </c>
      <c r="J57" s="42">
        <v>0</v>
      </c>
      <c r="K57" s="42">
        <v>0</v>
      </c>
      <c r="L57" s="42">
        <v>0</v>
      </c>
      <c r="M57" s="42">
        <v>0</v>
      </c>
      <c r="N57" s="42">
        <v>0</v>
      </c>
      <c r="O57" s="42">
        <v>0</v>
      </c>
      <c r="P57" s="42">
        <v>0</v>
      </c>
      <c r="Q57" s="42">
        <v>0</v>
      </c>
      <c r="R57" s="42">
        <v>0</v>
      </c>
      <c r="S57" s="43"/>
      <c r="T57" s="43"/>
      <c r="U57" s="43"/>
      <c r="V57" s="43"/>
      <c r="W57" s="43"/>
      <c r="X57" s="43"/>
      <c r="Y57" s="43"/>
      <c r="Z57" s="43"/>
      <c r="AA57" s="43"/>
    </row>
    <row r="58" spans="2:27" x14ac:dyDescent="0.2">
      <c r="B58" s="39">
        <v>10170</v>
      </c>
      <c r="C58" s="40" t="s">
        <v>182</v>
      </c>
      <c r="D58" s="41">
        <v>1</v>
      </c>
      <c r="E58" s="41">
        <v>0</v>
      </c>
      <c r="F58" s="42">
        <v>242.74600000000001</v>
      </c>
      <c r="G58" s="42">
        <v>243.97399999999999</v>
      </c>
      <c r="H58" s="42">
        <v>244.8</v>
      </c>
      <c r="I58" s="42">
        <v>247.185</v>
      </c>
      <c r="J58" s="42">
        <v>0</v>
      </c>
      <c r="K58" s="42">
        <v>0</v>
      </c>
      <c r="L58" s="42">
        <v>0</v>
      </c>
      <c r="M58" s="42">
        <v>0</v>
      </c>
      <c r="N58" s="42">
        <v>0</v>
      </c>
      <c r="O58" s="42">
        <v>0</v>
      </c>
      <c r="P58" s="42">
        <v>0</v>
      </c>
      <c r="Q58" s="42">
        <v>0</v>
      </c>
      <c r="R58" s="42">
        <v>0</v>
      </c>
      <c r="S58" s="43"/>
      <c r="T58" s="43"/>
      <c r="U58" s="43"/>
      <c r="V58" s="43"/>
      <c r="W58" s="43"/>
      <c r="X58" s="43"/>
      <c r="Y58" s="43"/>
      <c r="Z58" s="43"/>
      <c r="AA58" s="43"/>
    </row>
    <row r="59" spans="2:27" x14ac:dyDescent="0.2">
      <c r="B59" s="39">
        <v>10172</v>
      </c>
      <c r="C59" s="40" t="s">
        <v>183</v>
      </c>
      <c r="D59" s="41">
        <v>1</v>
      </c>
      <c r="E59" s="41">
        <v>0</v>
      </c>
      <c r="F59" s="42">
        <v>5.2160000000000002</v>
      </c>
      <c r="G59" s="42">
        <v>5.2629999999999999</v>
      </c>
      <c r="H59" s="42">
        <v>5.2850000000000001</v>
      </c>
      <c r="I59" s="42">
        <v>6.0069999999999997</v>
      </c>
      <c r="J59" s="42">
        <v>0</v>
      </c>
      <c r="K59" s="42">
        <v>0</v>
      </c>
      <c r="L59" s="42">
        <v>0</v>
      </c>
      <c r="M59" s="42">
        <v>0</v>
      </c>
      <c r="N59" s="42">
        <v>0</v>
      </c>
      <c r="O59" s="42">
        <v>0</v>
      </c>
      <c r="P59" s="42">
        <v>0</v>
      </c>
      <c r="Q59" s="42">
        <v>0</v>
      </c>
      <c r="R59" s="42">
        <v>0</v>
      </c>
      <c r="S59" s="43"/>
      <c r="T59" s="43"/>
      <c r="U59" s="43"/>
      <c r="V59" s="43"/>
      <c r="W59" s="43"/>
      <c r="X59" s="43"/>
      <c r="Y59" s="43"/>
      <c r="Z59" s="43"/>
      <c r="AA59" s="43"/>
    </row>
    <row r="60" spans="2:27" x14ac:dyDescent="0.2">
      <c r="B60" s="39">
        <v>10173</v>
      </c>
      <c r="C60" s="40" t="s">
        <v>83</v>
      </c>
      <c r="D60" s="41">
        <v>0</v>
      </c>
      <c r="E60" s="41">
        <v>1</v>
      </c>
      <c r="F60" s="42">
        <v>46.85</v>
      </c>
      <c r="G60" s="42">
        <v>47.765000000000001</v>
      </c>
      <c r="H60" s="42">
        <v>48.646000000000001</v>
      </c>
      <c r="I60" s="42">
        <v>32.613999999999997</v>
      </c>
      <c r="J60" s="42">
        <v>14.236000000000001</v>
      </c>
      <c r="K60" s="42">
        <v>15.151</v>
      </c>
      <c r="L60" s="42">
        <v>16.032</v>
      </c>
      <c r="M60" s="42">
        <v>0</v>
      </c>
      <c r="N60" s="42">
        <v>0</v>
      </c>
      <c r="O60" s="42">
        <v>0</v>
      </c>
      <c r="P60" s="42">
        <v>14.236000000000001</v>
      </c>
      <c r="Q60" s="42">
        <v>15.151</v>
      </c>
      <c r="R60" s="42">
        <v>16.032</v>
      </c>
      <c r="S60" s="43"/>
      <c r="T60" s="43"/>
      <c r="U60" s="43"/>
      <c r="V60" s="43"/>
      <c r="W60" s="43"/>
      <c r="X60" s="43"/>
      <c r="Y60" s="43"/>
      <c r="Z60" s="43"/>
      <c r="AA60" s="43"/>
    </row>
    <row r="61" spans="2:27" x14ac:dyDescent="0.2">
      <c r="B61" s="39">
        <v>10174</v>
      </c>
      <c r="C61" s="40" t="s">
        <v>184</v>
      </c>
      <c r="D61" s="41">
        <v>1</v>
      </c>
      <c r="E61" s="41">
        <v>0</v>
      </c>
      <c r="F61" s="42">
        <v>0.61899999999999999</v>
      </c>
      <c r="G61" s="42">
        <v>0.621</v>
      </c>
      <c r="H61" s="42">
        <v>0.622</v>
      </c>
      <c r="I61" s="42">
        <v>0.5</v>
      </c>
      <c r="J61" s="42">
        <v>0.11899999999999999</v>
      </c>
      <c r="K61" s="42">
        <v>0.121</v>
      </c>
      <c r="L61" s="42">
        <v>0.122</v>
      </c>
      <c r="M61" s="42">
        <v>0.11899999999999999</v>
      </c>
      <c r="N61" s="42">
        <v>0.121</v>
      </c>
      <c r="O61" s="42">
        <v>0.122</v>
      </c>
      <c r="P61" s="42">
        <v>0</v>
      </c>
      <c r="Q61" s="42">
        <v>0</v>
      </c>
      <c r="R61" s="42">
        <v>0</v>
      </c>
      <c r="S61" s="43"/>
      <c r="T61" s="43"/>
      <c r="U61" s="43"/>
      <c r="V61" s="43"/>
      <c r="W61" s="43"/>
      <c r="X61" s="43"/>
      <c r="Y61" s="43"/>
      <c r="Z61" s="43"/>
      <c r="AA61" s="43"/>
    </row>
    <row r="62" spans="2:27" x14ac:dyDescent="0.2">
      <c r="B62" s="39">
        <v>10177</v>
      </c>
      <c r="C62" s="40" t="s">
        <v>185</v>
      </c>
      <c r="D62" s="41">
        <v>1</v>
      </c>
      <c r="E62" s="41">
        <v>0</v>
      </c>
      <c r="F62" s="42">
        <v>9.6630000000000003</v>
      </c>
      <c r="G62" s="42">
        <v>9.7059999999999995</v>
      </c>
      <c r="H62" s="42">
        <v>9.75</v>
      </c>
      <c r="I62" s="42">
        <v>11.483000000000001</v>
      </c>
      <c r="J62" s="42">
        <v>0</v>
      </c>
      <c r="K62" s="42">
        <v>0</v>
      </c>
      <c r="L62" s="42">
        <v>0</v>
      </c>
      <c r="M62" s="42">
        <v>0</v>
      </c>
      <c r="N62" s="42">
        <v>0</v>
      </c>
      <c r="O62" s="42">
        <v>0</v>
      </c>
      <c r="P62" s="42">
        <v>0</v>
      </c>
      <c r="Q62" s="42">
        <v>0</v>
      </c>
      <c r="R62" s="42">
        <v>0</v>
      </c>
      <c r="S62" s="43"/>
      <c r="T62" s="43"/>
      <c r="U62" s="43"/>
      <c r="V62" s="43"/>
      <c r="W62" s="43"/>
      <c r="X62" s="43"/>
      <c r="Y62" s="43"/>
      <c r="Z62" s="43"/>
      <c r="AA62" s="43"/>
    </row>
    <row r="63" spans="2:27" x14ac:dyDescent="0.2">
      <c r="B63" s="39">
        <v>10179</v>
      </c>
      <c r="C63" s="40" t="s">
        <v>84</v>
      </c>
      <c r="D63" s="41">
        <v>0</v>
      </c>
      <c r="E63" s="41">
        <v>1</v>
      </c>
      <c r="F63" s="42">
        <v>198.89599999999999</v>
      </c>
      <c r="G63" s="42">
        <v>201.72800000000001</v>
      </c>
      <c r="H63" s="42">
        <v>204.167</v>
      </c>
      <c r="I63" s="42">
        <v>164.22399999999999</v>
      </c>
      <c r="J63" s="42">
        <v>34.671999999999997</v>
      </c>
      <c r="K63" s="42">
        <v>37.503999999999998</v>
      </c>
      <c r="L63" s="42">
        <v>39.942999999999998</v>
      </c>
      <c r="M63" s="42">
        <v>0</v>
      </c>
      <c r="N63" s="42">
        <v>0</v>
      </c>
      <c r="O63" s="42">
        <v>0</v>
      </c>
      <c r="P63" s="42">
        <v>34.671999999999997</v>
      </c>
      <c r="Q63" s="42">
        <v>37.503999999999998</v>
      </c>
      <c r="R63" s="42">
        <v>39.942999999999998</v>
      </c>
      <c r="S63" s="43"/>
      <c r="T63" s="43"/>
      <c r="U63" s="43"/>
      <c r="V63" s="43"/>
      <c r="W63" s="43"/>
      <c r="X63" s="43"/>
      <c r="Y63" s="43"/>
      <c r="Z63" s="43"/>
      <c r="AA63" s="43"/>
    </row>
    <row r="64" spans="2:27" x14ac:dyDescent="0.2">
      <c r="B64" s="39">
        <v>10183</v>
      </c>
      <c r="C64" s="40" t="s">
        <v>186</v>
      </c>
      <c r="D64" s="41">
        <v>1</v>
      </c>
      <c r="E64" s="41">
        <v>0</v>
      </c>
      <c r="F64" s="42">
        <v>144.27099999999999</v>
      </c>
      <c r="G64" s="42">
        <v>145.5</v>
      </c>
      <c r="H64" s="42">
        <v>146.47499999999999</v>
      </c>
      <c r="I64" s="42">
        <v>115.523</v>
      </c>
      <c r="J64" s="42">
        <v>28.748000000000001</v>
      </c>
      <c r="K64" s="42">
        <v>29.977</v>
      </c>
      <c r="L64" s="42">
        <v>30.952000000000002</v>
      </c>
      <c r="M64" s="42">
        <v>0</v>
      </c>
      <c r="N64" s="42">
        <v>0</v>
      </c>
      <c r="O64" s="42">
        <v>0</v>
      </c>
      <c r="P64" s="42">
        <v>28.748000000000001</v>
      </c>
      <c r="Q64" s="42">
        <v>29.977</v>
      </c>
      <c r="R64" s="42">
        <v>30.952000000000002</v>
      </c>
      <c r="S64" s="43"/>
      <c r="T64" s="43"/>
      <c r="U64" s="43"/>
      <c r="V64" s="43"/>
      <c r="W64" s="43"/>
      <c r="X64" s="43"/>
      <c r="Y64" s="43"/>
      <c r="Z64" s="43"/>
      <c r="AA64" s="43"/>
    </row>
    <row r="65" spans="2:27" x14ac:dyDescent="0.2">
      <c r="B65" s="39">
        <v>10186</v>
      </c>
      <c r="C65" s="40" t="s">
        <v>187</v>
      </c>
      <c r="D65" s="41">
        <v>1</v>
      </c>
      <c r="E65" s="41">
        <v>0</v>
      </c>
      <c r="F65" s="42">
        <v>18.491</v>
      </c>
      <c r="G65" s="42">
        <v>18.491</v>
      </c>
      <c r="H65" s="42">
        <v>18.489000000000001</v>
      </c>
      <c r="I65" s="42">
        <v>20.984999999999999</v>
      </c>
      <c r="J65" s="42">
        <v>0</v>
      </c>
      <c r="K65" s="42">
        <v>0</v>
      </c>
      <c r="L65" s="42">
        <v>0</v>
      </c>
      <c r="M65" s="42">
        <v>0</v>
      </c>
      <c r="N65" s="42">
        <v>0</v>
      </c>
      <c r="O65" s="42">
        <v>0</v>
      </c>
      <c r="P65" s="42">
        <v>0</v>
      </c>
      <c r="Q65" s="42">
        <v>0</v>
      </c>
      <c r="R65" s="42">
        <v>0</v>
      </c>
      <c r="S65" s="43"/>
      <c r="T65" s="43"/>
      <c r="U65" s="43"/>
      <c r="V65" s="43"/>
      <c r="W65" s="43"/>
      <c r="X65" s="43"/>
      <c r="Y65" s="43"/>
      <c r="Z65" s="43"/>
      <c r="AA65" s="43"/>
    </row>
    <row r="66" spans="2:27" x14ac:dyDescent="0.2">
      <c r="B66" s="39">
        <v>10190</v>
      </c>
      <c r="C66" s="40" t="s">
        <v>188</v>
      </c>
      <c r="D66" s="41">
        <v>1</v>
      </c>
      <c r="E66" s="41">
        <v>0</v>
      </c>
      <c r="F66" s="42">
        <v>8.1679999999999993</v>
      </c>
      <c r="G66" s="42">
        <v>8.1679999999999993</v>
      </c>
      <c r="H66" s="42">
        <v>8.3089999999999993</v>
      </c>
      <c r="I66" s="42">
        <v>5.1109999999999998</v>
      </c>
      <c r="J66" s="42">
        <v>3.0569999999999999</v>
      </c>
      <c r="K66" s="42">
        <v>3.0569999999999999</v>
      </c>
      <c r="L66" s="42">
        <v>3.198</v>
      </c>
      <c r="M66" s="42">
        <v>0</v>
      </c>
      <c r="N66" s="42">
        <v>0</v>
      </c>
      <c r="O66" s="42">
        <v>0</v>
      </c>
      <c r="P66" s="42">
        <v>3.0569999999999999</v>
      </c>
      <c r="Q66" s="42">
        <v>3.0569999999999999</v>
      </c>
      <c r="R66" s="42">
        <v>3.198</v>
      </c>
      <c r="S66" s="43"/>
      <c r="T66" s="43"/>
      <c r="U66" s="43"/>
      <c r="V66" s="43"/>
      <c r="W66" s="43"/>
      <c r="X66" s="43"/>
      <c r="Y66" s="43"/>
      <c r="Z66" s="43"/>
      <c r="AA66" s="43"/>
    </row>
    <row r="67" spans="2:27" x14ac:dyDescent="0.2">
      <c r="B67" s="39">
        <v>10191</v>
      </c>
      <c r="C67" s="40" t="s">
        <v>189</v>
      </c>
      <c r="D67" s="41">
        <v>1</v>
      </c>
      <c r="E67" s="41">
        <v>0</v>
      </c>
      <c r="F67" s="42">
        <v>127.43</v>
      </c>
      <c r="G67" s="42">
        <v>127.43</v>
      </c>
      <c r="H67" s="42">
        <v>127.46</v>
      </c>
      <c r="I67" s="42">
        <v>129.172</v>
      </c>
      <c r="J67" s="42">
        <v>0</v>
      </c>
      <c r="K67" s="42">
        <v>0</v>
      </c>
      <c r="L67" s="42">
        <v>0</v>
      </c>
      <c r="M67" s="42">
        <v>0</v>
      </c>
      <c r="N67" s="42">
        <v>0</v>
      </c>
      <c r="O67" s="42">
        <v>0</v>
      </c>
      <c r="P67" s="42">
        <v>0</v>
      </c>
      <c r="Q67" s="42">
        <v>0</v>
      </c>
      <c r="R67" s="42">
        <v>0</v>
      </c>
      <c r="S67" s="43"/>
      <c r="T67" s="43"/>
      <c r="U67" s="43"/>
      <c r="V67" s="43"/>
      <c r="W67" s="43"/>
      <c r="X67" s="43"/>
      <c r="Y67" s="43"/>
      <c r="Z67" s="43"/>
      <c r="AA67" s="43"/>
    </row>
    <row r="68" spans="2:27" x14ac:dyDescent="0.2">
      <c r="B68" s="39">
        <v>10197</v>
      </c>
      <c r="C68" s="40" t="s">
        <v>190</v>
      </c>
      <c r="D68" s="41">
        <v>1</v>
      </c>
      <c r="E68" s="41">
        <v>0</v>
      </c>
      <c r="F68" s="42">
        <v>26.678999999999998</v>
      </c>
      <c r="G68" s="42">
        <v>26.760999999999999</v>
      </c>
      <c r="H68" s="42">
        <v>26.794</v>
      </c>
      <c r="I68" s="42">
        <v>22.398</v>
      </c>
      <c r="J68" s="42">
        <v>4.2809999999999997</v>
      </c>
      <c r="K68" s="42">
        <v>4.3630000000000004</v>
      </c>
      <c r="L68" s="42">
        <v>4.3959999999999999</v>
      </c>
      <c r="M68" s="42">
        <v>0</v>
      </c>
      <c r="N68" s="42">
        <v>0</v>
      </c>
      <c r="O68" s="42">
        <v>0</v>
      </c>
      <c r="P68" s="42">
        <v>4.2809999999999997</v>
      </c>
      <c r="Q68" s="42">
        <v>4.3630000000000004</v>
      </c>
      <c r="R68" s="42">
        <v>4.3959999999999999</v>
      </c>
      <c r="S68" s="43"/>
      <c r="T68" s="43"/>
      <c r="U68" s="43"/>
      <c r="V68" s="43"/>
      <c r="W68" s="43"/>
      <c r="X68" s="43"/>
      <c r="Y68" s="43"/>
      <c r="Z68" s="43"/>
      <c r="AA68" s="43"/>
    </row>
    <row r="69" spans="2:27" x14ac:dyDescent="0.2">
      <c r="B69" s="39">
        <v>10202</v>
      </c>
      <c r="C69" s="40" t="s">
        <v>191</v>
      </c>
      <c r="D69" s="41">
        <v>1</v>
      </c>
      <c r="E69" s="41">
        <v>0</v>
      </c>
      <c r="F69" s="42">
        <v>15.531000000000001</v>
      </c>
      <c r="G69" s="42">
        <v>15.608000000000001</v>
      </c>
      <c r="H69" s="42">
        <v>15.686</v>
      </c>
      <c r="I69" s="42">
        <v>12.895</v>
      </c>
      <c r="J69" s="42">
        <v>2.6360000000000001</v>
      </c>
      <c r="K69" s="42">
        <v>2.7130000000000001</v>
      </c>
      <c r="L69" s="42">
        <v>2.7909999999999999</v>
      </c>
      <c r="M69" s="42">
        <v>0</v>
      </c>
      <c r="N69" s="42">
        <v>0</v>
      </c>
      <c r="O69" s="42">
        <v>0</v>
      </c>
      <c r="P69" s="42">
        <v>2.6360000000000001</v>
      </c>
      <c r="Q69" s="42">
        <v>2.7130000000000001</v>
      </c>
      <c r="R69" s="42">
        <v>2.7909999999999999</v>
      </c>
      <c r="S69" s="43"/>
      <c r="T69" s="43"/>
      <c r="U69" s="43"/>
      <c r="V69" s="43"/>
      <c r="W69" s="43"/>
      <c r="X69" s="43"/>
      <c r="Y69" s="43"/>
      <c r="Z69" s="43"/>
      <c r="AA69" s="43"/>
    </row>
    <row r="70" spans="2:27" x14ac:dyDescent="0.2">
      <c r="B70" s="39">
        <v>10203</v>
      </c>
      <c r="C70" s="40" t="s">
        <v>192</v>
      </c>
      <c r="D70" s="41">
        <v>1</v>
      </c>
      <c r="E70" s="41">
        <v>0</v>
      </c>
      <c r="F70" s="42">
        <v>8.3379999999999992</v>
      </c>
      <c r="G70" s="42">
        <v>8.4689999999999994</v>
      </c>
      <c r="H70" s="42">
        <v>8.5860000000000003</v>
      </c>
      <c r="I70" s="42">
        <v>6.117</v>
      </c>
      <c r="J70" s="42">
        <v>2.2210000000000001</v>
      </c>
      <c r="K70" s="42">
        <v>2.3519999999999999</v>
      </c>
      <c r="L70" s="42">
        <v>2.4689999999999999</v>
      </c>
      <c r="M70" s="42">
        <v>0</v>
      </c>
      <c r="N70" s="42">
        <v>0</v>
      </c>
      <c r="O70" s="42">
        <v>0</v>
      </c>
      <c r="P70" s="42">
        <v>2.2210000000000001</v>
      </c>
      <c r="Q70" s="42">
        <v>2.3519999999999999</v>
      </c>
      <c r="R70" s="42">
        <v>2.4689999999999999</v>
      </c>
      <c r="S70" s="43"/>
      <c r="T70" s="43"/>
      <c r="U70" s="43"/>
      <c r="V70" s="43"/>
      <c r="W70" s="43"/>
      <c r="X70" s="43"/>
      <c r="Y70" s="43"/>
      <c r="Z70" s="43"/>
      <c r="AA70" s="43"/>
    </row>
    <row r="71" spans="2:27" x14ac:dyDescent="0.2">
      <c r="B71" s="39">
        <v>10204</v>
      </c>
      <c r="C71" s="40" t="s">
        <v>193</v>
      </c>
      <c r="D71" s="41">
        <v>1</v>
      </c>
      <c r="E71" s="41">
        <v>0</v>
      </c>
      <c r="F71" s="42">
        <v>84.537999999999997</v>
      </c>
      <c r="G71" s="42">
        <v>85.379000000000005</v>
      </c>
      <c r="H71" s="42">
        <v>86.040999999999997</v>
      </c>
      <c r="I71" s="42">
        <v>78.316999999999993</v>
      </c>
      <c r="J71" s="42">
        <v>6.2210000000000001</v>
      </c>
      <c r="K71" s="42">
        <v>7.0620000000000003</v>
      </c>
      <c r="L71" s="42">
        <v>7.7240000000000002</v>
      </c>
      <c r="M71" s="42">
        <v>0</v>
      </c>
      <c r="N71" s="42">
        <v>0</v>
      </c>
      <c r="O71" s="42">
        <v>0</v>
      </c>
      <c r="P71" s="42">
        <v>6.2210000000000001</v>
      </c>
      <c r="Q71" s="42">
        <v>7.0620000000000003</v>
      </c>
      <c r="R71" s="42">
        <v>7.7240000000000002</v>
      </c>
      <c r="S71" s="43"/>
      <c r="T71" s="43"/>
      <c r="U71" s="43"/>
      <c r="V71" s="43"/>
      <c r="W71" s="43"/>
      <c r="X71" s="43"/>
      <c r="Y71" s="43"/>
      <c r="Z71" s="43"/>
      <c r="AA71" s="43"/>
    </row>
    <row r="72" spans="2:27" x14ac:dyDescent="0.2">
      <c r="B72" s="39">
        <v>10209</v>
      </c>
      <c r="C72" s="40" t="s">
        <v>194</v>
      </c>
      <c r="D72" s="41">
        <v>1</v>
      </c>
      <c r="E72" s="41">
        <v>0</v>
      </c>
      <c r="F72" s="42">
        <v>140.97499999999999</v>
      </c>
      <c r="G72" s="42">
        <v>143.58699999999999</v>
      </c>
      <c r="H72" s="42">
        <v>146.12299999999999</v>
      </c>
      <c r="I72" s="42">
        <v>103.256</v>
      </c>
      <c r="J72" s="42">
        <v>37.719000000000001</v>
      </c>
      <c r="K72" s="42">
        <v>40.331000000000003</v>
      </c>
      <c r="L72" s="42">
        <v>42.866999999999997</v>
      </c>
      <c r="M72" s="42">
        <v>0</v>
      </c>
      <c r="N72" s="42">
        <v>0</v>
      </c>
      <c r="O72" s="42">
        <v>0</v>
      </c>
      <c r="P72" s="42">
        <v>37.719000000000001</v>
      </c>
      <c r="Q72" s="42">
        <v>40.331000000000003</v>
      </c>
      <c r="R72" s="42">
        <v>42.866999999999997</v>
      </c>
      <c r="S72" s="43"/>
      <c r="T72" s="43"/>
      <c r="U72" s="43"/>
      <c r="V72" s="43"/>
      <c r="W72" s="43"/>
      <c r="X72" s="43"/>
      <c r="Y72" s="43"/>
      <c r="Z72" s="43"/>
      <c r="AA72" s="43"/>
    </row>
    <row r="73" spans="2:27" x14ac:dyDescent="0.2">
      <c r="B73" s="39">
        <v>10230</v>
      </c>
      <c r="C73" s="40" t="s">
        <v>195</v>
      </c>
      <c r="D73" s="41">
        <v>1</v>
      </c>
      <c r="E73" s="41">
        <v>0</v>
      </c>
      <c r="F73" s="42">
        <v>13.621</v>
      </c>
      <c r="G73" s="42">
        <v>13.958</v>
      </c>
      <c r="H73" s="42">
        <v>14.291</v>
      </c>
      <c r="I73" s="42">
        <v>9.5510000000000002</v>
      </c>
      <c r="J73" s="42">
        <v>4.07</v>
      </c>
      <c r="K73" s="42">
        <v>4.407</v>
      </c>
      <c r="L73" s="42">
        <v>4.74</v>
      </c>
      <c r="M73" s="42">
        <v>0</v>
      </c>
      <c r="N73" s="42">
        <v>0</v>
      </c>
      <c r="O73" s="42">
        <v>0</v>
      </c>
      <c r="P73" s="42">
        <v>4.07</v>
      </c>
      <c r="Q73" s="42">
        <v>4.407</v>
      </c>
      <c r="R73" s="42">
        <v>4.74</v>
      </c>
      <c r="S73" s="43"/>
      <c r="T73" s="43"/>
      <c r="U73" s="43"/>
      <c r="V73" s="43"/>
      <c r="W73" s="43"/>
      <c r="X73" s="43"/>
      <c r="Y73" s="43"/>
      <c r="Z73" s="43"/>
      <c r="AA73" s="43"/>
    </row>
    <row r="74" spans="2:27" x14ac:dyDescent="0.2">
      <c r="B74" s="39">
        <v>10231</v>
      </c>
      <c r="C74" s="40" t="s">
        <v>196</v>
      </c>
      <c r="D74" s="41">
        <v>1</v>
      </c>
      <c r="E74" s="41">
        <v>0</v>
      </c>
      <c r="F74" s="42">
        <v>50.47</v>
      </c>
      <c r="G74" s="42">
        <v>51.249000000000002</v>
      </c>
      <c r="H74" s="42">
        <v>52.036999999999999</v>
      </c>
      <c r="I74" s="42">
        <v>36.088000000000001</v>
      </c>
      <c r="J74" s="42">
        <v>14.382</v>
      </c>
      <c r="K74" s="42">
        <v>15.161</v>
      </c>
      <c r="L74" s="42">
        <v>15.949</v>
      </c>
      <c r="M74" s="42">
        <v>0</v>
      </c>
      <c r="N74" s="42">
        <v>0</v>
      </c>
      <c r="O74" s="42">
        <v>0</v>
      </c>
      <c r="P74" s="42">
        <v>14.382</v>
      </c>
      <c r="Q74" s="42">
        <v>15.161</v>
      </c>
      <c r="R74" s="42">
        <v>15.949</v>
      </c>
      <c r="S74" s="43"/>
      <c r="T74" s="43"/>
      <c r="U74" s="43"/>
      <c r="V74" s="43"/>
      <c r="W74" s="43"/>
      <c r="X74" s="43"/>
      <c r="Y74" s="43"/>
      <c r="Z74" s="43"/>
      <c r="AA74" s="43"/>
    </row>
    <row r="75" spans="2:27" x14ac:dyDescent="0.2">
      <c r="B75" s="39">
        <v>10234</v>
      </c>
      <c r="C75" s="40" t="s">
        <v>197</v>
      </c>
      <c r="D75" s="41">
        <v>1</v>
      </c>
      <c r="E75" s="41">
        <v>0</v>
      </c>
      <c r="F75" s="42">
        <v>76.102999999999994</v>
      </c>
      <c r="G75" s="42">
        <v>78.263000000000005</v>
      </c>
      <c r="H75" s="42">
        <v>80.284000000000006</v>
      </c>
      <c r="I75" s="42">
        <v>50.204999999999998</v>
      </c>
      <c r="J75" s="42">
        <v>25.898</v>
      </c>
      <c r="K75" s="42">
        <v>28.058</v>
      </c>
      <c r="L75" s="42">
        <v>30.079000000000001</v>
      </c>
      <c r="M75" s="42">
        <v>0</v>
      </c>
      <c r="N75" s="42">
        <v>0</v>
      </c>
      <c r="O75" s="42">
        <v>0</v>
      </c>
      <c r="P75" s="42">
        <v>25.898</v>
      </c>
      <c r="Q75" s="42">
        <v>28.058</v>
      </c>
      <c r="R75" s="42">
        <v>30.079000000000001</v>
      </c>
      <c r="S75" s="43"/>
      <c r="T75" s="43"/>
      <c r="U75" s="43"/>
      <c r="V75" s="43"/>
      <c r="W75" s="43"/>
      <c r="X75" s="43"/>
      <c r="Y75" s="43"/>
      <c r="Z75" s="43"/>
      <c r="AA75" s="43"/>
    </row>
    <row r="76" spans="2:27" x14ac:dyDescent="0.2">
      <c r="B76" s="39">
        <v>10235</v>
      </c>
      <c r="C76" s="40" t="s">
        <v>198</v>
      </c>
      <c r="D76" s="41">
        <v>1</v>
      </c>
      <c r="E76" s="41">
        <v>0</v>
      </c>
      <c r="F76" s="42">
        <v>30.492999999999999</v>
      </c>
      <c r="G76" s="42">
        <v>30.553999999999998</v>
      </c>
      <c r="H76" s="42">
        <v>30.614000000000001</v>
      </c>
      <c r="I76" s="42">
        <v>32.597000000000001</v>
      </c>
      <c r="J76" s="42">
        <v>0</v>
      </c>
      <c r="K76" s="42">
        <v>0</v>
      </c>
      <c r="L76" s="42">
        <v>0</v>
      </c>
      <c r="M76" s="42">
        <v>0</v>
      </c>
      <c r="N76" s="42">
        <v>0</v>
      </c>
      <c r="O76" s="42">
        <v>0</v>
      </c>
      <c r="P76" s="42">
        <v>0</v>
      </c>
      <c r="Q76" s="42">
        <v>0</v>
      </c>
      <c r="R76" s="42">
        <v>0</v>
      </c>
      <c r="S76" s="43"/>
      <c r="T76" s="43"/>
      <c r="U76" s="43"/>
      <c r="V76" s="43"/>
      <c r="W76" s="43"/>
      <c r="X76" s="43"/>
      <c r="Y76" s="43"/>
      <c r="Z76" s="43"/>
      <c r="AA76" s="43"/>
    </row>
    <row r="77" spans="2:27" x14ac:dyDescent="0.2">
      <c r="B77" s="39">
        <v>10236</v>
      </c>
      <c r="C77" s="40" t="s">
        <v>85</v>
      </c>
      <c r="D77" s="41">
        <v>0</v>
      </c>
      <c r="E77" s="41">
        <v>1</v>
      </c>
      <c r="F77" s="42">
        <v>29.611999999999998</v>
      </c>
      <c r="G77" s="42">
        <v>29.611999999999998</v>
      </c>
      <c r="H77" s="42">
        <v>29.611999999999998</v>
      </c>
      <c r="I77" s="42">
        <v>28.649000000000001</v>
      </c>
      <c r="J77" s="42">
        <v>0.96299999999999997</v>
      </c>
      <c r="K77" s="42">
        <v>0.96299999999999997</v>
      </c>
      <c r="L77" s="42">
        <v>0.96299999999999997</v>
      </c>
      <c r="M77" s="42">
        <v>0</v>
      </c>
      <c r="N77" s="42">
        <v>0</v>
      </c>
      <c r="O77" s="42">
        <v>0</v>
      </c>
      <c r="P77" s="42">
        <v>0.96299999999999997</v>
      </c>
      <c r="Q77" s="42">
        <v>0.96299999999999997</v>
      </c>
      <c r="R77" s="42">
        <v>0.96299999999999997</v>
      </c>
      <c r="S77" s="43"/>
      <c r="T77" s="43"/>
      <c r="U77" s="43"/>
      <c r="V77" s="43"/>
      <c r="W77" s="43"/>
      <c r="X77" s="43"/>
      <c r="Y77" s="43"/>
      <c r="Z77" s="43"/>
      <c r="AA77" s="43"/>
    </row>
    <row r="78" spans="2:27" x14ac:dyDescent="0.2">
      <c r="B78" s="39">
        <v>10237</v>
      </c>
      <c r="C78" s="40" t="s">
        <v>199</v>
      </c>
      <c r="D78" s="41">
        <v>1</v>
      </c>
      <c r="E78" s="41">
        <v>0</v>
      </c>
      <c r="F78" s="42">
        <v>116.75700000000001</v>
      </c>
      <c r="G78" s="42">
        <v>117.572</v>
      </c>
      <c r="H78" s="42">
        <v>118.377</v>
      </c>
      <c r="I78" s="42">
        <v>111.961</v>
      </c>
      <c r="J78" s="42">
        <v>4.7960000000000003</v>
      </c>
      <c r="K78" s="42">
        <v>5.6109999999999998</v>
      </c>
      <c r="L78" s="42">
        <v>6.4160000000000004</v>
      </c>
      <c r="M78" s="42">
        <v>0</v>
      </c>
      <c r="N78" s="42">
        <v>0</v>
      </c>
      <c r="O78" s="42">
        <v>0</v>
      </c>
      <c r="P78" s="42">
        <v>4.7960000000000003</v>
      </c>
      <c r="Q78" s="42">
        <v>5.6109999999999998</v>
      </c>
      <c r="R78" s="42">
        <v>6.4160000000000004</v>
      </c>
      <c r="S78" s="43"/>
      <c r="T78" s="43"/>
      <c r="U78" s="43"/>
      <c r="V78" s="43"/>
      <c r="W78" s="43"/>
      <c r="X78" s="43"/>
      <c r="Y78" s="43"/>
      <c r="Z78" s="43"/>
      <c r="AA78" s="43"/>
    </row>
    <row r="79" spans="2:27" x14ac:dyDescent="0.2">
      <c r="B79" s="39">
        <v>10239</v>
      </c>
      <c r="C79" s="40" t="s">
        <v>86</v>
      </c>
      <c r="D79" s="41">
        <v>0</v>
      </c>
      <c r="E79" s="41">
        <v>1</v>
      </c>
      <c r="F79" s="42">
        <v>15.791</v>
      </c>
      <c r="G79" s="42">
        <v>15.949</v>
      </c>
      <c r="H79" s="42">
        <v>16.109000000000002</v>
      </c>
      <c r="I79" s="42">
        <v>13.782</v>
      </c>
      <c r="J79" s="42">
        <v>2.0089999999999999</v>
      </c>
      <c r="K79" s="42">
        <v>2.1669999999999998</v>
      </c>
      <c r="L79" s="42">
        <v>2.327</v>
      </c>
      <c r="M79" s="42">
        <v>0</v>
      </c>
      <c r="N79" s="42">
        <v>0</v>
      </c>
      <c r="O79" s="42">
        <v>0</v>
      </c>
      <c r="P79" s="42">
        <v>2.0089999999999999</v>
      </c>
      <c r="Q79" s="42">
        <v>2.1669999999999998</v>
      </c>
      <c r="R79" s="42">
        <v>2.327</v>
      </c>
      <c r="S79" s="43"/>
      <c r="T79" s="43"/>
      <c r="U79" s="43"/>
      <c r="V79" s="43"/>
      <c r="W79" s="43"/>
      <c r="X79" s="43"/>
      <c r="Y79" s="43"/>
      <c r="Z79" s="43"/>
      <c r="AA79" s="43"/>
    </row>
    <row r="80" spans="2:27" x14ac:dyDescent="0.2">
      <c r="B80" s="39">
        <v>10242</v>
      </c>
      <c r="C80" s="40" t="s">
        <v>200</v>
      </c>
      <c r="D80" s="41">
        <v>1</v>
      </c>
      <c r="E80" s="41">
        <v>0</v>
      </c>
      <c r="F80" s="42">
        <v>10.526</v>
      </c>
      <c r="G80" s="42">
        <v>10.6</v>
      </c>
      <c r="H80" s="42">
        <v>10.638</v>
      </c>
      <c r="I80" s="42">
        <v>9.3770000000000007</v>
      </c>
      <c r="J80" s="42">
        <v>1.149</v>
      </c>
      <c r="K80" s="42">
        <v>1.2230000000000001</v>
      </c>
      <c r="L80" s="42">
        <v>1.2609999999999999</v>
      </c>
      <c r="M80" s="42">
        <v>0</v>
      </c>
      <c r="N80" s="42">
        <v>0</v>
      </c>
      <c r="O80" s="42">
        <v>0</v>
      </c>
      <c r="P80" s="42">
        <v>1.149</v>
      </c>
      <c r="Q80" s="42">
        <v>1.2230000000000001</v>
      </c>
      <c r="R80" s="42">
        <v>1.2609999999999999</v>
      </c>
      <c r="S80" s="43"/>
      <c r="T80" s="43"/>
      <c r="U80" s="43"/>
      <c r="V80" s="43"/>
      <c r="W80" s="43"/>
      <c r="X80" s="43"/>
      <c r="Y80" s="43"/>
      <c r="Z80" s="43"/>
      <c r="AA80" s="43"/>
    </row>
    <row r="81" spans="2:27" x14ac:dyDescent="0.2">
      <c r="B81" s="39">
        <v>10244</v>
      </c>
      <c r="C81" s="40" t="s">
        <v>28</v>
      </c>
      <c r="D81" s="41">
        <v>1</v>
      </c>
      <c r="E81" s="41">
        <v>0</v>
      </c>
      <c r="F81" s="42">
        <v>112.146</v>
      </c>
      <c r="G81" s="42">
        <v>114.023</v>
      </c>
      <c r="H81" s="42">
        <v>115.50700000000001</v>
      </c>
      <c r="I81" s="42">
        <v>84.697000000000003</v>
      </c>
      <c r="J81" s="42">
        <v>27.449000000000002</v>
      </c>
      <c r="K81" s="42">
        <v>29.326000000000001</v>
      </c>
      <c r="L81" s="42">
        <v>30.81</v>
      </c>
      <c r="M81" s="42">
        <v>0</v>
      </c>
      <c r="N81" s="42">
        <v>0</v>
      </c>
      <c r="O81" s="42">
        <v>0</v>
      </c>
      <c r="P81" s="42">
        <v>27.449000000000002</v>
      </c>
      <c r="Q81" s="42">
        <v>29.326000000000001</v>
      </c>
      <c r="R81" s="42">
        <v>30.81</v>
      </c>
      <c r="S81" s="43"/>
      <c r="T81" s="43"/>
      <c r="U81" s="43"/>
      <c r="V81" s="43"/>
      <c r="W81" s="43"/>
      <c r="X81" s="43"/>
      <c r="Y81" s="43"/>
      <c r="Z81" s="43"/>
      <c r="AA81" s="43"/>
    </row>
    <row r="82" spans="2:27" x14ac:dyDescent="0.2">
      <c r="B82" s="39">
        <v>10246</v>
      </c>
      <c r="C82" s="40" t="s">
        <v>201</v>
      </c>
      <c r="D82" s="41">
        <v>1</v>
      </c>
      <c r="E82" s="41">
        <v>0</v>
      </c>
      <c r="F82" s="42">
        <v>9.8030000000000008</v>
      </c>
      <c r="G82" s="42">
        <v>9.8409999999999993</v>
      </c>
      <c r="H82" s="42">
        <v>9.8819999999999997</v>
      </c>
      <c r="I82" s="42">
        <v>8.8469999999999995</v>
      </c>
      <c r="J82" s="42">
        <v>0.95599999999999996</v>
      </c>
      <c r="K82" s="42">
        <v>0.99399999999999999</v>
      </c>
      <c r="L82" s="42">
        <v>1.0349999999999999</v>
      </c>
      <c r="M82" s="42">
        <v>0.95599999999999996</v>
      </c>
      <c r="N82" s="42">
        <v>0.99399999999999999</v>
      </c>
      <c r="O82" s="42">
        <v>0</v>
      </c>
      <c r="P82" s="42">
        <v>0</v>
      </c>
      <c r="Q82" s="42">
        <v>0</v>
      </c>
      <c r="R82" s="42">
        <v>1.0349999999999999</v>
      </c>
      <c r="S82" s="43"/>
      <c r="T82" s="43"/>
      <c r="U82" s="43"/>
      <c r="V82" s="43"/>
      <c r="W82" s="43"/>
      <c r="X82" s="43"/>
      <c r="Y82" s="43"/>
      <c r="Z82" s="43"/>
      <c r="AA82" s="43"/>
    </row>
    <row r="83" spans="2:27" x14ac:dyDescent="0.2">
      <c r="B83" s="39">
        <v>10247</v>
      </c>
      <c r="C83" s="40" t="s">
        <v>202</v>
      </c>
      <c r="D83" s="41">
        <v>1</v>
      </c>
      <c r="E83" s="41">
        <v>0</v>
      </c>
      <c r="F83" s="42">
        <v>85.299000000000007</v>
      </c>
      <c r="G83" s="42">
        <v>86.427999999999997</v>
      </c>
      <c r="H83" s="42">
        <v>87.328000000000003</v>
      </c>
      <c r="I83" s="42">
        <v>78.683000000000007</v>
      </c>
      <c r="J83" s="42">
        <v>6.6159999999999997</v>
      </c>
      <c r="K83" s="42">
        <v>7.7450000000000001</v>
      </c>
      <c r="L83" s="42">
        <v>8.6449999999999996</v>
      </c>
      <c r="M83" s="42">
        <v>0</v>
      </c>
      <c r="N83" s="42">
        <v>0</v>
      </c>
      <c r="O83" s="42">
        <v>0</v>
      </c>
      <c r="P83" s="42">
        <v>6.6159999999999997</v>
      </c>
      <c r="Q83" s="42">
        <v>7.7450000000000001</v>
      </c>
      <c r="R83" s="42">
        <v>8.6449999999999996</v>
      </c>
      <c r="S83" s="43"/>
      <c r="T83" s="43"/>
      <c r="U83" s="43"/>
      <c r="V83" s="43"/>
      <c r="W83" s="43"/>
      <c r="X83" s="43"/>
      <c r="Y83" s="43"/>
      <c r="Z83" s="43"/>
      <c r="AA83" s="43"/>
    </row>
    <row r="84" spans="2:27" x14ac:dyDescent="0.2">
      <c r="B84" s="39">
        <v>10256</v>
      </c>
      <c r="C84" s="40" t="s">
        <v>203</v>
      </c>
      <c r="D84" s="41">
        <v>1</v>
      </c>
      <c r="E84" s="41">
        <v>0</v>
      </c>
      <c r="F84" s="42">
        <v>64.787000000000006</v>
      </c>
      <c r="G84" s="42">
        <v>66.400000000000006</v>
      </c>
      <c r="H84" s="42">
        <v>68.018000000000001</v>
      </c>
      <c r="I84" s="42">
        <v>46.017000000000003</v>
      </c>
      <c r="J84" s="42">
        <v>18.77</v>
      </c>
      <c r="K84" s="42">
        <v>20.382999999999999</v>
      </c>
      <c r="L84" s="42">
        <v>22.001000000000001</v>
      </c>
      <c r="M84" s="42">
        <v>0</v>
      </c>
      <c r="N84" s="42">
        <v>0</v>
      </c>
      <c r="O84" s="42">
        <v>0</v>
      </c>
      <c r="P84" s="42">
        <v>18.77</v>
      </c>
      <c r="Q84" s="42">
        <v>20.382999999999999</v>
      </c>
      <c r="R84" s="42">
        <v>22.001000000000001</v>
      </c>
      <c r="S84" s="43"/>
      <c r="T84" s="43"/>
      <c r="U84" s="43"/>
      <c r="V84" s="43"/>
      <c r="W84" s="43"/>
      <c r="X84" s="43"/>
      <c r="Y84" s="43"/>
      <c r="Z84" s="43"/>
      <c r="AA84" s="43"/>
    </row>
    <row r="85" spans="2:27" x14ac:dyDescent="0.2">
      <c r="B85" s="39">
        <v>10258</v>
      </c>
      <c r="C85" s="40" t="s">
        <v>204</v>
      </c>
      <c r="D85" s="41">
        <v>1</v>
      </c>
      <c r="E85" s="41">
        <v>0</v>
      </c>
      <c r="F85" s="42">
        <v>52.695999999999998</v>
      </c>
      <c r="G85" s="42">
        <v>54.03</v>
      </c>
      <c r="H85" s="42">
        <v>55.35</v>
      </c>
      <c r="I85" s="42">
        <v>37.360999999999997</v>
      </c>
      <c r="J85" s="42">
        <v>15.335000000000001</v>
      </c>
      <c r="K85" s="42">
        <v>16.669</v>
      </c>
      <c r="L85" s="42">
        <v>17.989000000000001</v>
      </c>
      <c r="M85" s="42">
        <v>0</v>
      </c>
      <c r="N85" s="42">
        <v>0</v>
      </c>
      <c r="O85" s="42">
        <v>0</v>
      </c>
      <c r="P85" s="42">
        <v>15.335000000000001</v>
      </c>
      <c r="Q85" s="42">
        <v>16.669</v>
      </c>
      <c r="R85" s="42">
        <v>17.989000000000001</v>
      </c>
      <c r="S85" s="43"/>
      <c r="T85" s="43"/>
      <c r="U85" s="43"/>
      <c r="V85" s="43"/>
      <c r="W85" s="43"/>
      <c r="X85" s="43"/>
      <c r="Y85" s="43"/>
      <c r="Z85" s="43"/>
      <c r="AA85" s="43"/>
    </row>
    <row r="86" spans="2:27" x14ac:dyDescent="0.2">
      <c r="B86" s="39">
        <v>10259</v>
      </c>
      <c r="C86" s="40" t="s">
        <v>205</v>
      </c>
      <c r="D86" s="41">
        <v>1</v>
      </c>
      <c r="E86" s="41">
        <v>0</v>
      </c>
      <c r="F86" s="42">
        <v>33.932000000000002</v>
      </c>
      <c r="G86" s="42">
        <v>34.590000000000003</v>
      </c>
      <c r="H86" s="42">
        <v>35.22</v>
      </c>
      <c r="I86" s="42">
        <v>26.565000000000001</v>
      </c>
      <c r="J86" s="42">
        <v>7.367</v>
      </c>
      <c r="K86" s="42">
        <v>8.0250000000000004</v>
      </c>
      <c r="L86" s="42">
        <v>8.6549999999999994</v>
      </c>
      <c r="M86" s="42">
        <v>0</v>
      </c>
      <c r="N86" s="42">
        <v>0</v>
      </c>
      <c r="O86" s="42">
        <v>0</v>
      </c>
      <c r="P86" s="42">
        <v>7.367</v>
      </c>
      <c r="Q86" s="42">
        <v>8.0250000000000004</v>
      </c>
      <c r="R86" s="42">
        <v>8.6549999999999994</v>
      </c>
      <c r="S86" s="43"/>
      <c r="T86" s="43"/>
      <c r="U86" s="43"/>
      <c r="V86" s="43"/>
      <c r="W86" s="43"/>
      <c r="X86" s="43"/>
      <c r="Y86" s="43"/>
      <c r="Z86" s="43"/>
      <c r="AA86" s="43"/>
    </row>
    <row r="87" spans="2:27" x14ac:dyDescent="0.2">
      <c r="B87" s="39">
        <v>10260</v>
      </c>
      <c r="C87" s="40" t="s">
        <v>206</v>
      </c>
      <c r="D87" s="41">
        <v>1</v>
      </c>
      <c r="E87" s="41">
        <v>0</v>
      </c>
      <c r="F87" s="42">
        <v>27.297000000000001</v>
      </c>
      <c r="G87" s="42">
        <v>27.423999999999999</v>
      </c>
      <c r="H87" s="42">
        <v>27.54</v>
      </c>
      <c r="I87" s="42">
        <v>25.875</v>
      </c>
      <c r="J87" s="42">
        <v>1.4219999999999999</v>
      </c>
      <c r="K87" s="42">
        <v>1.5489999999999999</v>
      </c>
      <c r="L87" s="42">
        <v>1.665</v>
      </c>
      <c r="M87" s="42">
        <v>0</v>
      </c>
      <c r="N87" s="42">
        <v>0</v>
      </c>
      <c r="O87" s="42">
        <v>0</v>
      </c>
      <c r="P87" s="42">
        <v>1.4219999999999999</v>
      </c>
      <c r="Q87" s="42">
        <v>1.5489999999999999</v>
      </c>
      <c r="R87" s="42">
        <v>1.665</v>
      </c>
      <c r="S87" s="43"/>
      <c r="T87" s="43"/>
      <c r="U87" s="43"/>
      <c r="V87" s="43"/>
      <c r="W87" s="43"/>
      <c r="X87" s="43"/>
      <c r="Y87" s="43"/>
      <c r="Z87" s="43"/>
      <c r="AA87" s="43"/>
    </row>
    <row r="88" spans="2:27" x14ac:dyDescent="0.2">
      <c r="B88" s="39">
        <v>10273</v>
      </c>
      <c r="C88" s="40" t="s">
        <v>207</v>
      </c>
      <c r="D88" s="41">
        <v>1</v>
      </c>
      <c r="E88" s="41">
        <v>0</v>
      </c>
      <c r="F88" s="42">
        <v>8.1969999999999992</v>
      </c>
      <c r="G88" s="42">
        <v>8.2279999999999998</v>
      </c>
      <c r="H88" s="42">
        <v>8.2509999999999994</v>
      </c>
      <c r="I88" s="42">
        <v>5.79</v>
      </c>
      <c r="J88" s="42">
        <v>2.407</v>
      </c>
      <c r="K88" s="42">
        <v>2.4380000000000002</v>
      </c>
      <c r="L88" s="42">
        <v>2.4609999999999999</v>
      </c>
      <c r="M88" s="42">
        <v>0</v>
      </c>
      <c r="N88" s="42">
        <v>0</v>
      </c>
      <c r="O88" s="42">
        <v>0</v>
      </c>
      <c r="P88" s="42">
        <v>2.407</v>
      </c>
      <c r="Q88" s="42">
        <v>2.4380000000000002</v>
      </c>
      <c r="R88" s="42">
        <v>2.4609999999999999</v>
      </c>
      <c r="S88" s="43"/>
      <c r="T88" s="43"/>
      <c r="U88" s="43"/>
      <c r="V88" s="43"/>
      <c r="W88" s="43"/>
      <c r="X88" s="43"/>
      <c r="Y88" s="43"/>
      <c r="Z88" s="43"/>
      <c r="AA88" s="43"/>
    </row>
    <row r="89" spans="2:27" x14ac:dyDescent="0.2">
      <c r="B89" s="39">
        <v>10278</v>
      </c>
      <c r="C89" s="40" t="s">
        <v>33</v>
      </c>
      <c r="D89" s="41">
        <v>0</v>
      </c>
      <c r="E89" s="41">
        <v>1</v>
      </c>
      <c r="F89" s="42">
        <v>45.73</v>
      </c>
      <c r="G89" s="42">
        <v>46.484999999999999</v>
      </c>
      <c r="H89" s="42">
        <v>46.774999999999999</v>
      </c>
      <c r="I89" s="42">
        <v>35.368000000000002</v>
      </c>
      <c r="J89" s="42">
        <v>10.362</v>
      </c>
      <c r="K89" s="42">
        <v>11.117000000000001</v>
      </c>
      <c r="L89" s="42">
        <v>11.407</v>
      </c>
      <c r="M89" s="42">
        <v>0</v>
      </c>
      <c r="N89" s="42">
        <v>0</v>
      </c>
      <c r="O89" s="42">
        <v>0</v>
      </c>
      <c r="P89" s="42">
        <v>10.362</v>
      </c>
      <c r="Q89" s="42">
        <v>11.117000000000001</v>
      </c>
      <c r="R89" s="42">
        <v>11.407</v>
      </c>
      <c r="S89" s="43"/>
      <c r="T89" s="43"/>
      <c r="U89" s="43"/>
      <c r="V89" s="43"/>
      <c r="W89" s="43"/>
      <c r="X89" s="43"/>
      <c r="Y89" s="43"/>
      <c r="Z89" s="43"/>
      <c r="AA89" s="43"/>
    </row>
    <row r="90" spans="2:27" x14ac:dyDescent="0.2">
      <c r="B90" s="39">
        <v>10279</v>
      </c>
      <c r="C90" s="40" t="s">
        <v>208</v>
      </c>
      <c r="D90" s="41">
        <v>1</v>
      </c>
      <c r="E90" s="41">
        <v>0</v>
      </c>
      <c r="F90" s="42">
        <v>81.245999999999995</v>
      </c>
      <c r="G90" s="42">
        <v>81.585999999999999</v>
      </c>
      <c r="H90" s="42">
        <v>81.944000000000003</v>
      </c>
      <c r="I90" s="42">
        <v>63.756</v>
      </c>
      <c r="J90" s="42">
        <v>17.489999999999998</v>
      </c>
      <c r="K90" s="42">
        <v>17.829999999999998</v>
      </c>
      <c r="L90" s="42">
        <v>18.187999999999999</v>
      </c>
      <c r="M90" s="42">
        <v>0</v>
      </c>
      <c r="N90" s="42">
        <v>0</v>
      </c>
      <c r="O90" s="42">
        <v>0</v>
      </c>
      <c r="P90" s="42">
        <v>17.489999999999998</v>
      </c>
      <c r="Q90" s="42">
        <v>17.829999999999998</v>
      </c>
      <c r="R90" s="42">
        <v>18.187999999999999</v>
      </c>
      <c r="S90" s="43"/>
      <c r="T90" s="43"/>
      <c r="U90" s="43"/>
      <c r="V90" s="43"/>
      <c r="W90" s="43"/>
      <c r="X90" s="43"/>
      <c r="Y90" s="43"/>
      <c r="Z90" s="43"/>
      <c r="AA90" s="43"/>
    </row>
    <row r="91" spans="2:27" x14ac:dyDescent="0.2">
      <c r="B91" s="39">
        <v>10284</v>
      </c>
      <c r="C91" s="40" t="s">
        <v>209</v>
      </c>
      <c r="D91" s="41">
        <v>1</v>
      </c>
      <c r="E91" s="41">
        <v>0</v>
      </c>
      <c r="F91" s="42">
        <v>12.069000000000001</v>
      </c>
      <c r="G91" s="42">
        <v>12.193</v>
      </c>
      <c r="H91" s="42">
        <v>12.31</v>
      </c>
      <c r="I91" s="42">
        <v>10.539</v>
      </c>
      <c r="J91" s="42">
        <v>1.53</v>
      </c>
      <c r="K91" s="42">
        <v>1.6539999999999999</v>
      </c>
      <c r="L91" s="42">
        <v>1.7709999999999999</v>
      </c>
      <c r="M91" s="42">
        <v>0</v>
      </c>
      <c r="N91" s="42">
        <v>0</v>
      </c>
      <c r="O91" s="42">
        <v>0</v>
      </c>
      <c r="P91" s="42">
        <v>1.53</v>
      </c>
      <c r="Q91" s="42">
        <v>1.6539999999999999</v>
      </c>
      <c r="R91" s="42">
        <v>1.7709999999999999</v>
      </c>
      <c r="S91" s="43"/>
      <c r="T91" s="43"/>
      <c r="U91" s="43"/>
      <c r="V91" s="43"/>
      <c r="W91" s="43"/>
      <c r="X91" s="43"/>
      <c r="Y91" s="43"/>
      <c r="Z91" s="43"/>
      <c r="AA91" s="43"/>
    </row>
    <row r="92" spans="2:27" x14ac:dyDescent="0.2">
      <c r="B92" s="39">
        <v>10285</v>
      </c>
      <c r="C92" s="40" t="s">
        <v>87</v>
      </c>
      <c r="D92" s="41">
        <v>0</v>
      </c>
      <c r="E92" s="41">
        <v>1</v>
      </c>
      <c r="F92" s="42">
        <v>8.1389999999999993</v>
      </c>
      <c r="G92" s="42">
        <v>8.1999999999999993</v>
      </c>
      <c r="H92" s="42">
        <v>8.2469999999999999</v>
      </c>
      <c r="I92" s="42">
        <v>6.4269999999999996</v>
      </c>
      <c r="J92" s="42">
        <v>1.712</v>
      </c>
      <c r="K92" s="42">
        <v>1.7729999999999999</v>
      </c>
      <c r="L92" s="42">
        <v>1.82</v>
      </c>
      <c r="M92" s="42">
        <v>0</v>
      </c>
      <c r="N92" s="42">
        <v>0</v>
      </c>
      <c r="O92" s="42">
        <v>0</v>
      </c>
      <c r="P92" s="42">
        <v>1.712</v>
      </c>
      <c r="Q92" s="42">
        <v>1.7729999999999999</v>
      </c>
      <c r="R92" s="42">
        <v>1.82</v>
      </c>
      <c r="S92" s="43"/>
      <c r="T92" s="43"/>
      <c r="U92" s="43"/>
      <c r="V92" s="43"/>
      <c r="W92" s="43"/>
      <c r="X92" s="43"/>
      <c r="Y92" s="43"/>
      <c r="Z92" s="43"/>
      <c r="AA92" s="43"/>
    </row>
    <row r="93" spans="2:27" x14ac:dyDescent="0.2">
      <c r="B93" s="39">
        <v>10286</v>
      </c>
      <c r="C93" s="40" t="s">
        <v>210</v>
      </c>
      <c r="D93" s="41">
        <v>1</v>
      </c>
      <c r="E93" s="41">
        <v>0</v>
      </c>
      <c r="F93" s="42">
        <v>52.301000000000002</v>
      </c>
      <c r="G93" s="42">
        <v>52.5</v>
      </c>
      <c r="H93" s="42">
        <v>52.563000000000002</v>
      </c>
      <c r="I93" s="42">
        <v>45.195999999999998</v>
      </c>
      <c r="J93" s="42">
        <v>7.1050000000000004</v>
      </c>
      <c r="K93" s="42">
        <v>7.3040000000000003</v>
      </c>
      <c r="L93" s="42">
        <v>7.367</v>
      </c>
      <c r="M93" s="42">
        <v>0</v>
      </c>
      <c r="N93" s="42">
        <v>0</v>
      </c>
      <c r="O93" s="42">
        <v>0</v>
      </c>
      <c r="P93" s="42">
        <v>7.1050000000000004</v>
      </c>
      <c r="Q93" s="42">
        <v>7.3040000000000003</v>
      </c>
      <c r="R93" s="42">
        <v>7.367</v>
      </c>
      <c r="S93" s="43"/>
      <c r="T93" s="43"/>
      <c r="U93" s="43"/>
      <c r="V93" s="43"/>
      <c r="W93" s="43"/>
      <c r="X93" s="43"/>
      <c r="Y93" s="43"/>
      <c r="Z93" s="43"/>
      <c r="AA93" s="43"/>
    </row>
    <row r="94" spans="2:27" x14ac:dyDescent="0.2">
      <c r="B94" s="39">
        <v>10288</v>
      </c>
      <c r="C94" s="40" t="s">
        <v>88</v>
      </c>
      <c r="D94" s="41">
        <v>0</v>
      </c>
      <c r="E94" s="41">
        <v>1</v>
      </c>
      <c r="F94" s="42">
        <v>25.88</v>
      </c>
      <c r="G94" s="42">
        <v>25.943999999999999</v>
      </c>
      <c r="H94" s="42">
        <v>26.012</v>
      </c>
      <c r="I94" s="42">
        <v>24.349</v>
      </c>
      <c r="J94" s="42">
        <v>1.5309999999999999</v>
      </c>
      <c r="K94" s="42">
        <v>1.595</v>
      </c>
      <c r="L94" s="42">
        <v>1.663</v>
      </c>
      <c r="M94" s="42">
        <v>0</v>
      </c>
      <c r="N94" s="42">
        <v>0</v>
      </c>
      <c r="O94" s="42">
        <v>0</v>
      </c>
      <c r="P94" s="42">
        <v>1.5309999999999999</v>
      </c>
      <c r="Q94" s="42">
        <v>1.595</v>
      </c>
      <c r="R94" s="42">
        <v>1.663</v>
      </c>
      <c r="S94" s="43"/>
      <c r="T94" s="43"/>
      <c r="U94" s="43"/>
      <c r="V94" s="43"/>
      <c r="W94" s="43"/>
      <c r="X94" s="43"/>
      <c r="Y94" s="43"/>
      <c r="Z94" s="43"/>
      <c r="AA94" s="43"/>
    </row>
    <row r="95" spans="2:27" x14ac:dyDescent="0.2">
      <c r="B95" s="39">
        <v>10291</v>
      </c>
      <c r="C95" s="40" t="s">
        <v>211</v>
      </c>
      <c r="D95" s="41">
        <v>1</v>
      </c>
      <c r="E95" s="41">
        <v>0</v>
      </c>
      <c r="F95" s="42">
        <v>81.796000000000006</v>
      </c>
      <c r="G95" s="42">
        <v>82.204999999999998</v>
      </c>
      <c r="H95" s="42">
        <v>82.616</v>
      </c>
      <c r="I95" s="42">
        <v>77.947999999999993</v>
      </c>
      <c r="J95" s="42">
        <v>3.8479999999999999</v>
      </c>
      <c r="K95" s="42">
        <v>4.2569999999999997</v>
      </c>
      <c r="L95" s="42">
        <v>4.6680000000000001</v>
      </c>
      <c r="M95" s="42">
        <v>0</v>
      </c>
      <c r="N95" s="42">
        <v>0</v>
      </c>
      <c r="O95" s="42">
        <v>0</v>
      </c>
      <c r="P95" s="42">
        <v>3.8479999999999999</v>
      </c>
      <c r="Q95" s="42">
        <v>4.2569999999999997</v>
      </c>
      <c r="R95" s="42">
        <v>4.6680000000000001</v>
      </c>
      <c r="S95" s="43"/>
      <c r="T95" s="43"/>
      <c r="U95" s="43"/>
      <c r="V95" s="43"/>
      <c r="W95" s="43"/>
      <c r="X95" s="43"/>
      <c r="Y95" s="43"/>
      <c r="Z95" s="43"/>
      <c r="AA95" s="43"/>
    </row>
    <row r="96" spans="2:27" x14ac:dyDescent="0.2">
      <c r="B96" s="39">
        <v>10294</v>
      </c>
      <c r="C96" s="40" t="s">
        <v>212</v>
      </c>
      <c r="D96" s="41">
        <v>1</v>
      </c>
      <c r="E96" s="41">
        <v>0</v>
      </c>
      <c r="F96" s="42">
        <v>38.814999999999998</v>
      </c>
      <c r="G96" s="42">
        <v>39.085999999999999</v>
      </c>
      <c r="H96" s="42">
        <v>39.296999999999997</v>
      </c>
      <c r="I96" s="42">
        <v>35.761000000000003</v>
      </c>
      <c r="J96" s="42">
        <v>3.0539999999999998</v>
      </c>
      <c r="K96" s="42">
        <v>3.3250000000000002</v>
      </c>
      <c r="L96" s="42">
        <v>3.536</v>
      </c>
      <c r="M96" s="42">
        <v>0</v>
      </c>
      <c r="N96" s="42">
        <v>0</v>
      </c>
      <c r="O96" s="42">
        <v>0</v>
      </c>
      <c r="P96" s="42">
        <v>3.0539999999999998</v>
      </c>
      <c r="Q96" s="42">
        <v>3.3250000000000002</v>
      </c>
      <c r="R96" s="42">
        <v>3.536</v>
      </c>
      <c r="S96" s="43"/>
      <c r="T96" s="43"/>
      <c r="U96" s="43"/>
      <c r="V96" s="43"/>
      <c r="W96" s="43"/>
      <c r="X96" s="43"/>
      <c r="Y96" s="43"/>
      <c r="Z96" s="43"/>
      <c r="AA96" s="43"/>
    </row>
    <row r="97" spans="2:27" x14ac:dyDescent="0.2">
      <c r="B97" s="39">
        <v>10304</v>
      </c>
      <c r="C97" s="40" t="s">
        <v>213</v>
      </c>
      <c r="D97" s="41">
        <v>1</v>
      </c>
      <c r="E97" s="41">
        <v>0</v>
      </c>
      <c r="F97" s="42">
        <v>13.564</v>
      </c>
      <c r="G97" s="42">
        <v>13.593999999999999</v>
      </c>
      <c r="H97" s="42">
        <v>13.628</v>
      </c>
      <c r="I97" s="42">
        <v>13.849</v>
      </c>
      <c r="J97" s="42">
        <v>0</v>
      </c>
      <c r="K97" s="42">
        <v>0</v>
      </c>
      <c r="L97" s="42">
        <v>0</v>
      </c>
      <c r="M97" s="42">
        <v>0</v>
      </c>
      <c r="N97" s="42">
        <v>0</v>
      </c>
      <c r="O97" s="42">
        <v>0</v>
      </c>
      <c r="P97" s="42">
        <v>0</v>
      </c>
      <c r="Q97" s="42">
        <v>0</v>
      </c>
      <c r="R97" s="42">
        <v>0</v>
      </c>
      <c r="S97" s="43"/>
      <c r="T97" s="43"/>
      <c r="U97" s="43"/>
      <c r="V97" s="43"/>
      <c r="W97" s="43"/>
      <c r="X97" s="43"/>
      <c r="Y97" s="43"/>
      <c r="Z97" s="43"/>
      <c r="AA97" s="43"/>
    </row>
    <row r="98" spans="2:27" x14ac:dyDescent="0.2">
      <c r="B98" s="39">
        <v>10306</v>
      </c>
      <c r="C98" s="40" t="s">
        <v>214</v>
      </c>
      <c r="D98" s="41">
        <v>1</v>
      </c>
      <c r="E98" s="41">
        <v>0</v>
      </c>
      <c r="F98" s="42">
        <v>10.98</v>
      </c>
      <c r="G98" s="42">
        <v>10.98</v>
      </c>
      <c r="H98" s="42">
        <v>11.143000000000001</v>
      </c>
      <c r="I98" s="42">
        <v>25.367000000000001</v>
      </c>
      <c r="J98" s="42">
        <v>0</v>
      </c>
      <c r="K98" s="42">
        <v>0</v>
      </c>
      <c r="L98" s="42">
        <v>0</v>
      </c>
      <c r="M98" s="42">
        <v>0</v>
      </c>
      <c r="N98" s="42">
        <v>0</v>
      </c>
      <c r="O98" s="42">
        <v>0</v>
      </c>
      <c r="P98" s="42">
        <v>0</v>
      </c>
      <c r="Q98" s="42">
        <v>0</v>
      </c>
      <c r="R98" s="42">
        <v>0</v>
      </c>
      <c r="S98" s="43"/>
      <c r="T98" s="43"/>
      <c r="U98" s="43"/>
      <c r="V98" s="43"/>
      <c r="W98" s="43"/>
      <c r="X98" s="43"/>
      <c r="Y98" s="43"/>
      <c r="Z98" s="43"/>
      <c r="AA98" s="43"/>
    </row>
    <row r="99" spans="2:27" x14ac:dyDescent="0.2">
      <c r="B99" s="39">
        <v>10307</v>
      </c>
      <c r="C99" s="40" t="s">
        <v>215</v>
      </c>
      <c r="D99" s="41">
        <v>1</v>
      </c>
      <c r="E99" s="41">
        <v>0</v>
      </c>
      <c r="F99" s="42">
        <v>69.658000000000001</v>
      </c>
      <c r="G99" s="42">
        <v>69.742999999999995</v>
      </c>
      <c r="H99" s="42">
        <v>69.822000000000003</v>
      </c>
      <c r="I99" s="42">
        <v>70.864000000000004</v>
      </c>
      <c r="J99" s="42">
        <v>0</v>
      </c>
      <c r="K99" s="42">
        <v>0</v>
      </c>
      <c r="L99" s="42">
        <v>0</v>
      </c>
      <c r="M99" s="42">
        <v>0</v>
      </c>
      <c r="N99" s="42">
        <v>0</v>
      </c>
      <c r="O99" s="42">
        <v>0</v>
      </c>
      <c r="P99" s="42">
        <v>0</v>
      </c>
      <c r="Q99" s="42">
        <v>0</v>
      </c>
      <c r="R99" s="42">
        <v>0</v>
      </c>
      <c r="S99" s="43"/>
      <c r="T99" s="43"/>
      <c r="U99" s="43"/>
      <c r="V99" s="43"/>
      <c r="W99" s="43"/>
      <c r="X99" s="43"/>
      <c r="Y99" s="43"/>
      <c r="Z99" s="43"/>
      <c r="AA99" s="43"/>
    </row>
    <row r="100" spans="2:27" x14ac:dyDescent="0.2">
      <c r="B100" s="39">
        <v>10326</v>
      </c>
      <c r="C100" s="40" t="s">
        <v>216</v>
      </c>
      <c r="D100" s="41">
        <v>1</v>
      </c>
      <c r="E100" s="41">
        <v>0</v>
      </c>
      <c r="F100" s="42">
        <v>28.991</v>
      </c>
      <c r="G100" s="42">
        <v>29.052</v>
      </c>
      <c r="H100" s="42">
        <v>29.114000000000001</v>
      </c>
      <c r="I100" s="42">
        <v>29.984999999999999</v>
      </c>
      <c r="J100" s="42">
        <v>0</v>
      </c>
      <c r="K100" s="42">
        <v>0</v>
      </c>
      <c r="L100" s="42">
        <v>0</v>
      </c>
      <c r="M100" s="42">
        <v>0</v>
      </c>
      <c r="N100" s="42">
        <v>0</v>
      </c>
      <c r="O100" s="42">
        <v>0</v>
      </c>
      <c r="P100" s="42">
        <v>0</v>
      </c>
      <c r="Q100" s="42">
        <v>0</v>
      </c>
      <c r="R100" s="42">
        <v>0</v>
      </c>
      <c r="S100" s="43"/>
      <c r="T100" s="43"/>
      <c r="U100" s="43"/>
      <c r="V100" s="43"/>
      <c r="W100" s="43"/>
      <c r="X100" s="43"/>
      <c r="Y100" s="43"/>
      <c r="Z100" s="43"/>
      <c r="AA100" s="43"/>
    </row>
    <row r="101" spans="2:27" x14ac:dyDescent="0.2">
      <c r="B101" s="39">
        <v>10331</v>
      </c>
      <c r="C101" s="40" t="s">
        <v>89</v>
      </c>
      <c r="D101" s="41">
        <v>0</v>
      </c>
      <c r="E101" s="41">
        <v>1</v>
      </c>
      <c r="F101" s="42">
        <v>38.948</v>
      </c>
      <c r="G101" s="42">
        <v>38.948</v>
      </c>
      <c r="H101" s="42">
        <v>38.914000000000001</v>
      </c>
      <c r="I101" s="42">
        <v>36.031999999999996</v>
      </c>
      <c r="J101" s="42">
        <v>2.9159999999999999</v>
      </c>
      <c r="K101" s="42">
        <v>2.9159999999999999</v>
      </c>
      <c r="L101" s="42">
        <v>2.8820000000000001</v>
      </c>
      <c r="M101" s="42">
        <v>0</v>
      </c>
      <c r="N101" s="42">
        <v>0</v>
      </c>
      <c r="O101" s="42">
        <v>0</v>
      </c>
      <c r="P101" s="42">
        <v>2.9159999999999999</v>
      </c>
      <c r="Q101" s="42">
        <v>2.9159999999999999</v>
      </c>
      <c r="R101" s="42">
        <v>2.8820000000000001</v>
      </c>
      <c r="S101" s="43"/>
      <c r="T101" s="43"/>
      <c r="U101" s="43"/>
      <c r="V101" s="43"/>
      <c r="W101" s="43"/>
      <c r="X101" s="43"/>
      <c r="Y101" s="43"/>
      <c r="Z101" s="43"/>
      <c r="AA101" s="43"/>
    </row>
    <row r="102" spans="2:27" x14ac:dyDescent="0.2">
      <c r="B102" s="39">
        <v>10333</v>
      </c>
      <c r="C102" s="40" t="s">
        <v>90</v>
      </c>
      <c r="D102" s="41">
        <v>0</v>
      </c>
      <c r="E102" s="41">
        <v>1</v>
      </c>
      <c r="F102" s="42">
        <v>23.484999999999999</v>
      </c>
      <c r="G102" s="42">
        <v>23.814</v>
      </c>
      <c r="H102" s="42">
        <v>24.146999999999998</v>
      </c>
      <c r="I102" s="42">
        <v>18.225999999999999</v>
      </c>
      <c r="J102" s="42">
        <v>5.2590000000000003</v>
      </c>
      <c r="K102" s="42">
        <v>5.5880000000000001</v>
      </c>
      <c r="L102" s="42">
        <v>5.9210000000000003</v>
      </c>
      <c r="M102" s="42">
        <v>0</v>
      </c>
      <c r="N102" s="42">
        <v>0</v>
      </c>
      <c r="O102" s="42">
        <v>0</v>
      </c>
      <c r="P102" s="42">
        <v>5.2590000000000003</v>
      </c>
      <c r="Q102" s="42">
        <v>5.5880000000000001</v>
      </c>
      <c r="R102" s="42">
        <v>5.9210000000000003</v>
      </c>
      <c r="S102" s="43"/>
      <c r="T102" s="43"/>
      <c r="U102" s="43"/>
      <c r="V102" s="43"/>
      <c r="W102" s="43"/>
      <c r="X102" s="43"/>
      <c r="Y102" s="43"/>
      <c r="Z102" s="43"/>
      <c r="AA102" s="43"/>
    </row>
    <row r="103" spans="2:27" x14ac:dyDescent="0.2">
      <c r="B103" s="39">
        <v>10338</v>
      </c>
      <c r="C103" s="40" t="s">
        <v>217</v>
      </c>
      <c r="D103" s="41">
        <v>1</v>
      </c>
      <c r="E103" s="41">
        <v>0</v>
      </c>
      <c r="F103" s="42">
        <v>2.8490000000000002</v>
      </c>
      <c r="G103" s="42">
        <v>2.8780000000000001</v>
      </c>
      <c r="H103" s="42">
        <v>2.9039999999999999</v>
      </c>
      <c r="I103" s="42">
        <v>2.3359999999999999</v>
      </c>
      <c r="J103" s="42">
        <v>0.51300000000000001</v>
      </c>
      <c r="K103" s="42">
        <v>0.54200000000000004</v>
      </c>
      <c r="L103" s="42">
        <v>0.56799999999999995</v>
      </c>
      <c r="M103" s="42">
        <v>0.51300000000000001</v>
      </c>
      <c r="N103" s="42">
        <v>0.54200000000000004</v>
      </c>
      <c r="O103" s="42">
        <v>0.56799999999999995</v>
      </c>
      <c r="P103" s="42">
        <v>0</v>
      </c>
      <c r="Q103" s="42">
        <v>0</v>
      </c>
      <c r="R103" s="42">
        <v>0</v>
      </c>
      <c r="S103" s="43"/>
      <c r="T103" s="43"/>
      <c r="U103" s="43"/>
      <c r="V103" s="43"/>
      <c r="W103" s="43"/>
      <c r="X103" s="43"/>
      <c r="Y103" s="43"/>
      <c r="Z103" s="43"/>
      <c r="AA103" s="43"/>
    </row>
    <row r="104" spans="2:27" x14ac:dyDescent="0.2">
      <c r="B104" s="39">
        <v>10342</v>
      </c>
      <c r="C104" s="40" t="s">
        <v>218</v>
      </c>
      <c r="D104" s="41">
        <v>1</v>
      </c>
      <c r="E104" s="41">
        <v>0</v>
      </c>
      <c r="F104" s="42">
        <v>40.087000000000003</v>
      </c>
      <c r="G104" s="42">
        <v>40.283000000000001</v>
      </c>
      <c r="H104" s="42">
        <v>40.448</v>
      </c>
      <c r="I104" s="42">
        <v>38.088000000000001</v>
      </c>
      <c r="J104" s="42">
        <v>1.9990000000000001</v>
      </c>
      <c r="K104" s="42">
        <v>2.1949999999999998</v>
      </c>
      <c r="L104" s="42">
        <v>2.36</v>
      </c>
      <c r="M104" s="42">
        <v>0</v>
      </c>
      <c r="N104" s="42">
        <v>0</v>
      </c>
      <c r="O104" s="42">
        <v>0</v>
      </c>
      <c r="P104" s="42">
        <v>1.9990000000000001</v>
      </c>
      <c r="Q104" s="42">
        <v>2.1949999999999998</v>
      </c>
      <c r="R104" s="42">
        <v>2.36</v>
      </c>
      <c r="S104" s="43"/>
      <c r="T104" s="43"/>
      <c r="U104" s="43"/>
      <c r="V104" s="43"/>
      <c r="W104" s="43"/>
      <c r="X104" s="43"/>
      <c r="Y104" s="43"/>
      <c r="Z104" s="43"/>
      <c r="AA104" s="43"/>
    </row>
    <row r="105" spans="2:27" x14ac:dyDescent="0.2">
      <c r="B105" s="39">
        <v>10343</v>
      </c>
      <c r="C105" s="40" t="s">
        <v>219</v>
      </c>
      <c r="D105" s="41">
        <v>1</v>
      </c>
      <c r="E105" s="41">
        <v>0</v>
      </c>
      <c r="F105" s="42">
        <v>11.762</v>
      </c>
      <c r="G105" s="42">
        <v>11.762</v>
      </c>
      <c r="H105" s="42">
        <v>11.818</v>
      </c>
      <c r="I105" s="42">
        <v>30.9</v>
      </c>
      <c r="J105" s="42">
        <v>0</v>
      </c>
      <c r="K105" s="42">
        <v>0</v>
      </c>
      <c r="L105" s="42">
        <v>0</v>
      </c>
      <c r="M105" s="42">
        <v>0</v>
      </c>
      <c r="N105" s="42">
        <v>0</v>
      </c>
      <c r="O105" s="42">
        <v>0</v>
      </c>
      <c r="P105" s="42">
        <v>0</v>
      </c>
      <c r="Q105" s="42">
        <v>0</v>
      </c>
      <c r="R105" s="42">
        <v>0</v>
      </c>
      <c r="S105" s="43"/>
      <c r="T105" s="43"/>
      <c r="U105" s="43"/>
      <c r="V105" s="43"/>
      <c r="W105" s="43"/>
      <c r="X105" s="43"/>
      <c r="Y105" s="43"/>
      <c r="Z105" s="43"/>
      <c r="AA105" s="43"/>
    </row>
    <row r="106" spans="2:27" x14ac:dyDescent="0.2">
      <c r="B106" s="39">
        <v>10349</v>
      </c>
      <c r="C106" s="40" t="s">
        <v>220</v>
      </c>
      <c r="D106" s="41">
        <v>1</v>
      </c>
      <c r="E106" s="41">
        <v>0</v>
      </c>
      <c r="F106" s="42">
        <v>458.13400000000001</v>
      </c>
      <c r="G106" s="42">
        <v>463.01100000000002</v>
      </c>
      <c r="H106" s="42">
        <v>465.5</v>
      </c>
      <c r="I106" s="42">
        <v>515.75</v>
      </c>
      <c r="J106" s="42">
        <v>0</v>
      </c>
      <c r="K106" s="42">
        <v>0</v>
      </c>
      <c r="L106" s="42">
        <v>0</v>
      </c>
      <c r="M106" s="42">
        <v>0</v>
      </c>
      <c r="N106" s="42">
        <v>0</v>
      </c>
      <c r="O106" s="42">
        <v>0</v>
      </c>
      <c r="P106" s="42">
        <v>0</v>
      </c>
      <c r="Q106" s="42">
        <v>0</v>
      </c>
      <c r="R106" s="42">
        <v>0</v>
      </c>
      <c r="S106" s="43"/>
      <c r="T106" s="43"/>
      <c r="U106" s="43"/>
      <c r="V106" s="43"/>
      <c r="W106" s="43"/>
      <c r="X106" s="43"/>
      <c r="Y106" s="43"/>
      <c r="Z106" s="43"/>
      <c r="AA106" s="43"/>
    </row>
    <row r="107" spans="2:27" x14ac:dyDescent="0.2">
      <c r="B107" s="39">
        <v>10352</v>
      </c>
      <c r="C107" s="40" t="s">
        <v>221</v>
      </c>
      <c r="D107" s="41">
        <v>1</v>
      </c>
      <c r="E107" s="41">
        <v>0</v>
      </c>
      <c r="F107" s="42">
        <v>17.474</v>
      </c>
      <c r="G107" s="42">
        <v>17.646000000000001</v>
      </c>
      <c r="H107" s="42">
        <v>17.827000000000002</v>
      </c>
      <c r="I107" s="42">
        <v>15.659000000000001</v>
      </c>
      <c r="J107" s="42">
        <v>1.8149999999999999</v>
      </c>
      <c r="K107" s="42">
        <v>1.9870000000000001</v>
      </c>
      <c r="L107" s="42">
        <v>2.1680000000000001</v>
      </c>
      <c r="M107" s="42">
        <v>0</v>
      </c>
      <c r="N107" s="42">
        <v>0</v>
      </c>
      <c r="O107" s="42">
        <v>0</v>
      </c>
      <c r="P107" s="42">
        <v>1.8149999999999999</v>
      </c>
      <c r="Q107" s="42">
        <v>1.9870000000000001</v>
      </c>
      <c r="R107" s="42">
        <v>2.1680000000000001</v>
      </c>
      <c r="S107" s="43"/>
      <c r="T107" s="43"/>
      <c r="U107" s="43"/>
      <c r="V107" s="43"/>
      <c r="W107" s="43"/>
      <c r="X107" s="43"/>
      <c r="Y107" s="43"/>
      <c r="Z107" s="43"/>
      <c r="AA107" s="43"/>
    </row>
    <row r="108" spans="2:27" x14ac:dyDescent="0.2">
      <c r="B108" s="39">
        <v>10354</v>
      </c>
      <c r="C108" s="40" t="s">
        <v>222</v>
      </c>
      <c r="D108" s="41">
        <v>1</v>
      </c>
      <c r="E108" s="41">
        <v>0</v>
      </c>
      <c r="F108" s="42">
        <v>738.27300000000002</v>
      </c>
      <c r="G108" s="42">
        <v>737.34299999999996</v>
      </c>
      <c r="H108" s="42">
        <v>735.53</v>
      </c>
      <c r="I108" s="42">
        <v>786.62099999999998</v>
      </c>
      <c r="J108" s="42">
        <v>0</v>
      </c>
      <c r="K108" s="42">
        <v>0</v>
      </c>
      <c r="L108" s="42">
        <v>0</v>
      </c>
      <c r="M108" s="42">
        <v>0</v>
      </c>
      <c r="N108" s="42">
        <v>0</v>
      </c>
      <c r="O108" s="42">
        <v>0</v>
      </c>
      <c r="P108" s="42">
        <v>0</v>
      </c>
      <c r="Q108" s="42">
        <v>0</v>
      </c>
      <c r="R108" s="42">
        <v>0</v>
      </c>
      <c r="S108" s="43"/>
      <c r="T108" s="43"/>
      <c r="U108" s="43"/>
      <c r="V108" s="43"/>
      <c r="W108" s="43"/>
      <c r="X108" s="43"/>
      <c r="Y108" s="43"/>
      <c r="Z108" s="43"/>
      <c r="AA108" s="43"/>
    </row>
    <row r="109" spans="2:27" x14ac:dyDescent="0.2">
      <c r="B109" s="39">
        <v>10360</v>
      </c>
      <c r="C109" s="40" t="s">
        <v>223</v>
      </c>
      <c r="D109" s="41">
        <v>1</v>
      </c>
      <c r="E109" s="41">
        <v>0</v>
      </c>
      <c r="F109" s="42">
        <v>7.4050000000000002</v>
      </c>
      <c r="G109" s="42">
        <v>7.4379999999999997</v>
      </c>
      <c r="H109" s="42">
        <v>7.4619999999999997</v>
      </c>
      <c r="I109" s="42">
        <v>6.66</v>
      </c>
      <c r="J109" s="42">
        <v>0.745</v>
      </c>
      <c r="K109" s="42">
        <v>0.77800000000000002</v>
      </c>
      <c r="L109" s="42">
        <v>0.80200000000000005</v>
      </c>
      <c r="M109" s="42">
        <v>0.745</v>
      </c>
      <c r="N109" s="42">
        <v>0.77800000000000002</v>
      </c>
      <c r="O109" s="42">
        <v>0.80200000000000005</v>
      </c>
      <c r="P109" s="42">
        <v>0</v>
      </c>
      <c r="Q109" s="42">
        <v>0</v>
      </c>
      <c r="R109" s="42">
        <v>0</v>
      </c>
      <c r="S109" s="43"/>
      <c r="T109" s="43"/>
      <c r="U109" s="43"/>
      <c r="V109" s="43"/>
      <c r="W109" s="43"/>
      <c r="X109" s="43"/>
      <c r="Y109" s="43"/>
      <c r="Z109" s="43"/>
      <c r="AA109" s="43"/>
    </row>
    <row r="110" spans="2:27" x14ac:dyDescent="0.2">
      <c r="B110" s="39">
        <v>10363</v>
      </c>
      <c r="C110" s="40" t="s">
        <v>224</v>
      </c>
      <c r="D110" s="41">
        <v>1</v>
      </c>
      <c r="E110" s="41">
        <v>0</v>
      </c>
      <c r="F110" s="42">
        <v>89.85</v>
      </c>
      <c r="G110" s="42">
        <v>90.04</v>
      </c>
      <c r="H110" s="42">
        <v>90.234999999999999</v>
      </c>
      <c r="I110" s="42">
        <v>99.137</v>
      </c>
      <c r="J110" s="42">
        <v>0</v>
      </c>
      <c r="K110" s="42">
        <v>0</v>
      </c>
      <c r="L110" s="42">
        <v>0</v>
      </c>
      <c r="M110" s="42">
        <v>0</v>
      </c>
      <c r="N110" s="42">
        <v>0</v>
      </c>
      <c r="O110" s="42">
        <v>0</v>
      </c>
      <c r="P110" s="42">
        <v>0</v>
      </c>
      <c r="Q110" s="42">
        <v>0</v>
      </c>
      <c r="R110" s="42">
        <v>0</v>
      </c>
      <c r="S110" s="43"/>
      <c r="T110" s="43"/>
      <c r="U110" s="43"/>
      <c r="V110" s="43"/>
      <c r="W110" s="43"/>
      <c r="X110" s="43"/>
      <c r="Y110" s="43"/>
      <c r="Z110" s="43"/>
      <c r="AA110" s="43"/>
    </row>
    <row r="111" spans="2:27" x14ac:dyDescent="0.2">
      <c r="B111" s="39">
        <v>10369</v>
      </c>
      <c r="C111" s="40" t="s">
        <v>225</v>
      </c>
      <c r="D111" s="41">
        <v>1</v>
      </c>
      <c r="E111" s="41">
        <v>0</v>
      </c>
      <c r="F111" s="42">
        <v>18.605</v>
      </c>
      <c r="G111" s="42">
        <v>18.605</v>
      </c>
      <c r="H111" s="42">
        <v>18.605</v>
      </c>
      <c r="I111" s="42">
        <v>16.175999999999998</v>
      </c>
      <c r="J111" s="42">
        <v>2.4289999999999998</v>
      </c>
      <c r="K111" s="42">
        <v>2.4289999999999998</v>
      </c>
      <c r="L111" s="42">
        <v>2.4289999999999998</v>
      </c>
      <c r="M111" s="42">
        <v>0</v>
      </c>
      <c r="N111" s="42">
        <v>0</v>
      </c>
      <c r="O111" s="42">
        <v>0</v>
      </c>
      <c r="P111" s="42">
        <v>2.4289999999999998</v>
      </c>
      <c r="Q111" s="42">
        <v>2.4289999999999998</v>
      </c>
      <c r="R111" s="42">
        <v>2.4289999999999998</v>
      </c>
      <c r="S111" s="43"/>
      <c r="T111" s="43"/>
      <c r="U111" s="43"/>
      <c r="V111" s="43"/>
      <c r="W111" s="43"/>
      <c r="X111" s="43"/>
      <c r="Y111" s="43"/>
      <c r="Z111" s="43"/>
      <c r="AA111" s="43"/>
    </row>
    <row r="112" spans="2:27" x14ac:dyDescent="0.2">
      <c r="B112" s="39">
        <v>10370</v>
      </c>
      <c r="C112" s="40" t="s">
        <v>226</v>
      </c>
      <c r="D112" s="41">
        <v>1</v>
      </c>
      <c r="E112" s="41">
        <v>0</v>
      </c>
      <c r="F112" s="42">
        <v>335.06299999999999</v>
      </c>
      <c r="G112" s="42">
        <v>328.27800000000002</v>
      </c>
      <c r="H112" s="42">
        <v>326.19900000000001</v>
      </c>
      <c r="I112" s="42">
        <v>396.12200000000001</v>
      </c>
      <c r="J112" s="42">
        <v>0</v>
      </c>
      <c r="K112" s="42">
        <v>0</v>
      </c>
      <c r="L112" s="42">
        <v>0</v>
      </c>
      <c r="M112" s="42">
        <v>0</v>
      </c>
      <c r="N112" s="42">
        <v>0</v>
      </c>
      <c r="O112" s="42">
        <v>0</v>
      </c>
      <c r="P112" s="42">
        <v>0</v>
      </c>
      <c r="Q112" s="42">
        <v>0</v>
      </c>
      <c r="R112" s="42">
        <v>0</v>
      </c>
      <c r="S112" s="43"/>
      <c r="T112" s="43"/>
      <c r="U112" s="43"/>
      <c r="V112" s="43"/>
      <c r="W112" s="43"/>
      <c r="X112" s="43"/>
      <c r="Y112" s="43"/>
      <c r="Z112" s="43"/>
      <c r="AA112" s="43"/>
    </row>
    <row r="113" spans="2:27" x14ac:dyDescent="0.2">
      <c r="B113" s="39">
        <v>10371</v>
      </c>
      <c r="C113" s="40" t="s">
        <v>227</v>
      </c>
      <c r="D113" s="41">
        <v>1</v>
      </c>
      <c r="E113" s="41">
        <v>0</v>
      </c>
      <c r="F113" s="42">
        <v>14.084</v>
      </c>
      <c r="G113" s="42">
        <v>14.137</v>
      </c>
      <c r="H113" s="42">
        <v>14.218</v>
      </c>
      <c r="I113" s="42">
        <v>10.861000000000001</v>
      </c>
      <c r="J113" s="42">
        <v>3.2229999999999999</v>
      </c>
      <c r="K113" s="42">
        <v>3.2759999999999998</v>
      </c>
      <c r="L113" s="42">
        <v>3.3570000000000002</v>
      </c>
      <c r="M113" s="42">
        <v>0</v>
      </c>
      <c r="N113" s="42">
        <v>0</v>
      </c>
      <c r="O113" s="42">
        <v>0</v>
      </c>
      <c r="P113" s="42">
        <v>3.2229999999999999</v>
      </c>
      <c r="Q113" s="42">
        <v>3.2759999999999998</v>
      </c>
      <c r="R113" s="42">
        <v>3.3570000000000002</v>
      </c>
      <c r="S113" s="43"/>
      <c r="T113" s="43"/>
      <c r="U113" s="43"/>
      <c r="V113" s="43"/>
      <c r="W113" s="43"/>
      <c r="X113" s="43"/>
      <c r="Y113" s="43"/>
      <c r="Z113" s="43"/>
      <c r="AA113" s="43"/>
    </row>
    <row r="114" spans="2:27" x14ac:dyDescent="0.2">
      <c r="B114" s="39">
        <v>10376</v>
      </c>
      <c r="C114" s="40" t="s">
        <v>228</v>
      </c>
      <c r="D114" s="41">
        <v>1</v>
      </c>
      <c r="E114" s="41">
        <v>0</v>
      </c>
      <c r="F114" s="42">
        <v>59.356999999999999</v>
      </c>
      <c r="G114" s="42">
        <v>59.953000000000003</v>
      </c>
      <c r="H114" s="42">
        <v>60.643000000000001</v>
      </c>
      <c r="I114" s="42">
        <v>55.155999999999999</v>
      </c>
      <c r="J114" s="42">
        <v>4.2009999999999996</v>
      </c>
      <c r="K114" s="42">
        <v>4.7969999999999997</v>
      </c>
      <c r="L114" s="42">
        <v>5.4870000000000001</v>
      </c>
      <c r="M114" s="42">
        <v>0</v>
      </c>
      <c r="N114" s="42">
        <v>0</v>
      </c>
      <c r="O114" s="42">
        <v>0</v>
      </c>
      <c r="P114" s="42">
        <v>4.2009999999999996</v>
      </c>
      <c r="Q114" s="42">
        <v>4.7969999999999997</v>
      </c>
      <c r="R114" s="42">
        <v>5.4870000000000001</v>
      </c>
      <c r="S114" s="43"/>
      <c r="T114" s="43"/>
      <c r="U114" s="43"/>
      <c r="V114" s="43"/>
      <c r="W114" s="43"/>
      <c r="X114" s="43"/>
      <c r="Y114" s="43"/>
      <c r="Z114" s="43"/>
      <c r="AA114" s="43"/>
    </row>
    <row r="115" spans="2:27" x14ac:dyDescent="0.2">
      <c r="B115" s="39">
        <v>10378</v>
      </c>
      <c r="C115" s="40" t="s">
        <v>229</v>
      </c>
      <c r="D115" s="41">
        <v>1</v>
      </c>
      <c r="E115" s="41">
        <v>0</v>
      </c>
      <c r="F115" s="42">
        <v>2.0529999999999999</v>
      </c>
      <c r="G115" s="42">
        <v>2.0630000000000002</v>
      </c>
      <c r="H115" s="42">
        <v>2.0699999999999998</v>
      </c>
      <c r="I115" s="42">
        <v>1.9890000000000001</v>
      </c>
      <c r="J115" s="42">
        <v>6.4000000000000001E-2</v>
      </c>
      <c r="K115" s="42">
        <v>7.3999999999999996E-2</v>
      </c>
      <c r="L115" s="42">
        <v>8.1000000000000003E-2</v>
      </c>
      <c r="M115" s="42">
        <v>6.4000000000000001E-2</v>
      </c>
      <c r="N115" s="42">
        <v>7.3999999999999996E-2</v>
      </c>
      <c r="O115" s="42">
        <v>8.1000000000000003E-2</v>
      </c>
      <c r="P115" s="42">
        <v>0</v>
      </c>
      <c r="Q115" s="42">
        <v>0</v>
      </c>
      <c r="R115" s="42">
        <v>0</v>
      </c>
      <c r="S115" s="43"/>
      <c r="T115" s="43"/>
      <c r="U115" s="43"/>
      <c r="V115" s="43"/>
      <c r="W115" s="43"/>
      <c r="X115" s="43"/>
      <c r="Y115" s="43"/>
      <c r="Z115" s="43"/>
      <c r="AA115" s="43"/>
    </row>
    <row r="116" spans="2:27" x14ac:dyDescent="0.2">
      <c r="B116" s="39">
        <v>10379</v>
      </c>
      <c r="C116" s="40" t="s">
        <v>230</v>
      </c>
      <c r="D116" s="41">
        <v>1</v>
      </c>
      <c r="E116" s="41">
        <v>0</v>
      </c>
      <c r="F116" s="42">
        <v>4.6040000000000001</v>
      </c>
      <c r="G116" s="42">
        <v>4.6230000000000002</v>
      </c>
      <c r="H116" s="42">
        <v>4.6340000000000003</v>
      </c>
      <c r="I116" s="42">
        <v>4.7329999999999997</v>
      </c>
      <c r="J116" s="42">
        <v>0</v>
      </c>
      <c r="K116" s="42">
        <v>0</v>
      </c>
      <c r="L116" s="42">
        <v>0</v>
      </c>
      <c r="M116" s="42">
        <v>0</v>
      </c>
      <c r="N116" s="42">
        <v>0</v>
      </c>
      <c r="O116" s="42">
        <v>0</v>
      </c>
      <c r="P116" s="42">
        <v>0</v>
      </c>
      <c r="Q116" s="42">
        <v>0</v>
      </c>
      <c r="R116" s="42">
        <v>0</v>
      </c>
      <c r="S116" s="43"/>
      <c r="T116" s="43"/>
      <c r="U116" s="43"/>
      <c r="V116" s="43"/>
      <c r="W116" s="43"/>
      <c r="X116" s="43"/>
      <c r="Y116" s="43"/>
      <c r="Z116" s="43"/>
      <c r="AA116" s="43"/>
    </row>
    <row r="117" spans="2:27" x14ac:dyDescent="0.2">
      <c r="B117" s="39">
        <v>10388</v>
      </c>
      <c r="C117" s="40" t="s">
        <v>231</v>
      </c>
      <c r="D117" s="41">
        <v>1</v>
      </c>
      <c r="E117" s="41">
        <v>0</v>
      </c>
      <c r="F117" s="42">
        <v>223.23099999999999</v>
      </c>
      <c r="G117" s="42">
        <v>223.23099999999999</v>
      </c>
      <c r="H117" s="42">
        <v>223.154</v>
      </c>
      <c r="I117" s="42">
        <v>111.459</v>
      </c>
      <c r="J117" s="42">
        <v>111.77200000000001</v>
      </c>
      <c r="K117" s="42">
        <v>111.77200000000001</v>
      </c>
      <c r="L117" s="42">
        <v>111.69499999999999</v>
      </c>
      <c r="M117" s="42">
        <v>0</v>
      </c>
      <c r="N117" s="42">
        <v>0</v>
      </c>
      <c r="O117" s="42">
        <v>0</v>
      </c>
      <c r="P117" s="42">
        <v>111.77200000000001</v>
      </c>
      <c r="Q117" s="42">
        <v>111.77200000000001</v>
      </c>
      <c r="R117" s="42">
        <v>111.69499999999999</v>
      </c>
      <c r="S117" s="43"/>
      <c r="T117" s="43"/>
      <c r="U117" s="43"/>
      <c r="V117" s="43"/>
      <c r="W117" s="43"/>
      <c r="X117" s="43"/>
      <c r="Y117" s="43"/>
      <c r="Z117" s="43"/>
      <c r="AA117" s="43"/>
    </row>
    <row r="118" spans="2:27" x14ac:dyDescent="0.2">
      <c r="B118" s="39">
        <v>10391</v>
      </c>
      <c r="C118" s="40" t="s">
        <v>232</v>
      </c>
      <c r="D118" s="41">
        <v>1</v>
      </c>
      <c r="E118" s="41">
        <v>0</v>
      </c>
      <c r="F118" s="42">
        <v>43.35</v>
      </c>
      <c r="G118" s="42">
        <v>43.853000000000002</v>
      </c>
      <c r="H118" s="42">
        <v>44.320999999999998</v>
      </c>
      <c r="I118" s="42">
        <v>29.51</v>
      </c>
      <c r="J118" s="42">
        <v>13.84</v>
      </c>
      <c r="K118" s="42">
        <v>14.343</v>
      </c>
      <c r="L118" s="42">
        <v>14.811</v>
      </c>
      <c r="M118" s="42">
        <v>0</v>
      </c>
      <c r="N118" s="42">
        <v>0</v>
      </c>
      <c r="O118" s="42">
        <v>0</v>
      </c>
      <c r="P118" s="42">
        <v>13.84</v>
      </c>
      <c r="Q118" s="42">
        <v>14.343</v>
      </c>
      <c r="R118" s="42">
        <v>14.811</v>
      </c>
      <c r="S118" s="43"/>
      <c r="T118" s="43"/>
      <c r="U118" s="43"/>
      <c r="V118" s="43"/>
      <c r="W118" s="43"/>
      <c r="X118" s="43"/>
      <c r="Y118" s="43"/>
      <c r="Z118" s="43"/>
      <c r="AA118" s="43"/>
    </row>
    <row r="119" spans="2:27" x14ac:dyDescent="0.2">
      <c r="B119" s="39">
        <v>10406</v>
      </c>
      <c r="C119" s="40" t="s">
        <v>233</v>
      </c>
      <c r="D119" s="41">
        <v>1</v>
      </c>
      <c r="E119" s="41">
        <v>0</v>
      </c>
      <c r="F119" s="42">
        <v>0.77900000000000003</v>
      </c>
      <c r="G119" s="42">
        <v>0.79600000000000004</v>
      </c>
      <c r="H119" s="42">
        <v>0.80100000000000005</v>
      </c>
      <c r="I119" s="42">
        <v>0.45100000000000001</v>
      </c>
      <c r="J119" s="42">
        <v>0.32800000000000001</v>
      </c>
      <c r="K119" s="42">
        <v>0.34499999999999997</v>
      </c>
      <c r="L119" s="42">
        <v>0.35</v>
      </c>
      <c r="M119" s="42">
        <v>0.32800000000000001</v>
      </c>
      <c r="N119" s="42">
        <v>0.34499999999999997</v>
      </c>
      <c r="O119" s="42">
        <v>0.35</v>
      </c>
      <c r="P119" s="42">
        <v>0</v>
      </c>
      <c r="Q119" s="42">
        <v>0</v>
      </c>
      <c r="R119" s="42">
        <v>0</v>
      </c>
      <c r="S119" s="43"/>
      <c r="T119" s="43"/>
      <c r="U119" s="43"/>
      <c r="V119" s="43"/>
      <c r="W119" s="43"/>
      <c r="X119" s="43"/>
      <c r="Y119" s="43"/>
      <c r="Z119" s="43"/>
      <c r="AA119" s="43"/>
    </row>
    <row r="120" spans="2:27" x14ac:dyDescent="0.2">
      <c r="B120" s="39">
        <v>10408</v>
      </c>
      <c r="C120" s="40" t="s">
        <v>234</v>
      </c>
      <c r="D120" s="41">
        <v>1</v>
      </c>
      <c r="E120" s="41">
        <v>0</v>
      </c>
      <c r="F120" s="42">
        <v>1.796</v>
      </c>
      <c r="G120" s="42">
        <v>1.796</v>
      </c>
      <c r="H120" s="42">
        <v>1.796</v>
      </c>
      <c r="I120" s="42">
        <v>1.5029999999999999</v>
      </c>
      <c r="J120" s="42">
        <v>0.29299999999999998</v>
      </c>
      <c r="K120" s="42">
        <v>0.29299999999999998</v>
      </c>
      <c r="L120" s="42">
        <v>0.29299999999999998</v>
      </c>
      <c r="M120" s="42">
        <v>0.29299999999999998</v>
      </c>
      <c r="N120" s="42">
        <v>0.29299999999999998</v>
      </c>
      <c r="O120" s="42">
        <v>0.29299999999999998</v>
      </c>
      <c r="P120" s="42">
        <v>0</v>
      </c>
      <c r="Q120" s="42">
        <v>0</v>
      </c>
      <c r="R120" s="42">
        <v>0</v>
      </c>
      <c r="S120" s="43"/>
      <c r="T120" s="43"/>
      <c r="U120" s="43"/>
      <c r="V120" s="43"/>
      <c r="W120" s="43"/>
      <c r="X120" s="43"/>
      <c r="Y120" s="43"/>
      <c r="Z120" s="43"/>
      <c r="AA120" s="43"/>
    </row>
    <row r="121" spans="2:27" x14ac:dyDescent="0.2">
      <c r="B121" s="39">
        <v>10409</v>
      </c>
      <c r="C121" s="40" t="s">
        <v>235</v>
      </c>
      <c r="D121" s="41">
        <v>1</v>
      </c>
      <c r="E121" s="41">
        <v>0</v>
      </c>
      <c r="F121" s="42">
        <v>26.782</v>
      </c>
      <c r="G121" s="42">
        <v>26.782</v>
      </c>
      <c r="H121" s="42">
        <v>26.786000000000001</v>
      </c>
      <c r="I121" s="42">
        <v>20.103000000000002</v>
      </c>
      <c r="J121" s="42">
        <v>6.6790000000000003</v>
      </c>
      <c r="K121" s="42">
        <v>6.6790000000000003</v>
      </c>
      <c r="L121" s="42">
        <v>6.6829999999999998</v>
      </c>
      <c r="M121" s="42">
        <v>0</v>
      </c>
      <c r="N121" s="42">
        <v>0</v>
      </c>
      <c r="O121" s="42">
        <v>0</v>
      </c>
      <c r="P121" s="42">
        <v>6.6790000000000003</v>
      </c>
      <c r="Q121" s="42">
        <v>6.6790000000000003</v>
      </c>
      <c r="R121" s="42">
        <v>6.6829999999999998</v>
      </c>
      <c r="S121" s="43"/>
      <c r="T121" s="43"/>
      <c r="U121" s="43"/>
      <c r="V121" s="43"/>
      <c r="W121" s="43"/>
      <c r="X121" s="43"/>
      <c r="Y121" s="43"/>
      <c r="Z121" s="43"/>
      <c r="AA121" s="43"/>
    </row>
    <row r="122" spans="2:27" x14ac:dyDescent="0.2">
      <c r="B122" s="39">
        <v>10426</v>
      </c>
      <c r="C122" s="40" t="s">
        <v>236</v>
      </c>
      <c r="D122" s="41">
        <v>1</v>
      </c>
      <c r="E122" s="41">
        <v>0</v>
      </c>
      <c r="F122" s="42">
        <v>39.036000000000001</v>
      </c>
      <c r="G122" s="42">
        <v>41.387999999999998</v>
      </c>
      <c r="H122" s="42">
        <v>42.61</v>
      </c>
      <c r="I122" s="42">
        <v>41.33</v>
      </c>
      <c r="J122" s="42">
        <v>0</v>
      </c>
      <c r="K122" s="42">
        <v>5.8000000000000003E-2</v>
      </c>
      <c r="L122" s="42">
        <v>1.28</v>
      </c>
      <c r="M122" s="42">
        <v>0</v>
      </c>
      <c r="N122" s="42">
        <v>5.8000000000000003E-2</v>
      </c>
      <c r="O122" s="42">
        <v>0</v>
      </c>
      <c r="P122" s="42">
        <v>0</v>
      </c>
      <c r="Q122" s="42">
        <v>0</v>
      </c>
      <c r="R122" s="42">
        <v>1.28</v>
      </c>
      <c r="S122" s="43"/>
      <c r="T122" s="43"/>
      <c r="U122" s="43"/>
      <c r="V122" s="43"/>
      <c r="W122" s="43"/>
      <c r="X122" s="43"/>
      <c r="Y122" s="43"/>
      <c r="Z122" s="43"/>
      <c r="AA122" s="43"/>
    </row>
    <row r="123" spans="2:27" x14ac:dyDescent="0.2">
      <c r="B123" s="39">
        <v>10434</v>
      </c>
      <c r="C123" s="40" t="s">
        <v>237</v>
      </c>
      <c r="D123" s="41">
        <v>1</v>
      </c>
      <c r="E123" s="41">
        <v>0</v>
      </c>
      <c r="F123" s="42">
        <v>29.428000000000001</v>
      </c>
      <c r="G123" s="42">
        <v>29.643000000000001</v>
      </c>
      <c r="H123" s="42">
        <v>29.846</v>
      </c>
      <c r="I123" s="42">
        <v>26.734000000000002</v>
      </c>
      <c r="J123" s="42">
        <v>2.694</v>
      </c>
      <c r="K123" s="42">
        <v>2.9089999999999998</v>
      </c>
      <c r="L123" s="42">
        <v>3.1120000000000001</v>
      </c>
      <c r="M123" s="42">
        <v>0</v>
      </c>
      <c r="N123" s="42">
        <v>0</v>
      </c>
      <c r="O123" s="42">
        <v>0</v>
      </c>
      <c r="P123" s="42">
        <v>2.694</v>
      </c>
      <c r="Q123" s="42">
        <v>2.9089999999999998</v>
      </c>
      <c r="R123" s="42">
        <v>3.1120000000000001</v>
      </c>
      <c r="S123" s="43"/>
      <c r="T123" s="43"/>
      <c r="U123" s="43"/>
      <c r="V123" s="43"/>
      <c r="W123" s="43"/>
      <c r="X123" s="43"/>
      <c r="Y123" s="43"/>
      <c r="Z123" s="43"/>
      <c r="AA123" s="43"/>
    </row>
    <row r="124" spans="2:27" x14ac:dyDescent="0.2">
      <c r="B124" s="39">
        <v>10436</v>
      </c>
      <c r="C124" s="40" t="s">
        <v>238</v>
      </c>
      <c r="D124" s="41">
        <v>1</v>
      </c>
      <c r="E124" s="41">
        <v>0</v>
      </c>
      <c r="F124" s="42">
        <v>25.757999999999999</v>
      </c>
      <c r="G124" s="42">
        <v>26.239000000000001</v>
      </c>
      <c r="H124" s="42">
        <v>26.678999999999998</v>
      </c>
      <c r="I124" s="42">
        <v>18.853999999999999</v>
      </c>
      <c r="J124" s="42">
        <v>6.9039999999999999</v>
      </c>
      <c r="K124" s="42">
        <v>7.3849999999999998</v>
      </c>
      <c r="L124" s="42">
        <v>7.8250000000000002</v>
      </c>
      <c r="M124" s="42">
        <v>0</v>
      </c>
      <c r="N124" s="42">
        <v>0</v>
      </c>
      <c r="O124" s="42">
        <v>0</v>
      </c>
      <c r="P124" s="42">
        <v>6.9039999999999999</v>
      </c>
      <c r="Q124" s="42">
        <v>7.3849999999999998</v>
      </c>
      <c r="R124" s="42">
        <v>7.8250000000000002</v>
      </c>
      <c r="S124" s="43"/>
      <c r="T124" s="43"/>
      <c r="U124" s="43"/>
      <c r="V124" s="43"/>
      <c r="W124" s="43"/>
      <c r="X124" s="43"/>
      <c r="Y124" s="43"/>
      <c r="Z124" s="43"/>
      <c r="AA124" s="43"/>
    </row>
    <row r="125" spans="2:27" x14ac:dyDescent="0.2">
      <c r="B125" s="39">
        <v>10440</v>
      </c>
      <c r="C125" s="40" t="s">
        <v>239</v>
      </c>
      <c r="D125" s="41">
        <v>1</v>
      </c>
      <c r="E125" s="41">
        <v>0</v>
      </c>
      <c r="F125" s="42">
        <v>5.9960000000000004</v>
      </c>
      <c r="G125" s="42">
        <v>6.0629999999999997</v>
      </c>
      <c r="H125" s="42">
        <v>6.1289999999999996</v>
      </c>
      <c r="I125" s="42">
        <v>4.9269999999999996</v>
      </c>
      <c r="J125" s="42">
        <v>1.069</v>
      </c>
      <c r="K125" s="42">
        <v>1.1359999999999999</v>
      </c>
      <c r="L125" s="42">
        <v>1.202</v>
      </c>
      <c r="M125" s="42">
        <v>0</v>
      </c>
      <c r="N125" s="42">
        <v>0</v>
      </c>
      <c r="O125" s="42">
        <v>0</v>
      </c>
      <c r="P125" s="42">
        <v>1.069</v>
      </c>
      <c r="Q125" s="42">
        <v>1.1359999999999999</v>
      </c>
      <c r="R125" s="42">
        <v>1.202</v>
      </c>
      <c r="S125" s="43"/>
      <c r="T125" s="43"/>
      <c r="U125" s="43"/>
      <c r="V125" s="43"/>
      <c r="W125" s="43"/>
      <c r="X125" s="43"/>
      <c r="Y125" s="43"/>
      <c r="Z125" s="43"/>
      <c r="AA125" s="43"/>
    </row>
    <row r="126" spans="2:27" x14ac:dyDescent="0.2">
      <c r="B126" s="39">
        <v>10442</v>
      </c>
      <c r="C126" s="40" t="s">
        <v>240</v>
      </c>
      <c r="D126" s="41">
        <v>1</v>
      </c>
      <c r="E126" s="41">
        <v>0</v>
      </c>
      <c r="F126" s="42">
        <v>13.118</v>
      </c>
      <c r="G126" s="42">
        <v>13.132</v>
      </c>
      <c r="H126" s="42">
        <v>13.145</v>
      </c>
      <c r="I126" s="42">
        <v>13.186999999999999</v>
      </c>
      <c r="J126" s="42">
        <v>0</v>
      </c>
      <c r="K126" s="42">
        <v>0</v>
      </c>
      <c r="L126" s="42">
        <v>0</v>
      </c>
      <c r="M126" s="42">
        <v>0</v>
      </c>
      <c r="N126" s="42">
        <v>0</v>
      </c>
      <c r="O126" s="42">
        <v>0</v>
      </c>
      <c r="P126" s="42">
        <v>0</v>
      </c>
      <c r="Q126" s="42">
        <v>0</v>
      </c>
      <c r="R126" s="42">
        <v>0</v>
      </c>
      <c r="S126" s="43"/>
      <c r="T126" s="43"/>
      <c r="U126" s="43"/>
      <c r="V126" s="43"/>
      <c r="W126" s="43"/>
      <c r="X126" s="43"/>
      <c r="Y126" s="43"/>
      <c r="Z126" s="43"/>
      <c r="AA126" s="43"/>
    </row>
    <row r="127" spans="2:27" x14ac:dyDescent="0.2">
      <c r="B127" s="39">
        <v>10446</v>
      </c>
      <c r="C127" s="40" t="s">
        <v>241</v>
      </c>
      <c r="D127" s="41">
        <v>1</v>
      </c>
      <c r="E127" s="41">
        <v>0</v>
      </c>
      <c r="F127" s="42">
        <v>86.025000000000006</v>
      </c>
      <c r="G127" s="42">
        <v>90.8</v>
      </c>
      <c r="H127" s="42">
        <v>94.44</v>
      </c>
      <c r="I127" s="42">
        <v>94.278999999999996</v>
      </c>
      <c r="J127" s="42">
        <v>0</v>
      </c>
      <c r="K127" s="42">
        <v>0</v>
      </c>
      <c r="L127" s="42">
        <v>0.161</v>
      </c>
      <c r="M127" s="42">
        <v>0</v>
      </c>
      <c r="N127" s="42">
        <v>0</v>
      </c>
      <c r="O127" s="42">
        <v>0.161</v>
      </c>
      <c r="P127" s="42">
        <v>0</v>
      </c>
      <c r="Q127" s="42">
        <v>0</v>
      </c>
      <c r="R127" s="42">
        <v>0</v>
      </c>
      <c r="S127" s="43"/>
      <c r="T127" s="43"/>
      <c r="U127" s="43"/>
      <c r="V127" s="43"/>
      <c r="W127" s="43"/>
      <c r="X127" s="43"/>
      <c r="Y127" s="43"/>
      <c r="Z127" s="43"/>
      <c r="AA127" s="43"/>
    </row>
    <row r="128" spans="2:27" x14ac:dyDescent="0.2">
      <c r="B128" s="39">
        <v>10448</v>
      </c>
      <c r="C128" s="40" t="s">
        <v>91</v>
      </c>
      <c r="D128" s="41">
        <v>0</v>
      </c>
      <c r="E128" s="41">
        <v>1</v>
      </c>
      <c r="F128" s="42">
        <v>9.1</v>
      </c>
      <c r="G128" s="42">
        <v>9.1539999999999999</v>
      </c>
      <c r="H128" s="42">
        <v>9.2070000000000007</v>
      </c>
      <c r="I128" s="42">
        <v>8.3490000000000002</v>
      </c>
      <c r="J128" s="42">
        <v>0.751</v>
      </c>
      <c r="K128" s="42">
        <v>0.80500000000000005</v>
      </c>
      <c r="L128" s="42">
        <v>0.85799999999999998</v>
      </c>
      <c r="M128" s="42">
        <v>0</v>
      </c>
      <c r="N128" s="42">
        <v>0</v>
      </c>
      <c r="O128" s="42">
        <v>0</v>
      </c>
      <c r="P128" s="42">
        <v>0.751</v>
      </c>
      <c r="Q128" s="42">
        <v>0.80500000000000005</v>
      </c>
      <c r="R128" s="42">
        <v>0.85799999999999998</v>
      </c>
      <c r="S128" s="43"/>
      <c r="T128" s="43"/>
      <c r="U128" s="43"/>
      <c r="V128" s="43"/>
      <c r="W128" s="43"/>
      <c r="X128" s="43"/>
      <c r="Y128" s="43"/>
      <c r="Z128" s="43"/>
      <c r="AA128" s="43"/>
    </row>
    <row r="129" spans="2:27" x14ac:dyDescent="0.2">
      <c r="B129" s="39">
        <v>10451</v>
      </c>
      <c r="C129" s="40" t="s">
        <v>242</v>
      </c>
      <c r="D129" s="41">
        <v>1</v>
      </c>
      <c r="E129" s="41">
        <v>0</v>
      </c>
      <c r="F129" s="42">
        <v>32.076000000000001</v>
      </c>
      <c r="G129" s="42">
        <v>31.957000000000001</v>
      </c>
      <c r="H129" s="42">
        <v>32.027999999999999</v>
      </c>
      <c r="I129" s="42">
        <v>26.414999999999999</v>
      </c>
      <c r="J129" s="42">
        <v>5.6609999999999996</v>
      </c>
      <c r="K129" s="42">
        <v>5.5419999999999998</v>
      </c>
      <c r="L129" s="42">
        <v>5.6130000000000004</v>
      </c>
      <c r="M129" s="42">
        <v>0</v>
      </c>
      <c r="N129" s="42">
        <v>0</v>
      </c>
      <c r="O129" s="42">
        <v>0</v>
      </c>
      <c r="P129" s="42">
        <v>5.6609999999999996</v>
      </c>
      <c r="Q129" s="42">
        <v>5.5419999999999998</v>
      </c>
      <c r="R129" s="42">
        <v>5.6130000000000004</v>
      </c>
      <c r="S129" s="43"/>
      <c r="T129" s="43"/>
      <c r="U129" s="43"/>
      <c r="V129" s="43"/>
      <c r="W129" s="43"/>
      <c r="X129" s="43"/>
      <c r="Y129" s="43"/>
      <c r="Z129" s="43"/>
      <c r="AA129" s="43"/>
    </row>
    <row r="130" spans="2:27" x14ac:dyDescent="0.2">
      <c r="B130" s="39">
        <v>10482</v>
      </c>
      <c r="C130" s="40" t="s">
        <v>243</v>
      </c>
      <c r="D130" s="41">
        <v>1</v>
      </c>
      <c r="E130" s="41">
        <v>0</v>
      </c>
      <c r="F130" s="42">
        <v>2.6890000000000001</v>
      </c>
      <c r="G130" s="42">
        <v>2.6890000000000001</v>
      </c>
      <c r="H130" s="42">
        <v>2.69</v>
      </c>
      <c r="I130" s="42">
        <v>4.05</v>
      </c>
      <c r="J130" s="42">
        <v>0</v>
      </c>
      <c r="K130" s="42">
        <v>0</v>
      </c>
      <c r="L130" s="42">
        <v>0</v>
      </c>
      <c r="M130" s="42">
        <v>0</v>
      </c>
      <c r="N130" s="42">
        <v>0</v>
      </c>
      <c r="O130" s="42">
        <v>0</v>
      </c>
      <c r="P130" s="42">
        <v>0</v>
      </c>
      <c r="Q130" s="42">
        <v>0</v>
      </c>
      <c r="R130" s="42">
        <v>0</v>
      </c>
      <c r="S130" s="43"/>
      <c r="T130" s="43"/>
      <c r="U130" s="43"/>
      <c r="V130" s="43"/>
      <c r="W130" s="43"/>
      <c r="X130" s="43"/>
      <c r="Y130" s="43"/>
      <c r="Z130" s="43"/>
      <c r="AA130" s="43"/>
    </row>
    <row r="131" spans="2:27" x14ac:dyDescent="0.2">
      <c r="B131" s="39">
        <v>10502</v>
      </c>
      <c r="C131" s="40" t="s">
        <v>52</v>
      </c>
      <c r="D131" s="41">
        <v>1</v>
      </c>
      <c r="E131" s="41">
        <v>0</v>
      </c>
      <c r="F131" s="42">
        <v>18.811</v>
      </c>
      <c r="G131" s="42">
        <v>18.855</v>
      </c>
      <c r="H131" s="42">
        <v>18.882999999999999</v>
      </c>
      <c r="I131" s="42">
        <v>18.416</v>
      </c>
      <c r="J131" s="42">
        <v>0.39500000000000002</v>
      </c>
      <c r="K131" s="42">
        <v>0.439</v>
      </c>
      <c r="L131" s="42">
        <v>0.46700000000000003</v>
      </c>
      <c r="M131" s="42">
        <v>0.39500000000000002</v>
      </c>
      <c r="N131" s="42">
        <v>0.439</v>
      </c>
      <c r="O131" s="42">
        <v>0.46700000000000003</v>
      </c>
      <c r="P131" s="42">
        <v>0</v>
      </c>
      <c r="Q131" s="42">
        <v>0</v>
      </c>
      <c r="R131" s="42">
        <v>0</v>
      </c>
      <c r="S131" s="43"/>
      <c r="T131" s="43"/>
      <c r="U131" s="43"/>
      <c r="V131" s="43"/>
      <c r="W131" s="43"/>
      <c r="X131" s="43"/>
      <c r="Y131" s="43"/>
      <c r="Z131" s="43"/>
      <c r="AA131" s="43"/>
    </row>
    <row r="132" spans="2:27" x14ac:dyDescent="0.2">
      <c r="B132" s="39">
        <v>13927</v>
      </c>
      <c r="C132" s="40" t="s">
        <v>244</v>
      </c>
      <c r="D132" s="41">
        <v>1</v>
      </c>
      <c r="E132" s="41">
        <v>0</v>
      </c>
      <c r="F132" s="42">
        <v>4.4859999999999998</v>
      </c>
      <c r="G132" s="42">
        <v>4.5350000000000001</v>
      </c>
      <c r="H132" s="42">
        <v>4.5750000000000002</v>
      </c>
      <c r="I132" s="42">
        <v>4.01</v>
      </c>
      <c r="J132" s="42">
        <v>0.47599999999999998</v>
      </c>
      <c r="K132" s="42">
        <v>0.52500000000000002</v>
      </c>
      <c r="L132" s="42">
        <v>0.56499999999999995</v>
      </c>
      <c r="M132" s="42">
        <v>0.47599999999999998</v>
      </c>
      <c r="N132" s="42">
        <v>0.52500000000000002</v>
      </c>
      <c r="O132" s="42">
        <v>0.56499999999999995</v>
      </c>
      <c r="P132" s="42">
        <v>0</v>
      </c>
      <c r="Q132" s="42">
        <v>0</v>
      </c>
      <c r="R132" s="42">
        <v>0</v>
      </c>
      <c r="S132" s="43"/>
      <c r="T132" s="43"/>
      <c r="U132" s="43"/>
      <c r="V132" s="43"/>
      <c r="W132" s="43"/>
      <c r="X132" s="43"/>
      <c r="Y132" s="43"/>
      <c r="Z132" s="43"/>
      <c r="AA132" s="43"/>
    </row>
    <row r="133" spans="2:27" x14ac:dyDescent="0.2">
      <c r="B133" s="39">
        <v>10597</v>
      </c>
      <c r="C133" s="40" t="s">
        <v>245</v>
      </c>
      <c r="D133" s="41">
        <v>1</v>
      </c>
      <c r="E133" s="41">
        <v>0</v>
      </c>
      <c r="F133" s="42">
        <v>12.977</v>
      </c>
      <c r="G133" s="42">
        <v>13.032999999999999</v>
      </c>
      <c r="H133" s="42">
        <v>13.085000000000001</v>
      </c>
      <c r="I133" s="42">
        <v>12.734999999999999</v>
      </c>
      <c r="J133" s="42">
        <v>0.24199999999999999</v>
      </c>
      <c r="K133" s="42">
        <v>0.29799999999999999</v>
      </c>
      <c r="L133" s="42">
        <v>0.35</v>
      </c>
      <c r="M133" s="42">
        <v>0.24199999999999999</v>
      </c>
      <c r="N133" s="42">
        <v>0.29799999999999999</v>
      </c>
      <c r="O133" s="42">
        <v>0.35</v>
      </c>
      <c r="P133" s="42">
        <v>0</v>
      </c>
      <c r="Q133" s="42">
        <v>0</v>
      </c>
      <c r="R133" s="42">
        <v>0</v>
      </c>
      <c r="S133" s="43"/>
      <c r="T133" s="43"/>
      <c r="U133" s="43"/>
      <c r="V133" s="43"/>
      <c r="W133" s="43"/>
      <c r="X133" s="43"/>
      <c r="Y133" s="43"/>
      <c r="Z133" s="43"/>
      <c r="AA133" s="43"/>
    </row>
    <row r="134" spans="2:27" x14ac:dyDescent="0.2">
      <c r="B134" s="39">
        <v>10706</v>
      </c>
      <c r="C134" s="40" t="s">
        <v>246</v>
      </c>
      <c r="D134" s="41">
        <v>1</v>
      </c>
      <c r="E134" s="41">
        <v>0</v>
      </c>
      <c r="F134" s="42">
        <v>16.832000000000001</v>
      </c>
      <c r="G134" s="42">
        <v>16.832000000000001</v>
      </c>
      <c r="H134" s="42">
        <v>16.829999999999998</v>
      </c>
      <c r="I134" s="42">
        <v>17.009</v>
      </c>
      <c r="J134" s="42">
        <v>0</v>
      </c>
      <c r="K134" s="42">
        <v>0</v>
      </c>
      <c r="L134" s="42">
        <v>0</v>
      </c>
      <c r="M134" s="42">
        <v>0</v>
      </c>
      <c r="N134" s="42">
        <v>0</v>
      </c>
      <c r="O134" s="42">
        <v>0</v>
      </c>
      <c r="P134" s="42">
        <v>0</v>
      </c>
      <c r="Q134" s="42">
        <v>0</v>
      </c>
      <c r="R134" s="42">
        <v>0</v>
      </c>
      <c r="S134" s="43"/>
      <c r="T134" s="43"/>
      <c r="U134" s="43"/>
      <c r="V134" s="43"/>
      <c r="W134" s="43"/>
      <c r="X134" s="43"/>
      <c r="Y134" s="43"/>
      <c r="Z134" s="43"/>
      <c r="AA134" s="43"/>
    </row>
    <row r="135" spans="2:27" x14ac:dyDescent="0.2">
      <c r="B135" s="39">
        <v>11680</v>
      </c>
      <c r="C135" s="40" t="s">
        <v>247</v>
      </c>
      <c r="D135" s="41">
        <v>1</v>
      </c>
      <c r="E135" s="41">
        <v>0</v>
      </c>
      <c r="F135" s="42">
        <v>6.4770000000000003</v>
      </c>
      <c r="G135" s="42">
        <v>6.51</v>
      </c>
      <c r="H135" s="42">
        <v>6.5419999999999998</v>
      </c>
      <c r="I135" s="42">
        <v>6.23</v>
      </c>
      <c r="J135" s="42">
        <v>0.247</v>
      </c>
      <c r="K135" s="42">
        <v>0.28000000000000003</v>
      </c>
      <c r="L135" s="42">
        <v>0.312</v>
      </c>
      <c r="M135" s="42">
        <v>0.247</v>
      </c>
      <c r="N135" s="42">
        <v>0.28000000000000003</v>
      </c>
      <c r="O135" s="42">
        <v>0.312</v>
      </c>
      <c r="P135" s="42">
        <v>0</v>
      </c>
      <c r="Q135" s="42">
        <v>0</v>
      </c>
      <c r="R135" s="42">
        <v>0</v>
      </c>
      <c r="S135" s="43"/>
      <c r="T135" s="43"/>
      <c r="U135" s="43"/>
      <c r="V135" s="43"/>
      <c r="W135" s="43"/>
      <c r="X135" s="43"/>
      <c r="Y135" s="43"/>
      <c r="Z135" s="43"/>
      <c r="AA135" s="43"/>
    </row>
    <row r="136" spans="2:27" x14ac:dyDescent="0.2">
      <c r="B136" s="39">
        <v>12026</v>
      </c>
      <c r="C136" s="40" t="s">
        <v>248</v>
      </c>
      <c r="D136" s="41">
        <v>1</v>
      </c>
      <c r="E136" s="41">
        <v>0</v>
      </c>
      <c r="F136" s="42">
        <v>47.128</v>
      </c>
      <c r="G136" s="42">
        <v>47.238</v>
      </c>
      <c r="H136" s="42">
        <v>47.426000000000002</v>
      </c>
      <c r="I136" s="42">
        <v>44.469000000000001</v>
      </c>
      <c r="J136" s="42">
        <v>2.6589999999999998</v>
      </c>
      <c r="K136" s="42">
        <v>2.7690000000000001</v>
      </c>
      <c r="L136" s="42">
        <v>2.9569999999999999</v>
      </c>
      <c r="M136" s="42">
        <v>0</v>
      </c>
      <c r="N136" s="42">
        <v>0</v>
      </c>
      <c r="O136" s="42">
        <v>0</v>
      </c>
      <c r="P136" s="42">
        <v>2.6589999999999998</v>
      </c>
      <c r="Q136" s="42">
        <v>2.7690000000000001</v>
      </c>
      <c r="R136" s="42">
        <v>2.9569999999999999</v>
      </c>
      <c r="S136" s="43"/>
      <c r="T136" s="43"/>
      <c r="U136" s="43"/>
      <c r="V136" s="43"/>
      <c r="W136" s="43"/>
      <c r="X136" s="43"/>
      <c r="Y136" s="43"/>
      <c r="Z136" s="43"/>
      <c r="AA136" s="43"/>
    </row>
    <row r="137" spans="2:27" x14ac:dyDescent="0.2">
      <c r="B137" s="39">
        <v>10298</v>
      </c>
      <c r="C137" s="40" t="s">
        <v>92</v>
      </c>
      <c r="D137" s="41">
        <v>1</v>
      </c>
      <c r="E137" s="41">
        <v>0</v>
      </c>
      <c r="F137" s="42">
        <v>703.6350000000001</v>
      </c>
      <c r="G137" s="42">
        <v>711.94499999999982</v>
      </c>
      <c r="H137" s="42">
        <v>718.36500000000001</v>
      </c>
      <c r="I137" s="42">
        <v>592.89400000000012</v>
      </c>
      <c r="J137" s="42">
        <v>110.78999999999999</v>
      </c>
      <c r="K137" s="42">
        <v>119.09999999999998</v>
      </c>
      <c r="L137" s="42">
        <v>125.523</v>
      </c>
      <c r="M137" s="42">
        <v>0</v>
      </c>
      <c r="N137" s="42">
        <v>0</v>
      </c>
      <c r="O137" s="42">
        <v>0</v>
      </c>
      <c r="P137" s="42">
        <v>110.78999999999999</v>
      </c>
      <c r="Q137" s="42">
        <v>119.09999999999998</v>
      </c>
      <c r="R137" s="42">
        <v>125.523</v>
      </c>
      <c r="S137" s="43"/>
      <c r="T137" s="43"/>
      <c r="U137" s="43"/>
      <c r="V137" s="43"/>
      <c r="W137" s="43"/>
      <c r="X137" s="43"/>
      <c r="Y137" s="43"/>
      <c r="Z137" s="43"/>
      <c r="AA137" s="43"/>
    </row>
    <row r="138" spans="2:27" ht="17.25" customHeight="1" x14ac:dyDescent="0.2">
      <c r="D138" s="41"/>
      <c r="E138" s="41"/>
      <c r="F138" s="44"/>
      <c r="G138" s="44"/>
      <c r="H138" s="44"/>
      <c r="I138" s="44"/>
      <c r="J138" s="44"/>
      <c r="K138" s="44"/>
      <c r="L138" s="44"/>
      <c r="M138" s="44"/>
      <c r="N138" s="44"/>
      <c r="O138" s="44"/>
      <c r="P138" s="44"/>
      <c r="Q138" s="44"/>
      <c r="R138" s="44">
        <f>SUMIF($E$4:$E$137, 1, R4:R137)</f>
        <v>125.523</v>
      </c>
    </row>
    <row r="139" spans="2:27" x14ac:dyDescent="0.2">
      <c r="B139" s="39" t="s">
        <v>249</v>
      </c>
      <c r="C139" s="40" t="s">
        <v>249</v>
      </c>
      <c r="D139" s="41" t="s">
        <v>249</v>
      </c>
      <c r="E139" s="41" t="s">
        <v>249</v>
      </c>
      <c r="F139" s="45"/>
      <c r="G139" s="45"/>
      <c r="H139" s="45"/>
      <c r="I139" s="44"/>
      <c r="J139" s="42"/>
      <c r="K139" s="42"/>
      <c r="L139" s="42"/>
      <c r="M139" s="45"/>
      <c r="N139" s="45"/>
      <c r="O139" s="45"/>
      <c r="P139" s="46"/>
      <c r="Q139" s="46"/>
    </row>
    <row r="140" spans="2:27" x14ac:dyDescent="0.2">
      <c r="B140" s="39" t="s">
        <v>249</v>
      </c>
      <c r="C140" s="40" t="s">
        <v>249</v>
      </c>
      <c r="D140" s="41" t="s">
        <v>249</v>
      </c>
      <c r="E140" s="41" t="s">
        <v>249</v>
      </c>
      <c r="F140" s="45" t="s">
        <v>249</v>
      </c>
      <c r="G140" s="45" t="s">
        <v>249</v>
      </c>
      <c r="H140" s="45"/>
      <c r="I140" s="44" t="s">
        <v>249</v>
      </c>
      <c r="J140" s="42" t="s">
        <v>249</v>
      </c>
      <c r="K140" s="42" t="s">
        <v>249</v>
      </c>
      <c r="L140" s="42"/>
      <c r="M140" s="45" t="s">
        <v>249</v>
      </c>
      <c r="N140" s="45" t="s">
        <v>249</v>
      </c>
      <c r="O140" s="45"/>
      <c r="P140" s="46"/>
      <c r="Q140" s="46"/>
    </row>
    <row r="141" spans="2:27" x14ac:dyDescent="0.2">
      <c r="B141" s="39" t="s">
        <v>249</v>
      </c>
      <c r="C141" s="40" t="s">
        <v>249</v>
      </c>
      <c r="D141" s="41" t="s">
        <v>249</v>
      </c>
      <c r="E141" s="41" t="s">
        <v>249</v>
      </c>
      <c r="F141" s="45" t="s">
        <v>249</v>
      </c>
      <c r="G141" s="45" t="s">
        <v>249</v>
      </c>
      <c r="H141" s="45"/>
      <c r="I141" s="44" t="s">
        <v>249</v>
      </c>
      <c r="J141" s="42" t="s">
        <v>249</v>
      </c>
      <c r="K141" s="42" t="s">
        <v>249</v>
      </c>
      <c r="L141" s="42"/>
      <c r="M141" s="45" t="s">
        <v>249</v>
      </c>
      <c r="N141" s="45" t="s">
        <v>249</v>
      </c>
      <c r="O141" s="45"/>
      <c r="P141" s="46"/>
      <c r="Q141" s="46"/>
    </row>
    <row r="142" spans="2:27" x14ac:dyDescent="0.2">
      <c r="B142" s="39" t="s">
        <v>249</v>
      </c>
      <c r="C142" s="40" t="s">
        <v>249</v>
      </c>
      <c r="D142" s="41" t="s">
        <v>249</v>
      </c>
      <c r="E142" s="41" t="s">
        <v>249</v>
      </c>
      <c r="F142" s="45" t="s">
        <v>249</v>
      </c>
      <c r="G142" s="45" t="s">
        <v>249</v>
      </c>
      <c r="H142" s="45"/>
      <c r="I142" s="44" t="s">
        <v>249</v>
      </c>
      <c r="J142" s="42" t="s">
        <v>249</v>
      </c>
      <c r="K142" s="42" t="s">
        <v>249</v>
      </c>
      <c r="L142" s="42"/>
      <c r="M142" s="45" t="s">
        <v>249</v>
      </c>
      <c r="N142" s="45" t="s">
        <v>249</v>
      </c>
      <c r="O142" s="45"/>
      <c r="P142" s="46"/>
      <c r="Q142" s="46"/>
    </row>
    <row r="143" spans="2:27" x14ac:dyDescent="0.2">
      <c r="B143" s="39" t="s">
        <v>249</v>
      </c>
      <c r="C143" s="40" t="s">
        <v>249</v>
      </c>
      <c r="D143" s="41" t="s">
        <v>249</v>
      </c>
      <c r="E143" s="41" t="s">
        <v>249</v>
      </c>
      <c r="F143" s="45" t="s">
        <v>249</v>
      </c>
      <c r="G143" s="45" t="s">
        <v>249</v>
      </c>
      <c r="H143" s="45"/>
      <c r="I143" s="44" t="s">
        <v>249</v>
      </c>
      <c r="J143" s="42" t="s">
        <v>249</v>
      </c>
      <c r="K143" s="42" t="s">
        <v>249</v>
      </c>
      <c r="L143" s="42"/>
      <c r="M143" s="45" t="s">
        <v>249</v>
      </c>
      <c r="N143" s="45" t="s">
        <v>249</v>
      </c>
      <c r="O143" s="45"/>
      <c r="P143" s="46"/>
      <c r="Q143" s="46"/>
    </row>
    <row r="144" spans="2:27" x14ac:dyDescent="0.2">
      <c r="B144" s="39" t="s">
        <v>249</v>
      </c>
      <c r="C144" s="40" t="s">
        <v>249</v>
      </c>
      <c r="D144" s="41" t="s">
        <v>249</v>
      </c>
      <c r="E144" s="41" t="s">
        <v>249</v>
      </c>
      <c r="F144" s="45" t="s">
        <v>249</v>
      </c>
      <c r="G144" s="45" t="s">
        <v>249</v>
      </c>
      <c r="H144" s="45"/>
      <c r="I144" s="44" t="s">
        <v>249</v>
      </c>
      <c r="J144" s="42" t="s">
        <v>249</v>
      </c>
      <c r="K144" s="42" t="s">
        <v>249</v>
      </c>
      <c r="L144" s="42"/>
      <c r="M144" s="45" t="s">
        <v>249</v>
      </c>
      <c r="N144" s="45" t="s">
        <v>249</v>
      </c>
      <c r="O144" s="45"/>
      <c r="P144" s="46"/>
      <c r="Q144" s="46"/>
    </row>
    <row r="145" spans="2:17" x14ac:dyDescent="0.2">
      <c r="B145" s="39" t="s">
        <v>249</v>
      </c>
      <c r="C145" s="40" t="s">
        <v>249</v>
      </c>
      <c r="D145" s="41" t="s">
        <v>249</v>
      </c>
      <c r="E145" s="41" t="s">
        <v>249</v>
      </c>
      <c r="F145" s="45" t="s">
        <v>249</v>
      </c>
      <c r="G145" s="45" t="s">
        <v>249</v>
      </c>
      <c r="H145" s="45"/>
      <c r="I145" s="44" t="s">
        <v>249</v>
      </c>
      <c r="J145" s="42" t="s">
        <v>249</v>
      </c>
      <c r="K145" s="42" t="s">
        <v>249</v>
      </c>
      <c r="L145" s="42"/>
      <c r="M145" s="45" t="s">
        <v>249</v>
      </c>
      <c r="N145" s="45" t="s">
        <v>249</v>
      </c>
      <c r="O145" s="45"/>
      <c r="P145" s="46"/>
      <c r="Q145" s="46"/>
    </row>
    <row r="146" spans="2:17" x14ac:dyDescent="0.2">
      <c r="B146" s="39" t="s">
        <v>249</v>
      </c>
      <c r="C146" s="40" t="s">
        <v>249</v>
      </c>
      <c r="D146" s="41" t="s">
        <v>249</v>
      </c>
      <c r="E146" s="41" t="s">
        <v>249</v>
      </c>
      <c r="F146" s="45" t="s">
        <v>249</v>
      </c>
      <c r="G146" s="45" t="s">
        <v>249</v>
      </c>
      <c r="H146" s="45"/>
      <c r="I146" s="44" t="s">
        <v>249</v>
      </c>
      <c r="J146" s="42" t="s">
        <v>249</v>
      </c>
      <c r="K146" s="42" t="s">
        <v>249</v>
      </c>
      <c r="L146" s="42"/>
      <c r="M146" s="45" t="s">
        <v>249</v>
      </c>
      <c r="N146" s="45" t="s">
        <v>249</v>
      </c>
      <c r="O146" s="45"/>
      <c r="P146" s="46"/>
      <c r="Q146" s="46"/>
    </row>
    <row r="147" spans="2:17" x14ac:dyDescent="0.2">
      <c r="B147" s="39" t="s">
        <v>249</v>
      </c>
      <c r="C147" s="40" t="s">
        <v>249</v>
      </c>
      <c r="D147" s="41" t="s">
        <v>249</v>
      </c>
      <c r="E147" s="41" t="s">
        <v>249</v>
      </c>
      <c r="F147" s="45" t="s">
        <v>249</v>
      </c>
      <c r="G147" s="45" t="s">
        <v>249</v>
      </c>
      <c r="H147" s="45"/>
      <c r="I147" s="44" t="s">
        <v>249</v>
      </c>
      <c r="J147" s="42" t="s">
        <v>249</v>
      </c>
      <c r="K147" s="42" t="s">
        <v>249</v>
      </c>
      <c r="L147" s="42"/>
      <c r="M147" s="45" t="s">
        <v>249</v>
      </c>
      <c r="N147" s="45" t="s">
        <v>249</v>
      </c>
      <c r="O147" s="45"/>
      <c r="P147" s="46"/>
      <c r="Q147" s="46"/>
    </row>
    <row r="148" spans="2:17" x14ac:dyDescent="0.2">
      <c r="B148" s="39" t="s">
        <v>249</v>
      </c>
      <c r="C148" s="40" t="s">
        <v>249</v>
      </c>
      <c r="D148" s="41" t="s">
        <v>249</v>
      </c>
      <c r="E148" s="41" t="s">
        <v>249</v>
      </c>
      <c r="F148" s="45" t="s">
        <v>249</v>
      </c>
      <c r="G148" s="45" t="s">
        <v>249</v>
      </c>
      <c r="H148" s="45"/>
      <c r="I148" s="44" t="s">
        <v>249</v>
      </c>
      <c r="J148" s="42" t="s">
        <v>249</v>
      </c>
      <c r="K148" s="42" t="s">
        <v>249</v>
      </c>
      <c r="L148" s="42"/>
      <c r="M148" s="45" t="s">
        <v>249</v>
      </c>
      <c r="N148" s="45" t="s">
        <v>249</v>
      </c>
      <c r="O148" s="45"/>
      <c r="P148" s="46"/>
      <c r="Q148" s="46"/>
    </row>
    <row r="149" spans="2:17" x14ac:dyDescent="0.2">
      <c r="B149" s="39" t="s">
        <v>249</v>
      </c>
      <c r="C149" s="40" t="s">
        <v>249</v>
      </c>
      <c r="D149" s="41" t="s">
        <v>249</v>
      </c>
      <c r="E149" s="41" t="s">
        <v>249</v>
      </c>
      <c r="F149" s="45" t="s">
        <v>249</v>
      </c>
      <c r="G149" s="45" t="s">
        <v>249</v>
      </c>
      <c r="H149" s="45"/>
      <c r="I149" s="44" t="s">
        <v>249</v>
      </c>
      <c r="J149" s="42" t="s">
        <v>249</v>
      </c>
      <c r="K149" s="42" t="s">
        <v>249</v>
      </c>
      <c r="L149" s="42"/>
      <c r="M149" s="45" t="s">
        <v>249</v>
      </c>
      <c r="N149" s="45" t="s">
        <v>249</v>
      </c>
      <c r="O149" s="45"/>
      <c r="P149" s="46"/>
      <c r="Q149" s="46"/>
    </row>
    <row r="150" spans="2:17" x14ac:dyDescent="0.2">
      <c r="B150" s="39" t="s">
        <v>249</v>
      </c>
      <c r="C150" s="40" t="s">
        <v>249</v>
      </c>
      <c r="D150" s="41" t="s">
        <v>249</v>
      </c>
      <c r="E150" s="41" t="s">
        <v>249</v>
      </c>
      <c r="F150" s="45" t="s">
        <v>249</v>
      </c>
      <c r="G150" s="45" t="s">
        <v>249</v>
      </c>
      <c r="H150" s="45"/>
      <c r="I150" s="44" t="s">
        <v>249</v>
      </c>
      <c r="J150" s="42" t="s">
        <v>249</v>
      </c>
      <c r="K150" s="42" t="s">
        <v>249</v>
      </c>
      <c r="L150" s="42"/>
      <c r="M150" s="45" t="s">
        <v>249</v>
      </c>
      <c r="N150" s="45" t="s">
        <v>249</v>
      </c>
      <c r="O150" s="45"/>
      <c r="P150" s="46"/>
      <c r="Q150" s="46"/>
    </row>
    <row r="151" spans="2:17" x14ac:dyDescent="0.2">
      <c r="B151" s="39" t="s">
        <v>249</v>
      </c>
      <c r="C151" s="40" t="s">
        <v>249</v>
      </c>
      <c r="D151" s="41" t="s">
        <v>249</v>
      </c>
      <c r="E151" s="41" t="s">
        <v>249</v>
      </c>
      <c r="F151" s="45" t="s">
        <v>249</v>
      </c>
      <c r="G151" s="45" t="s">
        <v>249</v>
      </c>
      <c r="H151" s="45"/>
      <c r="I151" s="44" t="s">
        <v>249</v>
      </c>
      <c r="J151" s="42" t="s">
        <v>249</v>
      </c>
      <c r="K151" s="42" t="s">
        <v>249</v>
      </c>
      <c r="L151" s="42"/>
      <c r="M151" s="45" t="s">
        <v>249</v>
      </c>
      <c r="N151" s="45" t="s">
        <v>249</v>
      </c>
      <c r="O151" s="45"/>
      <c r="P151" s="46"/>
      <c r="Q151" s="46"/>
    </row>
    <row r="152" spans="2:17" x14ac:dyDescent="0.2">
      <c r="B152" s="39" t="s">
        <v>249</v>
      </c>
      <c r="C152" s="40" t="s">
        <v>249</v>
      </c>
      <c r="D152" s="41" t="s">
        <v>249</v>
      </c>
      <c r="E152" s="41" t="s">
        <v>249</v>
      </c>
      <c r="F152" s="45" t="s">
        <v>249</v>
      </c>
      <c r="G152" s="45" t="s">
        <v>249</v>
      </c>
      <c r="H152" s="45"/>
      <c r="I152" s="44" t="s">
        <v>249</v>
      </c>
      <c r="J152" s="42" t="s">
        <v>249</v>
      </c>
      <c r="K152" s="42" t="s">
        <v>249</v>
      </c>
      <c r="L152" s="42"/>
      <c r="M152" s="45" t="s">
        <v>249</v>
      </c>
      <c r="N152" s="45" t="s">
        <v>249</v>
      </c>
      <c r="O152" s="45"/>
      <c r="P152" s="46"/>
      <c r="Q152" s="46"/>
    </row>
    <row r="153" spans="2:17" x14ac:dyDescent="0.2">
      <c r="B153" s="39" t="s">
        <v>249</v>
      </c>
      <c r="C153" s="40" t="s">
        <v>249</v>
      </c>
      <c r="D153" s="41" t="s">
        <v>249</v>
      </c>
      <c r="E153" s="41" t="s">
        <v>249</v>
      </c>
      <c r="F153" s="45" t="s">
        <v>249</v>
      </c>
      <c r="G153" s="45" t="s">
        <v>249</v>
      </c>
      <c r="H153" s="45"/>
      <c r="I153" s="44" t="s">
        <v>249</v>
      </c>
      <c r="J153" s="42" t="s">
        <v>249</v>
      </c>
      <c r="K153" s="42" t="s">
        <v>249</v>
      </c>
      <c r="L153" s="42"/>
      <c r="M153" s="45" t="s">
        <v>249</v>
      </c>
      <c r="N153" s="45" t="s">
        <v>249</v>
      </c>
      <c r="O153" s="45"/>
      <c r="P153" s="46"/>
      <c r="Q153" s="46"/>
    </row>
    <row r="154" spans="2:17" x14ac:dyDescent="0.2">
      <c r="B154" s="39" t="s">
        <v>249</v>
      </c>
      <c r="C154" s="40" t="s">
        <v>249</v>
      </c>
      <c r="D154" s="41" t="s">
        <v>249</v>
      </c>
      <c r="E154" s="41" t="s">
        <v>249</v>
      </c>
      <c r="F154" s="45" t="s">
        <v>249</v>
      </c>
      <c r="G154" s="45" t="s">
        <v>249</v>
      </c>
      <c r="H154" s="45"/>
      <c r="I154" s="44" t="s">
        <v>249</v>
      </c>
      <c r="J154" s="42" t="s">
        <v>249</v>
      </c>
      <c r="K154" s="42" t="s">
        <v>249</v>
      </c>
      <c r="L154" s="42"/>
      <c r="M154" s="45" t="s">
        <v>249</v>
      </c>
      <c r="N154" s="45" t="s">
        <v>249</v>
      </c>
      <c r="O154" s="45"/>
      <c r="P154" s="46"/>
      <c r="Q154" s="46"/>
    </row>
    <row r="155" spans="2:17" x14ac:dyDescent="0.2">
      <c r="B155" s="39" t="s">
        <v>249</v>
      </c>
      <c r="C155" s="40" t="s">
        <v>249</v>
      </c>
      <c r="D155" s="41" t="s">
        <v>249</v>
      </c>
      <c r="E155" s="41" t="s">
        <v>249</v>
      </c>
      <c r="F155" s="45" t="s">
        <v>249</v>
      </c>
      <c r="G155" s="45" t="s">
        <v>249</v>
      </c>
      <c r="H155" s="45"/>
      <c r="I155" s="44" t="s">
        <v>249</v>
      </c>
      <c r="J155" s="42" t="s">
        <v>249</v>
      </c>
      <c r="K155" s="42" t="s">
        <v>249</v>
      </c>
      <c r="L155" s="42"/>
      <c r="M155" s="45" t="s">
        <v>249</v>
      </c>
      <c r="N155" s="45" t="s">
        <v>249</v>
      </c>
      <c r="O155" s="45"/>
      <c r="P155" s="46"/>
      <c r="Q155" s="46"/>
    </row>
    <row r="156" spans="2:17" x14ac:dyDescent="0.2">
      <c r="B156" s="39" t="s">
        <v>249</v>
      </c>
      <c r="C156" s="40" t="s">
        <v>249</v>
      </c>
      <c r="D156" s="41" t="s">
        <v>249</v>
      </c>
      <c r="E156" s="41" t="s">
        <v>249</v>
      </c>
      <c r="F156" s="45" t="s">
        <v>249</v>
      </c>
      <c r="G156" s="45" t="s">
        <v>249</v>
      </c>
      <c r="H156" s="45"/>
      <c r="I156" s="44" t="s">
        <v>249</v>
      </c>
      <c r="J156" s="42" t="s">
        <v>249</v>
      </c>
      <c r="K156" s="42" t="s">
        <v>249</v>
      </c>
      <c r="L156" s="42"/>
      <c r="M156" s="45" t="s">
        <v>249</v>
      </c>
      <c r="N156" s="45" t="s">
        <v>249</v>
      </c>
      <c r="O156" s="45"/>
      <c r="P156" s="46"/>
      <c r="Q156" s="46"/>
    </row>
    <row r="157" spans="2:17" x14ac:dyDescent="0.2">
      <c r="B157" s="39" t="s">
        <v>249</v>
      </c>
      <c r="C157" s="40" t="s">
        <v>249</v>
      </c>
      <c r="D157" s="41" t="s">
        <v>249</v>
      </c>
      <c r="E157" s="41" t="s">
        <v>249</v>
      </c>
      <c r="F157" s="45" t="s">
        <v>249</v>
      </c>
      <c r="G157" s="45" t="s">
        <v>249</v>
      </c>
      <c r="H157" s="45"/>
      <c r="I157" s="44" t="s">
        <v>249</v>
      </c>
      <c r="J157" s="42" t="s">
        <v>249</v>
      </c>
      <c r="K157" s="42" t="s">
        <v>249</v>
      </c>
      <c r="L157" s="42"/>
      <c r="M157" s="45" t="s">
        <v>249</v>
      </c>
      <c r="N157" s="45" t="s">
        <v>249</v>
      </c>
      <c r="O157" s="45"/>
      <c r="P157" s="46"/>
      <c r="Q157" s="46"/>
    </row>
    <row r="158" spans="2:17" x14ac:dyDescent="0.2">
      <c r="B158" s="39" t="s">
        <v>249</v>
      </c>
      <c r="C158" s="40" t="s">
        <v>249</v>
      </c>
      <c r="D158" s="41" t="s">
        <v>249</v>
      </c>
      <c r="E158" s="41" t="s">
        <v>249</v>
      </c>
      <c r="F158" s="45" t="s">
        <v>249</v>
      </c>
      <c r="G158" s="45" t="s">
        <v>249</v>
      </c>
      <c r="H158" s="45"/>
      <c r="I158" s="44" t="s">
        <v>249</v>
      </c>
      <c r="J158" s="42" t="s">
        <v>249</v>
      </c>
      <c r="K158" s="42" t="s">
        <v>249</v>
      </c>
      <c r="L158" s="42"/>
      <c r="M158" s="45" t="s">
        <v>249</v>
      </c>
      <c r="N158" s="45" t="s">
        <v>249</v>
      </c>
      <c r="O158" s="45"/>
      <c r="P158" s="46"/>
      <c r="Q158" s="46"/>
    </row>
    <row r="159" spans="2:17" x14ac:dyDescent="0.2">
      <c r="B159" s="39" t="s">
        <v>249</v>
      </c>
      <c r="C159" s="40" t="s">
        <v>249</v>
      </c>
      <c r="D159" s="41" t="s">
        <v>249</v>
      </c>
      <c r="E159" s="41" t="s">
        <v>249</v>
      </c>
      <c r="F159" s="45" t="s">
        <v>249</v>
      </c>
      <c r="G159" s="45" t="s">
        <v>249</v>
      </c>
      <c r="H159" s="45"/>
      <c r="I159" s="44" t="s">
        <v>249</v>
      </c>
      <c r="J159" s="42" t="s">
        <v>249</v>
      </c>
      <c r="K159" s="42" t="s">
        <v>249</v>
      </c>
      <c r="L159" s="42"/>
      <c r="M159" s="45" t="s">
        <v>249</v>
      </c>
      <c r="N159" s="45" t="s">
        <v>249</v>
      </c>
      <c r="O159" s="45"/>
      <c r="P159" s="46"/>
      <c r="Q159" s="46"/>
    </row>
    <row r="160" spans="2:17" x14ac:dyDescent="0.2">
      <c r="B160" s="39" t="s">
        <v>249</v>
      </c>
      <c r="C160" s="40" t="s">
        <v>249</v>
      </c>
      <c r="D160" s="41" t="s">
        <v>249</v>
      </c>
      <c r="E160" s="41" t="s">
        <v>249</v>
      </c>
      <c r="F160" s="45" t="s">
        <v>249</v>
      </c>
      <c r="G160" s="45" t="s">
        <v>249</v>
      </c>
      <c r="H160" s="45"/>
      <c r="I160" s="44" t="s">
        <v>249</v>
      </c>
      <c r="J160" s="42" t="s">
        <v>249</v>
      </c>
      <c r="K160" s="42" t="s">
        <v>249</v>
      </c>
      <c r="L160" s="42"/>
      <c r="M160" s="45" t="s">
        <v>249</v>
      </c>
      <c r="N160" s="45" t="s">
        <v>249</v>
      </c>
      <c r="O160" s="45"/>
      <c r="P160" s="46"/>
      <c r="Q160" s="46"/>
    </row>
    <row r="161" spans="2:17" x14ac:dyDescent="0.2">
      <c r="B161" s="39" t="s">
        <v>249</v>
      </c>
      <c r="C161" s="40" t="s">
        <v>249</v>
      </c>
      <c r="D161" s="41" t="s">
        <v>249</v>
      </c>
      <c r="E161" s="41" t="s">
        <v>249</v>
      </c>
      <c r="F161" s="45" t="s">
        <v>249</v>
      </c>
      <c r="G161" s="45" t="s">
        <v>249</v>
      </c>
      <c r="H161" s="45"/>
      <c r="I161" s="44" t="s">
        <v>249</v>
      </c>
      <c r="J161" s="42" t="s">
        <v>249</v>
      </c>
      <c r="K161" s="42" t="s">
        <v>249</v>
      </c>
      <c r="L161" s="42"/>
      <c r="M161" s="45" t="s">
        <v>249</v>
      </c>
      <c r="N161" s="45" t="s">
        <v>249</v>
      </c>
      <c r="O161" s="45"/>
      <c r="P161" s="46"/>
      <c r="Q161" s="46"/>
    </row>
    <row r="162" spans="2:17" x14ac:dyDescent="0.2">
      <c r="B162" s="39" t="s">
        <v>249</v>
      </c>
      <c r="C162" s="40" t="s">
        <v>249</v>
      </c>
      <c r="D162" s="41" t="s">
        <v>249</v>
      </c>
      <c r="E162" s="41" t="s">
        <v>249</v>
      </c>
      <c r="F162" s="45" t="s">
        <v>249</v>
      </c>
      <c r="G162" s="45" t="s">
        <v>249</v>
      </c>
      <c r="H162" s="45"/>
      <c r="I162" s="44" t="s">
        <v>249</v>
      </c>
      <c r="J162" s="42" t="s">
        <v>249</v>
      </c>
      <c r="K162" s="42" t="s">
        <v>249</v>
      </c>
      <c r="L162" s="42"/>
      <c r="M162" s="45" t="s">
        <v>249</v>
      </c>
      <c r="N162" s="45" t="s">
        <v>249</v>
      </c>
      <c r="O162" s="45"/>
      <c r="P162" s="46"/>
      <c r="Q162" s="46"/>
    </row>
    <row r="163" spans="2:17" x14ac:dyDescent="0.2">
      <c r="B163" s="39" t="s">
        <v>249</v>
      </c>
      <c r="C163" s="40" t="s">
        <v>249</v>
      </c>
      <c r="D163" s="41" t="s">
        <v>249</v>
      </c>
      <c r="E163" s="41" t="s">
        <v>249</v>
      </c>
      <c r="F163" s="45" t="s">
        <v>249</v>
      </c>
      <c r="G163" s="45" t="s">
        <v>249</v>
      </c>
      <c r="H163" s="45"/>
      <c r="I163" s="44" t="s">
        <v>249</v>
      </c>
      <c r="J163" s="42" t="s">
        <v>249</v>
      </c>
      <c r="K163" s="42" t="s">
        <v>249</v>
      </c>
      <c r="L163" s="42"/>
      <c r="M163" s="45" t="s">
        <v>249</v>
      </c>
      <c r="N163" s="45" t="s">
        <v>249</v>
      </c>
      <c r="O163" s="45"/>
      <c r="P163" s="46"/>
      <c r="Q163" s="46"/>
    </row>
    <row r="164" spans="2:17" x14ac:dyDescent="0.2">
      <c r="B164" s="47" t="s">
        <v>249</v>
      </c>
      <c r="C164" s="47" t="s">
        <v>249</v>
      </c>
      <c r="D164" s="41" t="s">
        <v>249</v>
      </c>
      <c r="E164" s="41" t="s">
        <v>249</v>
      </c>
      <c r="F164" s="45" t="s">
        <v>249</v>
      </c>
      <c r="G164" s="45" t="s">
        <v>249</v>
      </c>
      <c r="H164" s="45"/>
      <c r="I164" s="44" t="s">
        <v>249</v>
      </c>
      <c r="J164" s="42" t="s">
        <v>249</v>
      </c>
      <c r="K164" s="42" t="s">
        <v>249</v>
      </c>
      <c r="L164" s="42"/>
      <c r="M164" s="45" t="s">
        <v>249</v>
      </c>
      <c r="N164" s="45" t="s">
        <v>249</v>
      </c>
      <c r="O164" s="45"/>
      <c r="P164" s="46"/>
      <c r="Q164" s="46"/>
    </row>
    <row r="165" spans="2:17" x14ac:dyDescent="0.2">
      <c r="B165" s="47" t="s">
        <v>249</v>
      </c>
      <c r="C165" s="47" t="s">
        <v>249</v>
      </c>
      <c r="D165" s="41" t="s">
        <v>249</v>
      </c>
      <c r="E165" s="41" t="s">
        <v>249</v>
      </c>
      <c r="F165" s="45" t="s">
        <v>249</v>
      </c>
      <c r="G165" s="45" t="s">
        <v>249</v>
      </c>
      <c r="H165" s="45"/>
      <c r="I165" s="44" t="s">
        <v>249</v>
      </c>
      <c r="J165" s="42" t="s">
        <v>249</v>
      </c>
      <c r="K165" s="42" t="s">
        <v>249</v>
      </c>
      <c r="L165" s="42"/>
      <c r="M165" s="45" t="s">
        <v>249</v>
      </c>
      <c r="N165" s="45" t="s">
        <v>249</v>
      </c>
      <c r="O165" s="45"/>
      <c r="P165" s="46"/>
      <c r="Q165" s="46"/>
    </row>
    <row r="166" spans="2:17" x14ac:dyDescent="0.2">
      <c r="B166" s="47" t="s">
        <v>249</v>
      </c>
      <c r="C166" s="47" t="s">
        <v>249</v>
      </c>
      <c r="D166" s="41" t="s">
        <v>249</v>
      </c>
      <c r="E166" s="41" t="s">
        <v>249</v>
      </c>
      <c r="F166" s="45" t="s">
        <v>249</v>
      </c>
      <c r="G166" s="45" t="s">
        <v>249</v>
      </c>
      <c r="H166" s="45"/>
      <c r="I166" s="44" t="s">
        <v>249</v>
      </c>
      <c r="J166" s="42" t="s">
        <v>249</v>
      </c>
      <c r="K166" s="42" t="s">
        <v>249</v>
      </c>
      <c r="L166" s="42"/>
      <c r="M166" s="45" t="s">
        <v>249</v>
      </c>
      <c r="N166" s="45" t="s">
        <v>249</v>
      </c>
      <c r="O166" s="45"/>
      <c r="P166" s="46"/>
      <c r="Q166" s="46"/>
    </row>
    <row r="167" spans="2:17" x14ac:dyDescent="0.2">
      <c r="B167" s="38" t="s">
        <v>249</v>
      </c>
      <c r="C167" s="38" t="s">
        <v>249</v>
      </c>
      <c r="D167" s="41" t="s">
        <v>249</v>
      </c>
      <c r="E167" s="41" t="s">
        <v>249</v>
      </c>
      <c r="F167" s="45" t="s">
        <v>249</v>
      </c>
      <c r="G167" s="45" t="s">
        <v>249</v>
      </c>
      <c r="H167" s="45"/>
      <c r="I167" s="44" t="s">
        <v>249</v>
      </c>
      <c r="J167" s="42" t="s">
        <v>249</v>
      </c>
      <c r="K167" s="42" t="s">
        <v>249</v>
      </c>
      <c r="L167" s="42"/>
      <c r="M167" s="45" t="s">
        <v>249</v>
      </c>
      <c r="N167" s="45" t="s">
        <v>249</v>
      </c>
      <c r="O167" s="45"/>
      <c r="P167" s="46"/>
      <c r="Q167" s="46"/>
    </row>
    <row r="168" spans="2:17" x14ac:dyDescent="0.2">
      <c r="D168" s="45" t="s">
        <v>249</v>
      </c>
      <c r="E168" s="45" t="s">
        <v>249</v>
      </c>
      <c r="F168" s="45" t="s">
        <v>249</v>
      </c>
      <c r="G168" s="45" t="s">
        <v>249</v>
      </c>
      <c r="H168" s="45"/>
      <c r="I168" s="44" t="s">
        <v>249</v>
      </c>
      <c r="J168" s="42" t="s">
        <v>249</v>
      </c>
      <c r="K168" s="42" t="s">
        <v>249</v>
      </c>
      <c r="L168" s="42"/>
      <c r="M168" s="45" t="s">
        <v>249</v>
      </c>
      <c r="N168" s="45" t="s">
        <v>249</v>
      </c>
      <c r="O168" s="45"/>
      <c r="P168" s="46"/>
      <c r="Q168" s="46"/>
    </row>
    <row r="169" spans="2:17" x14ac:dyDescent="0.2">
      <c r="D169" s="45" t="s">
        <v>249</v>
      </c>
      <c r="E169" s="45" t="s">
        <v>249</v>
      </c>
      <c r="F169" s="45" t="s">
        <v>249</v>
      </c>
      <c r="G169" s="45" t="s">
        <v>249</v>
      </c>
      <c r="H169" s="45"/>
      <c r="I169" s="44" t="s">
        <v>249</v>
      </c>
      <c r="J169" s="42" t="s">
        <v>249</v>
      </c>
      <c r="K169" s="42" t="s">
        <v>249</v>
      </c>
      <c r="L169" s="42"/>
      <c r="M169" s="45" t="s">
        <v>249</v>
      </c>
      <c r="N169" s="45" t="s">
        <v>249</v>
      </c>
      <c r="O169" s="45"/>
      <c r="P169" s="46"/>
      <c r="Q169" s="46"/>
    </row>
    <row r="170" spans="2:17" x14ac:dyDescent="0.2">
      <c r="D170" s="45" t="s">
        <v>249</v>
      </c>
      <c r="E170" s="45" t="s">
        <v>249</v>
      </c>
      <c r="F170" s="45" t="s">
        <v>249</v>
      </c>
      <c r="G170" s="45" t="s">
        <v>249</v>
      </c>
      <c r="H170" s="45"/>
      <c r="I170" s="44" t="s">
        <v>249</v>
      </c>
      <c r="J170" s="42" t="s">
        <v>249</v>
      </c>
      <c r="K170" s="42" t="s">
        <v>249</v>
      </c>
      <c r="L170" s="42"/>
      <c r="M170" s="45" t="s">
        <v>249</v>
      </c>
      <c r="N170" s="45" t="s">
        <v>249</v>
      </c>
      <c r="O170" s="45"/>
      <c r="P170" s="46"/>
      <c r="Q170" s="46"/>
    </row>
    <row r="171" spans="2:17" x14ac:dyDescent="0.2">
      <c r="D171" s="45" t="s">
        <v>249</v>
      </c>
      <c r="E171" s="45" t="s">
        <v>249</v>
      </c>
      <c r="F171" s="45" t="s">
        <v>249</v>
      </c>
      <c r="G171" s="45" t="s">
        <v>249</v>
      </c>
      <c r="H171" s="45"/>
      <c r="I171" s="44" t="s">
        <v>249</v>
      </c>
      <c r="J171" s="42" t="s">
        <v>249</v>
      </c>
      <c r="K171" s="42" t="s">
        <v>249</v>
      </c>
      <c r="L171" s="42"/>
      <c r="M171" s="45" t="s">
        <v>249</v>
      </c>
      <c r="N171" s="45" t="s">
        <v>249</v>
      </c>
      <c r="O171" s="45"/>
      <c r="P171" s="46"/>
      <c r="Q171" s="46"/>
    </row>
    <row r="172" spans="2:17" x14ac:dyDescent="0.2">
      <c r="D172" s="45" t="s">
        <v>249</v>
      </c>
      <c r="E172" s="45" t="s">
        <v>249</v>
      </c>
      <c r="F172" s="45" t="s">
        <v>249</v>
      </c>
      <c r="G172" s="45" t="s">
        <v>249</v>
      </c>
      <c r="H172" s="45"/>
      <c r="I172" s="44" t="s">
        <v>249</v>
      </c>
      <c r="J172" s="42" t="s">
        <v>249</v>
      </c>
      <c r="K172" s="42" t="s">
        <v>249</v>
      </c>
      <c r="L172" s="42"/>
      <c r="M172" s="45" t="s">
        <v>249</v>
      </c>
      <c r="N172" s="45" t="s">
        <v>249</v>
      </c>
      <c r="O172" s="45"/>
      <c r="P172" s="46"/>
      <c r="Q172" s="46"/>
    </row>
    <row r="173" spans="2:17" x14ac:dyDescent="0.2">
      <c r="D173" s="45" t="s">
        <v>249</v>
      </c>
      <c r="E173" s="45" t="s">
        <v>249</v>
      </c>
      <c r="F173" s="45" t="s">
        <v>249</v>
      </c>
      <c r="G173" s="45" t="s">
        <v>249</v>
      </c>
      <c r="H173" s="45"/>
      <c r="I173" s="44" t="s">
        <v>249</v>
      </c>
      <c r="J173" s="42" t="s">
        <v>249</v>
      </c>
      <c r="K173" s="42" t="s">
        <v>249</v>
      </c>
      <c r="L173" s="42"/>
      <c r="M173" s="45" t="s">
        <v>249</v>
      </c>
      <c r="N173" s="45" t="s">
        <v>249</v>
      </c>
      <c r="O173" s="45"/>
      <c r="P173" s="46"/>
      <c r="Q173" s="46"/>
    </row>
    <row r="174" spans="2:17" x14ac:dyDescent="0.2">
      <c r="D174" s="45" t="s">
        <v>249</v>
      </c>
      <c r="E174" s="45" t="s">
        <v>249</v>
      </c>
      <c r="F174" s="45" t="s">
        <v>249</v>
      </c>
      <c r="G174" s="45" t="s">
        <v>249</v>
      </c>
      <c r="H174" s="45"/>
      <c r="I174" s="44" t="s">
        <v>249</v>
      </c>
      <c r="J174" s="42" t="s">
        <v>249</v>
      </c>
      <c r="K174" s="42" t="s">
        <v>249</v>
      </c>
      <c r="L174" s="42"/>
      <c r="M174" s="45" t="s">
        <v>249</v>
      </c>
      <c r="N174" s="45" t="s">
        <v>249</v>
      </c>
      <c r="O174" s="45"/>
      <c r="P174" s="46"/>
      <c r="Q174" s="46"/>
    </row>
    <row r="175" spans="2:17" x14ac:dyDescent="0.2">
      <c r="D175" s="45" t="s">
        <v>249</v>
      </c>
      <c r="E175" s="45" t="s">
        <v>249</v>
      </c>
      <c r="F175" s="45" t="s">
        <v>249</v>
      </c>
      <c r="G175" s="45" t="s">
        <v>249</v>
      </c>
      <c r="H175" s="45"/>
      <c r="I175" s="44" t="s">
        <v>249</v>
      </c>
      <c r="J175" s="42" t="s">
        <v>249</v>
      </c>
      <c r="K175" s="42" t="s">
        <v>249</v>
      </c>
      <c r="L175" s="42"/>
      <c r="M175" s="45" t="s">
        <v>249</v>
      </c>
      <c r="N175" s="45" t="s">
        <v>249</v>
      </c>
      <c r="O175" s="45"/>
      <c r="P175" s="46"/>
      <c r="Q175" s="46"/>
    </row>
    <row r="176" spans="2:17" x14ac:dyDescent="0.2">
      <c r="D176" s="45" t="s">
        <v>249</v>
      </c>
      <c r="E176" s="45" t="s">
        <v>249</v>
      </c>
      <c r="F176" s="45" t="s">
        <v>249</v>
      </c>
      <c r="G176" s="45" t="s">
        <v>249</v>
      </c>
      <c r="H176" s="45"/>
      <c r="I176" s="44" t="s">
        <v>249</v>
      </c>
      <c r="J176" s="42" t="s">
        <v>249</v>
      </c>
      <c r="K176" s="42" t="s">
        <v>249</v>
      </c>
      <c r="L176" s="42"/>
      <c r="M176" s="45" t="s">
        <v>249</v>
      </c>
      <c r="N176" s="45" t="s">
        <v>249</v>
      </c>
      <c r="O176" s="45"/>
      <c r="P176" s="46"/>
      <c r="Q176" s="46"/>
    </row>
    <row r="177" spans="4:17" x14ac:dyDescent="0.2">
      <c r="D177" s="45" t="s">
        <v>249</v>
      </c>
      <c r="E177" s="45" t="s">
        <v>249</v>
      </c>
      <c r="F177" s="45" t="s">
        <v>249</v>
      </c>
      <c r="G177" s="45" t="s">
        <v>249</v>
      </c>
      <c r="H177" s="45"/>
      <c r="I177" s="44" t="s">
        <v>249</v>
      </c>
      <c r="J177" s="42" t="s">
        <v>249</v>
      </c>
      <c r="K177" s="42" t="s">
        <v>249</v>
      </c>
      <c r="L177" s="42"/>
      <c r="M177" s="45" t="s">
        <v>249</v>
      </c>
      <c r="N177" s="45" t="s">
        <v>249</v>
      </c>
      <c r="O177" s="45"/>
      <c r="P177" s="46"/>
      <c r="Q177" s="46"/>
    </row>
    <row r="178" spans="4:17" x14ac:dyDescent="0.2">
      <c r="D178" s="45" t="s">
        <v>249</v>
      </c>
      <c r="E178" s="45" t="s">
        <v>249</v>
      </c>
      <c r="F178" s="45" t="s">
        <v>249</v>
      </c>
      <c r="G178" s="45" t="s">
        <v>249</v>
      </c>
      <c r="H178" s="45"/>
      <c r="I178" s="44" t="s">
        <v>249</v>
      </c>
      <c r="J178" s="42" t="s">
        <v>249</v>
      </c>
      <c r="K178" s="42" t="s">
        <v>249</v>
      </c>
      <c r="L178" s="42"/>
      <c r="M178" s="45" t="s">
        <v>249</v>
      </c>
      <c r="N178" s="45" t="s">
        <v>249</v>
      </c>
      <c r="O178" s="45"/>
      <c r="P178" s="46"/>
      <c r="Q178" s="46"/>
    </row>
    <row r="179" spans="4:17" x14ac:dyDescent="0.2">
      <c r="D179" s="45" t="s">
        <v>249</v>
      </c>
      <c r="E179" s="45" t="s">
        <v>249</v>
      </c>
      <c r="F179" s="45" t="s">
        <v>249</v>
      </c>
      <c r="G179" s="45" t="s">
        <v>249</v>
      </c>
      <c r="H179" s="45"/>
      <c r="I179" s="44" t="s">
        <v>249</v>
      </c>
      <c r="J179" s="42" t="s">
        <v>249</v>
      </c>
      <c r="K179" s="42" t="s">
        <v>249</v>
      </c>
      <c r="L179" s="42"/>
      <c r="M179" s="45" t="s">
        <v>249</v>
      </c>
      <c r="N179" s="45" t="s">
        <v>249</v>
      </c>
      <c r="O179" s="45"/>
      <c r="P179" s="46"/>
      <c r="Q179" s="46"/>
    </row>
    <row r="180" spans="4:17" x14ac:dyDescent="0.2">
      <c r="D180" s="45" t="s">
        <v>249</v>
      </c>
      <c r="E180" s="45" t="s">
        <v>249</v>
      </c>
      <c r="F180" s="45" t="s">
        <v>249</v>
      </c>
      <c r="G180" s="45" t="s">
        <v>249</v>
      </c>
      <c r="H180" s="45"/>
      <c r="I180" s="44" t="s">
        <v>249</v>
      </c>
      <c r="J180" s="42" t="s">
        <v>249</v>
      </c>
      <c r="K180" s="42" t="s">
        <v>249</v>
      </c>
      <c r="L180" s="42"/>
      <c r="M180" s="45" t="s">
        <v>249</v>
      </c>
      <c r="N180" s="45" t="s">
        <v>249</v>
      </c>
      <c r="O180" s="45"/>
      <c r="P180" s="46"/>
      <c r="Q180" s="46"/>
    </row>
    <row r="181" spans="4:17" x14ac:dyDescent="0.2">
      <c r="D181" s="45" t="s">
        <v>249</v>
      </c>
      <c r="E181" s="45" t="s">
        <v>249</v>
      </c>
      <c r="F181" s="45" t="s">
        <v>249</v>
      </c>
      <c r="G181" s="45" t="s">
        <v>249</v>
      </c>
      <c r="H181" s="45"/>
      <c r="I181" s="44" t="s">
        <v>249</v>
      </c>
      <c r="J181" s="42" t="s">
        <v>249</v>
      </c>
      <c r="K181" s="42" t="s">
        <v>249</v>
      </c>
      <c r="L181" s="42"/>
      <c r="M181" s="45" t="s">
        <v>249</v>
      </c>
      <c r="N181" s="45" t="s">
        <v>249</v>
      </c>
      <c r="O181" s="45"/>
      <c r="P181" s="46"/>
      <c r="Q181" s="46"/>
    </row>
  </sheetData>
  <conditionalFormatting sqref="B2">
    <cfRule type="expression" dxfId="0" priority="1" stopIfTrue="1">
      <formula>A1 &gt; 30</formula>
    </cfRule>
  </conditionalFormatting>
  <pageMargins left="0.75" right="0.5" top="0.75" bottom="0.75" header="0.5" footer="0.5"/>
  <pageSetup scale="69" orientation="landscape" r:id="rId1"/>
  <headerFooter alignWithMargins="0">
    <oddFooter>&amp;LBonneville Power Administration
August 9, 2016&amp;CTable 3
Page &amp;P</oddFooter>
  </headerFooter>
  <rowBreaks count="2" manualBreakCount="2">
    <brk id="50" max="25" man="1"/>
    <brk id="97" max="25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0C8A7C-E353-4BD4-BBA7-FCC2CF51BBB0}">
  <dimension ref="B1:K6"/>
  <sheetViews>
    <sheetView workbookViewId="0">
      <selection activeCell="B25" sqref="B25"/>
    </sheetView>
  </sheetViews>
  <sheetFormatPr defaultRowHeight="15" x14ac:dyDescent="0.25"/>
  <cols>
    <col min="2" max="11" width="24.42578125" customWidth="1"/>
  </cols>
  <sheetData>
    <row r="1" spans="2:11" ht="15.75" thickBot="1" x14ac:dyDescent="0.3"/>
    <row r="2" spans="2:11" ht="15.75" thickBot="1" x14ac:dyDescent="0.3">
      <c r="B2" s="9"/>
      <c r="C2" s="8" t="s">
        <v>74</v>
      </c>
      <c r="D2" s="8" t="s">
        <v>73</v>
      </c>
      <c r="E2" s="8" t="s">
        <v>72</v>
      </c>
      <c r="F2" s="8" t="s">
        <v>71</v>
      </c>
      <c r="G2" s="8" t="s">
        <v>70</v>
      </c>
      <c r="H2" s="8" t="s">
        <v>69</v>
      </c>
      <c r="I2" s="8" t="s">
        <v>68</v>
      </c>
      <c r="J2" s="8" t="s">
        <v>67</v>
      </c>
      <c r="K2" s="8" t="s">
        <v>66</v>
      </c>
    </row>
    <row r="3" spans="2:11" ht="30.75" thickBot="1" x14ac:dyDescent="0.3">
      <c r="B3" s="7" t="s">
        <v>65</v>
      </c>
      <c r="C3" s="6">
        <v>34904083</v>
      </c>
      <c r="D3" s="6">
        <v>34915101</v>
      </c>
      <c r="E3" s="6">
        <v>36113332</v>
      </c>
      <c r="F3" s="6">
        <v>35870803</v>
      </c>
      <c r="G3" s="6">
        <v>35275616</v>
      </c>
      <c r="H3" s="6">
        <v>35195551</v>
      </c>
      <c r="I3" s="6">
        <v>32093971</v>
      </c>
      <c r="J3" s="6">
        <v>31603097.438986134</v>
      </c>
      <c r="K3" s="6">
        <v>30584397.803050302</v>
      </c>
    </row>
    <row r="4" spans="2:11" ht="30.75" customHeight="1" thickBot="1" x14ac:dyDescent="0.3">
      <c r="B4" s="7" t="s">
        <v>64</v>
      </c>
      <c r="C4" s="6">
        <v>36407405.998100094</v>
      </c>
      <c r="D4" s="6">
        <v>36696160.658264093</v>
      </c>
      <c r="E4" s="6">
        <v>38792406.118035585</v>
      </c>
      <c r="F4" s="6">
        <v>38810372.260102004</v>
      </c>
      <c r="G4" s="6">
        <v>38695789.500399761</v>
      </c>
      <c r="H4" s="6">
        <v>38901503.360398084</v>
      </c>
      <c r="I4" s="6">
        <v>37120374.951751195</v>
      </c>
      <c r="J4" s="6">
        <v>38972048.145243101</v>
      </c>
      <c r="K4" s="6">
        <v>36073609.764214687</v>
      </c>
    </row>
    <row r="5" spans="2:11" ht="30.75" thickBot="1" x14ac:dyDescent="0.3">
      <c r="B5" s="5" t="s">
        <v>63</v>
      </c>
      <c r="C5" s="4">
        <v>1503323</v>
      </c>
      <c r="D5" s="4">
        <v>1781060</v>
      </c>
      <c r="E5" s="4">
        <v>2679074</v>
      </c>
      <c r="F5" s="4">
        <v>2939569</v>
      </c>
      <c r="G5" s="4">
        <v>3420174</v>
      </c>
      <c r="H5" s="4">
        <v>3705953</v>
      </c>
      <c r="I5" s="4">
        <v>5026404</v>
      </c>
      <c r="J5" s="4">
        <v>7368950.706256968</v>
      </c>
      <c r="K5" s="4">
        <v>5489211.9611643944</v>
      </c>
    </row>
    <row r="6" spans="2:11" ht="30.75" thickBot="1" x14ac:dyDescent="0.3">
      <c r="B6" s="5" t="s">
        <v>63</v>
      </c>
      <c r="C6" s="4">
        <v>1503323</v>
      </c>
      <c r="D6" s="4">
        <v>1781060</v>
      </c>
      <c r="E6" s="4">
        <v>2679074</v>
      </c>
      <c r="F6" s="4">
        <v>2939569</v>
      </c>
      <c r="G6" s="4">
        <v>3420174</v>
      </c>
      <c r="H6" s="4">
        <v>3705953</v>
      </c>
      <c r="I6" s="4">
        <v>5026404</v>
      </c>
      <c r="J6" s="4">
        <v>7368950.706256968</v>
      </c>
      <c r="K6" s="4">
        <v>5489211.9611643944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9</vt:i4>
      </vt:variant>
      <vt:variant>
        <vt:lpstr>Charts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12" baseType="lpstr">
      <vt:lpstr>Discount Details</vt:lpstr>
      <vt:lpstr>LDD Alt 1</vt:lpstr>
      <vt:lpstr>LDD Alt 2</vt:lpstr>
      <vt:lpstr>Scenario Summary</vt:lpstr>
      <vt:lpstr>Charges_NonSlice</vt:lpstr>
      <vt:lpstr>PNGC</vt:lpstr>
      <vt:lpstr>POC CHWM Calculation</vt:lpstr>
      <vt:lpstr>FY 2028 RHWM Values</vt:lpstr>
      <vt:lpstr>Program Cost Details (LDD)</vt:lpstr>
      <vt:lpstr>Chart (LDD)</vt:lpstr>
      <vt:lpstr>'FY 2028 RHWM Values'!Print_Area</vt:lpstr>
      <vt:lpstr>'FY 2028 RHWM Values'!Print_Titles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Beavon,Garth T (BPA) - PSR-6</dc:creator>
  <cp:lastModifiedBy>Ramse,Jonathan D (BPA) - PSR-6</cp:lastModifiedBy>
  <dcterms:created xsi:type="dcterms:W3CDTF">2024-06-05T17:20:01Z</dcterms:created>
  <dcterms:modified xsi:type="dcterms:W3CDTF">2024-07-10T16:05:27Z</dcterms:modified>
</cp:coreProperties>
</file>