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Z:\1Projects\Stiffler\2025\Discount and Product Choice Models\"/>
    </mc:Choice>
  </mc:AlternateContent>
  <xr:revisionPtr revIDLastSave="0" documentId="13_ncr:1_{842035DF-C460-46C8-9422-5A3A80C53DEF}" xr6:coauthVersionLast="47" xr6:coauthVersionMax="47" xr10:uidLastSave="{00000000-0000-0000-0000-000000000000}"/>
  <bookViews>
    <workbookView xWindow="-120" yWindow="-120" windowWidth="29040" windowHeight="15720" xr2:uid="{E612423A-D7E7-4B23-B314-18A94D251431}"/>
  </bookViews>
  <sheets>
    <sheet name="Inputs" sheetId="24" r:id="rId1"/>
    <sheet name="Product Summary" sheetId="10" r:id="rId2"/>
    <sheet name="Charge Comparison" sheetId="12" r:id="rId3"/>
    <sheet name="Notes" sheetId="13" r:id="rId4"/>
    <sheet name="RICmCharge" sheetId="4" r:id="rId5"/>
  </sheets>
  <definedNames>
    <definedName name="_xlnm._FilterDatabase" localSheetId="4" hidden="1">RICmCharge!$A$7:$E$21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2" i="24" l="1"/>
  <c r="E22" i="24" s="1"/>
  <c r="F22" i="24" s="1"/>
  <c r="G22" i="24" s="1"/>
  <c r="H22" i="24" s="1"/>
  <c r="I22" i="24" s="1"/>
  <c r="J22" i="24" s="1"/>
  <c r="K22" i="24" s="1"/>
  <c r="L22" i="24" s="1"/>
  <c r="M22" i="24" s="1"/>
  <c r="N22" i="24" s="1"/>
  <c r="C25" i="24"/>
  <c r="D25" i="24"/>
  <c r="E25" i="24"/>
  <c r="F25" i="24"/>
  <c r="G25" i="24"/>
  <c r="H25" i="24"/>
  <c r="I25" i="24"/>
  <c r="J25" i="24"/>
  <c r="K25" i="24"/>
  <c r="L25" i="24"/>
  <c r="M25" i="24"/>
  <c r="N25" i="24"/>
  <c r="C26" i="24"/>
  <c r="D26" i="24"/>
  <c r="E26" i="24"/>
  <c r="F26" i="24"/>
  <c r="G26" i="24"/>
  <c r="H26" i="24"/>
  <c r="I26" i="24"/>
  <c r="J26" i="24"/>
  <c r="K26" i="24"/>
  <c r="L26" i="24"/>
  <c r="M26" i="24"/>
  <c r="N26" i="24"/>
  <c r="C27" i="24"/>
  <c r="D27" i="24"/>
  <c r="E27" i="24"/>
  <c r="F27" i="24"/>
  <c r="G27" i="24"/>
  <c r="H27" i="24"/>
  <c r="I27" i="24"/>
  <c r="J27" i="24"/>
  <c r="K27" i="24"/>
  <c r="L27" i="24"/>
  <c r="M27" i="24"/>
  <c r="N27" i="24"/>
  <c r="C28" i="24"/>
  <c r="D28" i="24"/>
  <c r="E28" i="24"/>
  <c r="E16" i="10" s="1"/>
  <c r="F28" i="24"/>
  <c r="G28" i="24"/>
  <c r="H28" i="24"/>
  <c r="I28" i="24"/>
  <c r="I16" i="10" s="1"/>
  <c r="J28" i="24"/>
  <c r="K28" i="24"/>
  <c r="L28" i="24"/>
  <c r="M28" i="24"/>
  <c r="M16" i="10" s="1"/>
  <c r="N28" i="24"/>
  <c r="N16" i="10" s="1"/>
  <c r="D31" i="24"/>
  <c r="E31" i="24" s="1"/>
  <c r="F31" i="24" s="1"/>
  <c r="G31" i="24" s="1"/>
  <c r="H31" i="24" s="1"/>
  <c r="I31" i="24" s="1"/>
  <c r="J31" i="24" s="1"/>
  <c r="K31" i="24" s="1"/>
  <c r="L31" i="24" s="1"/>
  <c r="M31" i="24" s="1"/>
  <c r="N31" i="24" s="1"/>
  <c r="O33" i="24"/>
  <c r="D40" i="24"/>
  <c r="E40" i="24" s="1"/>
  <c r="F40" i="24" s="1"/>
  <c r="G40" i="24" s="1"/>
  <c r="H40" i="24" s="1"/>
  <c r="I40" i="24" s="1"/>
  <c r="J40" i="24" s="1"/>
  <c r="K40" i="24" s="1"/>
  <c r="L40" i="24" s="1"/>
  <c r="M40" i="24" s="1"/>
  <c r="N40" i="24" s="1"/>
  <c r="D44" i="24"/>
  <c r="E44" i="24" s="1"/>
  <c r="F44" i="24" s="1"/>
  <c r="G44" i="24" s="1"/>
  <c r="H44" i="24" s="1"/>
  <c r="I44" i="24" s="1"/>
  <c r="J44" i="24" s="1"/>
  <c r="K44" i="24" s="1"/>
  <c r="L44" i="24" s="1"/>
  <c r="M44" i="24" s="1"/>
  <c r="N44" i="24" s="1"/>
  <c r="D49" i="24"/>
  <c r="E49" i="24" s="1"/>
  <c r="F49" i="24" s="1"/>
  <c r="G49" i="24" s="1"/>
  <c r="H49" i="24" s="1"/>
  <c r="I49" i="24" s="1"/>
  <c r="J49" i="24" s="1"/>
  <c r="K49" i="24" s="1"/>
  <c r="L49" i="24" s="1"/>
  <c r="M49" i="24" s="1"/>
  <c r="N49" i="24" s="1"/>
  <c r="D53" i="24"/>
  <c r="E53" i="24" s="1"/>
  <c r="F53" i="24" s="1"/>
  <c r="G53" i="24" s="1"/>
  <c r="H53" i="24" s="1"/>
  <c r="I53" i="24" s="1"/>
  <c r="J53" i="24" s="1"/>
  <c r="K53" i="24" s="1"/>
  <c r="L53" i="24" s="1"/>
  <c r="M53" i="24" s="1"/>
  <c r="N53" i="24" s="1"/>
  <c r="O54" i="24"/>
  <c r="O55" i="24"/>
  <c r="C56" i="24"/>
  <c r="D56" i="24"/>
  <c r="E56" i="24"/>
  <c r="F56" i="24"/>
  <c r="G56" i="24"/>
  <c r="H56" i="24"/>
  <c r="I56" i="24"/>
  <c r="J56" i="24"/>
  <c r="K56" i="24"/>
  <c r="L56" i="24"/>
  <c r="M56" i="24"/>
  <c r="N56" i="24"/>
  <c r="D59" i="24"/>
  <c r="E59" i="24" s="1"/>
  <c r="F59" i="24" s="1"/>
  <c r="G59" i="24" s="1"/>
  <c r="H59" i="24" s="1"/>
  <c r="I59" i="24" s="1"/>
  <c r="J59" i="24" s="1"/>
  <c r="K59" i="24" s="1"/>
  <c r="L59" i="24" s="1"/>
  <c r="M59" i="24" s="1"/>
  <c r="N59" i="24" s="1"/>
  <c r="C73" i="24"/>
  <c r="D73" i="24"/>
  <c r="E73" i="24"/>
  <c r="F73" i="24"/>
  <c r="G73" i="24"/>
  <c r="H73" i="24"/>
  <c r="I73" i="24"/>
  <c r="J73" i="24"/>
  <c r="K73" i="24"/>
  <c r="L73" i="24"/>
  <c r="M73" i="24"/>
  <c r="N73" i="24"/>
  <c r="D102" i="24"/>
  <c r="E102" i="24" s="1"/>
  <c r="F102" i="24" s="1"/>
  <c r="G102" i="24" s="1"/>
  <c r="H102" i="24" s="1"/>
  <c r="I102" i="24" s="1"/>
  <c r="J102" i="24" s="1"/>
  <c r="K102" i="24" s="1"/>
  <c r="L102" i="24" s="1"/>
  <c r="M102" i="24" s="1"/>
  <c r="N102" i="24" s="1"/>
  <c r="D109" i="24"/>
  <c r="E109" i="24" s="1"/>
  <c r="F109" i="24" s="1"/>
  <c r="G109" i="24" s="1"/>
  <c r="H109" i="24" s="1"/>
  <c r="I109" i="24" s="1"/>
  <c r="J109" i="24" s="1"/>
  <c r="K109" i="24" s="1"/>
  <c r="L109" i="24" s="1"/>
  <c r="M109" i="24" s="1"/>
  <c r="N109" i="24" s="1"/>
  <c r="D114" i="24"/>
  <c r="E114" i="24" s="1"/>
  <c r="F114" i="24" s="1"/>
  <c r="G114" i="24" s="1"/>
  <c r="H114" i="24" s="1"/>
  <c r="I114" i="24" s="1"/>
  <c r="J114" i="24" s="1"/>
  <c r="K114" i="24" s="1"/>
  <c r="L114" i="24" s="1"/>
  <c r="M114" i="24" s="1"/>
  <c r="N114" i="24" s="1"/>
  <c r="D118" i="24"/>
  <c r="E118" i="24" s="1"/>
  <c r="F118" i="24" s="1"/>
  <c r="G118" i="24" s="1"/>
  <c r="H118" i="24" s="1"/>
  <c r="I118" i="24" s="1"/>
  <c r="J118" i="24" s="1"/>
  <c r="K118" i="24" s="1"/>
  <c r="L118" i="24" s="1"/>
  <c r="M118" i="24" s="1"/>
  <c r="N118" i="24" s="1"/>
  <c r="D122" i="24"/>
  <c r="E122" i="24" s="1"/>
  <c r="F122" i="24" s="1"/>
  <c r="G122" i="24" s="1"/>
  <c r="H122" i="24" s="1"/>
  <c r="I122" i="24" s="1"/>
  <c r="J122" i="24" s="1"/>
  <c r="K122" i="24" s="1"/>
  <c r="L122" i="24" s="1"/>
  <c r="M122" i="24" s="1"/>
  <c r="N122" i="24" s="1"/>
  <c r="D16" i="10"/>
  <c r="F16" i="10"/>
  <c r="G16" i="10"/>
  <c r="H16" i="10"/>
  <c r="J16" i="10"/>
  <c r="K16" i="10"/>
  <c r="L16" i="10"/>
  <c r="B45" i="10"/>
  <c r="B26" i="10"/>
  <c r="D34" i="24" l="1"/>
  <c r="O56" i="24"/>
  <c r="O104" i="24" s="1"/>
  <c r="D106" i="24" s="1"/>
  <c r="J36" i="24"/>
  <c r="G35" i="24"/>
  <c r="G12" i="10" s="1"/>
  <c r="L105" i="24"/>
  <c r="L106" i="24"/>
  <c r="N105" i="24"/>
  <c r="K106" i="24"/>
  <c r="I105" i="24"/>
  <c r="E106" i="24"/>
  <c r="M106" i="24"/>
  <c r="F106" i="24"/>
  <c r="C105" i="24"/>
  <c r="K105" i="24"/>
  <c r="G106" i="24"/>
  <c r="P33" i="24"/>
  <c r="F34" i="24"/>
  <c r="J34" i="24"/>
  <c r="N34" i="24"/>
  <c r="E35" i="24"/>
  <c r="I35" i="24"/>
  <c r="M35" i="24"/>
  <c r="D36" i="24"/>
  <c r="H36" i="24"/>
  <c r="L36" i="24"/>
  <c r="C34" i="24"/>
  <c r="G34" i="24"/>
  <c r="K34" i="24"/>
  <c r="F35" i="24"/>
  <c r="J35" i="24"/>
  <c r="N35" i="24"/>
  <c r="E36" i="24"/>
  <c r="I36" i="24"/>
  <c r="M36" i="24"/>
  <c r="E34" i="24"/>
  <c r="M34" i="24"/>
  <c r="H35" i="24"/>
  <c r="C36" i="24"/>
  <c r="K36" i="24"/>
  <c r="H34" i="24"/>
  <c r="C35" i="24"/>
  <c r="K35" i="24"/>
  <c r="F36" i="24"/>
  <c r="N36" i="24"/>
  <c r="L34" i="24"/>
  <c r="G36" i="24"/>
  <c r="D35" i="24"/>
  <c r="D11" i="10" s="1"/>
  <c r="L35" i="24"/>
  <c r="I34" i="24"/>
  <c r="J12" i="10"/>
  <c r="I11" i="10"/>
  <c r="E12" i="10"/>
  <c r="N12" i="10" l="1"/>
  <c r="H12" i="10"/>
  <c r="G105" i="24"/>
  <c r="J105" i="24"/>
  <c r="M105" i="24"/>
  <c r="J106" i="24"/>
  <c r="H106" i="24"/>
  <c r="F11" i="10"/>
  <c r="C106" i="24"/>
  <c r="N106" i="24"/>
  <c r="I106" i="24"/>
  <c r="E105" i="24"/>
  <c r="F105" i="24"/>
  <c r="H105" i="24"/>
  <c r="E11" i="10"/>
  <c r="N11" i="10"/>
  <c r="K12" i="10"/>
  <c r="G11" i="10"/>
  <c r="G37" i="24"/>
  <c r="G38" i="24" s="1"/>
  <c r="J11" i="10"/>
  <c r="H11" i="10"/>
  <c r="D105" i="24"/>
  <c r="I99" i="24"/>
  <c r="O34" i="24"/>
  <c r="C86" i="24"/>
  <c r="C52" i="10" s="1"/>
  <c r="C99" i="24"/>
  <c r="D99" i="24"/>
  <c r="J99" i="24"/>
  <c r="L99" i="24"/>
  <c r="H37" i="24"/>
  <c r="H38" i="24" s="1"/>
  <c r="F99" i="24"/>
  <c r="D37" i="24"/>
  <c r="D38" i="24" s="1"/>
  <c r="H99" i="24"/>
  <c r="M99" i="24"/>
  <c r="K99" i="24"/>
  <c r="E37" i="24"/>
  <c r="E38" i="24" s="1"/>
  <c r="D42" i="24"/>
  <c r="D46" i="24" s="1"/>
  <c r="H42" i="24"/>
  <c r="H46" i="24" s="1"/>
  <c r="L42" i="24"/>
  <c r="L46" i="24" s="1"/>
  <c r="E42" i="24"/>
  <c r="E46" i="24" s="1"/>
  <c r="I42" i="24"/>
  <c r="I46" i="24" s="1"/>
  <c r="M42" i="24"/>
  <c r="M46" i="24" s="1"/>
  <c r="G42" i="24"/>
  <c r="G46" i="24" s="1"/>
  <c r="J42" i="24"/>
  <c r="J46" i="24" s="1"/>
  <c r="C42" i="24"/>
  <c r="C46" i="24" s="1"/>
  <c r="K42" i="24"/>
  <c r="K46" i="24" s="1"/>
  <c r="F42" i="24"/>
  <c r="F46" i="24" s="1"/>
  <c r="N42" i="24"/>
  <c r="N46" i="24" s="1"/>
  <c r="K37" i="24"/>
  <c r="K38" i="24" s="1"/>
  <c r="J37" i="24"/>
  <c r="J38" i="24" s="1"/>
  <c r="M37" i="24"/>
  <c r="M38" i="24" s="1"/>
  <c r="L37" i="24"/>
  <c r="L38" i="24" s="1"/>
  <c r="C37" i="24"/>
  <c r="O35" i="24"/>
  <c r="F37" i="24"/>
  <c r="F38" i="24" s="1"/>
  <c r="I37" i="24"/>
  <c r="I38" i="24" s="1"/>
  <c r="I12" i="10"/>
  <c r="L11" i="10"/>
  <c r="M11" i="10"/>
  <c r="C11" i="10"/>
  <c r="K11" i="10"/>
  <c r="F12" i="10"/>
  <c r="L12" i="10"/>
  <c r="M12" i="10"/>
  <c r="C12" i="10"/>
  <c r="D12" i="10"/>
  <c r="E99" i="24"/>
  <c r="N37" i="24"/>
  <c r="N38" i="24" s="1"/>
  <c r="G99" i="24"/>
  <c r="N99" i="24"/>
  <c r="N13" i="10"/>
  <c r="N17" i="10" s="1"/>
  <c r="K14" i="10"/>
  <c r="K18" i="10" s="1"/>
  <c r="F14" i="10"/>
  <c r="F13" i="10"/>
  <c r="F15" i="10"/>
  <c r="H14" i="10"/>
  <c r="H18" i="10" s="1"/>
  <c r="H15" i="10"/>
  <c r="G13" i="10"/>
  <c r="G14" i="10"/>
  <c r="G18" i="10" s="1"/>
  <c r="G15" i="10"/>
  <c r="L13" i="10"/>
  <c r="L15" i="10"/>
  <c r="L14" i="10"/>
  <c r="L18" i="10" s="1"/>
  <c r="M15" i="10"/>
  <c r="E15" i="10" l="1"/>
  <c r="F18" i="10"/>
  <c r="J15" i="10"/>
  <c r="E13" i="10"/>
  <c r="E17" i="10" s="1"/>
  <c r="N14" i="10"/>
  <c r="N18" i="10" s="1"/>
  <c r="D13" i="10"/>
  <c r="I14" i="10"/>
  <c r="I18" i="10" s="1"/>
  <c r="J14" i="10"/>
  <c r="J18" i="10" s="1"/>
  <c r="L17" i="10"/>
  <c r="D14" i="10"/>
  <c r="D18" i="10" s="1"/>
  <c r="I15" i="10"/>
  <c r="D15" i="10"/>
  <c r="D20" i="10" s="1"/>
  <c r="I13" i="10"/>
  <c r="M14" i="10"/>
  <c r="M18" i="10" s="1"/>
  <c r="K13" i="10"/>
  <c r="K17" i="10" s="1"/>
  <c r="C89" i="24"/>
  <c r="D86" i="24"/>
  <c r="D51" i="10" s="1"/>
  <c r="M13" i="10"/>
  <c r="M17" i="10" s="1"/>
  <c r="H13" i="10"/>
  <c r="H17" i="10" s="1"/>
  <c r="E14" i="10"/>
  <c r="E18" i="10" s="1"/>
  <c r="K15" i="10"/>
  <c r="N15" i="10"/>
  <c r="N20" i="10" s="1"/>
  <c r="J13" i="10"/>
  <c r="J17" i="10" s="1"/>
  <c r="E19" i="24"/>
  <c r="C38" i="24"/>
  <c r="O37" i="24"/>
  <c r="C98" i="24"/>
  <c r="G98" i="24"/>
  <c r="D98" i="24"/>
  <c r="H98" i="24"/>
  <c r="L98" i="24"/>
  <c r="F98" i="24"/>
  <c r="M98" i="24"/>
  <c r="J98" i="24"/>
  <c r="K98" i="24"/>
  <c r="I98" i="24"/>
  <c r="N98" i="24"/>
  <c r="E98" i="24"/>
  <c r="I17" i="10"/>
  <c r="L20" i="10"/>
  <c r="G20" i="10"/>
  <c r="E20" i="10"/>
  <c r="F20" i="10"/>
  <c r="D17" i="10"/>
  <c r="F17" i="10"/>
  <c r="G17" i="10"/>
  <c r="K20" i="10" l="1"/>
  <c r="M20" i="10"/>
  <c r="H20" i="10"/>
  <c r="I20" i="10"/>
  <c r="D53" i="10"/>
  <c r="D58" i="10" s="1"/>
  <c r="D39" i="10" s="1"/>
  <c r="K95" i="24"/>
  <c r="K96" i="24"/>
  <c r="K93" i="24" s="1"/>
  <c r="F96" i="24"/>
  <c r="F93" i="24" s="1"/>
  <c r="F95" i="24"/>
  <c r="J20" i="10"/>
  <c r="E95" i="24"/>
  <c r="E96" i="24"/>
  <c r="E93" i="24" s="1"/>
  <c r="N96" i="24"/>
  <c r="N93" i="24" s="1"/>
  <c r="N95" i="24"/>
  <c r="C95" i="24"/>
  <c r="C96" i="24"/>
  <c r="C93" i="24" s="1"/>
  <c r="C87" i="24"/>
  <c r="C84" i="24" s="1"/>
  <c r="D95" i="24"/>
  <c r="D96" i="24"/>
  <c r="D93" i="24" s="1"/>
  <c r="D89" i="24"/>
  <c r="D74" i="10" s="1"/>
  <c r="E86" i="24"/>
  <c r="E52" i="10" s="1"/>
  <c r="D71" i="10"/>
  <c r="I95" i="24"/>
  <c r="I96" i="24"/>
  <c r="I93" i="24" s="1"/>
  <c r="J95" i="24"/>
  <c r="J96" i="24"/>
  <c r="J93" i="24" s="1"/>
  <c r="L95" i="24"/>
  <c r="L96" i="24"/>
  <c r="L93" i="24" s="1"/>
  <c r="L33" i="10" s="1"/>
  <c r="G95" i="24"/>
  <c r="G96" i="24"/>
  <c r="G93" i="24" s="1"/>
  <c r="D73" i="10"/>
  <c r="D52" i="10"/>
  <c r="M96" i="24"/>
  <c r="M93" i="24" s="1"/>
  <c r="M95" i="24"/>
  <c r="H95" i="24"/>
  <c r="H96" i="24"/>
  <c r="H93" i="24" s="1"/>
  <c r="E63" i="24"/>
  <c r="I63" i="24"/>
  <c r="M63" i="24"/>
  <c r="E64" i="24"/>
  <c r="I64" i="24"/>
  <c r="M64" i="24"/>
  <c r="F63" i="24"/>
  <c r="J63" i="24"/>
  <c r="N63" i="24"/>
  <c r="F64" i="24"/>
  <c r="J64" i="24"/>
  <c r="N64" i="24"/>
  <c r="G63" i="24"/>
  <c r="C64" i="24"/>
  <c r="K64" i="24"/>
  <c r="H63" i="24"/>
  <c r="D64" i="24"/>
  <c r="L64" i="24"/>
  <c r="L63" i="24"/>
  <c r="K63" i="24"/>
  <c r="C63" i="24"/>
  <c r="G64" i="24"/>
  <c r="D63" i="24"/>
  <c r="H64" i="24"/>
  <c r="C88" i="24" l="1"/>
  <c r="C85" i="24" s="1"/>
  <c r="M97" i="24"/>
  <c r="M94" i="24" s="1"/>
  <c r="L34" i="10"/>
  <c r="C97" i="24"/>
  <c r="N97" i="24"/>
  <c r="N94" i="24" s="1"/>
  <c r="L32" i="10"/>
  <c r="N31" i="10"/>
  <c r="I97" i="24"/>
  <c r="I94" i="24" s="1"/>
  <c r="C61" i="24"/>
  <c r="C68" i="24"/>
  <c r="C60" i="24"/>
  <c r="C65" i="24"/>
  <c r="C67" i="24"/>
  <c r="D61" i="24"/>
  <c r="D68" i="24"/>
  <c r="G65" i="24"/>
  <c r="G67" i="24"/>
  <c r="G60" i="24"/>
  <c r="N60" i="24"/>
  <c r="N65" i="24"/>
  <c r="N67" i="24"/>
  <c r="E60" i="24"/>
  <c r="E65" i="24"/>
  <c r="E67" i="24"/>
  <c r="D87" i="24"/>
  <c r="D84" i="24" s="1"/>
  <c r="D88" i="24"/>
  <c r="D85" i="24" s="1"/>
  <c r="E51" i="10"/>
  <c r="C31" i="10"/>
  <c r="N30" i="10"/>
  <c r="H61" i="24"/>
  <c r="H68" i="24"/>
  <c r="K60" i="24"/>
  <c r="K65" i="24"/>
  <c r="K67" i="24"/>
  <c r="H65" i="24"/>
  <c r="H60" i="24"/>
  <c r="H67" i="24"/>
  <c r="N61" i="24"/>
  <c r="N68" i="24"/>
  <c r="J60" i="24"/>
  <c r="J65" i="24"/>
  <c r="J67" i="24"/>
  <c r="E61" i="24"/>
  <c r="E68" i="24"/>
  <c r="H97" i="24"/>
  <c r="G97" i="24"/>
  <c r="L97" i="24"/>
  <c r="J97" i="24"/>
  <c r="E97" i="24"/>
  <c r="F97" i="24"/>
  <c r="F94" i="24" s="1"/>
  <c r="K97" i="24"/>
  <c r="K94" i="24" s="1"/>
  <c r="G61" i="24"/>
  <c r="G68" i="24"/>
  <c r="L61" i="24"/>
  <c r="L68" i="24"/>
  <c r="F61" i="24"/>
  <c r="F68" i="24"/>
  <c r="M61" i="24"/>
  <c r="M68" i="24"/>
  <c r="I60" i="24"/>
  <c r="I65" i="24"/>
  <c r="I67" i="24"/>
  <c r="E53" i="10"/>
  <c r="I61" i="24"/>
  <c r="I68" i="24"/>
  <c r="E71" i="10"/>
  <c r="D60" i="24"/>
  <c r="D65" i="24"/>
  <c r="D67" i="24"/>
  <c r="D69" i="24" s="1"/>
  <c r="L60" i="24"/>
  <c r="L65" i="24"/>
  <c r="L67" i="24"/>
  <c r="K61" i="24"/>
  <c r="K68" i="24"/>
  <c r="J61" i="24"/>
  <c r="J68" i="24"/>
  <c r="F60" i="24"/>
  <c r="F65" i="24"/>
  <c r="F67" i="24"/>
  <c r="F69" i="24" s="1"/>
  <c r="M60" i="24"/>
  <c r="M65" i="24"/>
  <c r="M67" i="24"/>
  <c r="M69" i="24" s="1"/>
  <c r="D78" i="10"/>
  <c r="D97" i="24"/>
  <c r="D94" i="24" s="1"/>
  <c r="F86" i="24"/>
  <c r="E89" i="24"/>
  <c r="E74" i="10" s="1"/>
  <c r="E73" i="10"/>
  <c r="D72" i="10"/>
  <c r="C32" i="10"/>
  <c r="C33" i="10"/>
  <c r="C34" i="10"/>
  <c r="E32" i="10"/>
  <c r="E34" i="10"/>
  <c r="E33" i="10"/>
  <c r="C69" i="10"/>
  <c r="K31" i="10"/>
  <c r="F52" i="10"/>
  <c r="F73" i="10"/>
  <c r="H34" i="10"/>
  <c r="H33" i="10"/>
  <c r="H32" i="10"/>
  <c r="N33" i="10"/>
  <c r="N32" i="10"/>
  <c r="N34" i="10"/>
  <c r="C50" i="10"/>
  <c r="C56" i="10" s="1"/>
  <c r="K34" i="10"/>
  <c r="K33" i="10"/>
  <c r="K32" i="10"/>
  <c r="M31" i="10"/>
  <c r="D34" i="10"/>
  <c r="D33" i="10"/>
  <c r="D32" i="10"/>
  <c r="C70" i="10"/>
  <c r="M32" i="10"/>
  <c r="M34" i="10"/>
  <c r="M33" i="10"/>
  <c r="J33" i="10"/>
  <c r="J32" i="10"/>
  <c r="J34" i="10"/>
  <c r="I32" i="10"/>
  <c r="I34" i="10"/>
  <c r="I33" i="10"/>
  <c r="F33" i="10"/>
  <c r="F32" i="10"/>
  <c r="F34" i="10"/>
  <c r="G34" i="10"/>
  <c r="G33" i="10"/>
  <c r="G32" i="10"/>
  <c r="C49" i="10"/>
  <c r="K30" i="10"/>
  <c r="D49" i="10"/>
  <c r="D55" i="10" s="1"/>
  <c r="E69" i="24" l="1"/>
  <c r="C94" i="24"/>
  <c r="C30" i="10"/>
  <c r="E78" i="10"/>
  <c r="D62" i="24"/>
  <c r="K69" i="24"/>
  <c r="M30" i="10"/>
  <c r="F62" i="24"/>
  <c r="N36" i="10"/>
  <c r="E58" i="10"/>
  <c r="E39" i="10" s="1"/>
  <c r="C37" i="10"/>
  <c r="N37" i="10"/>
  <c r="I31" i="10"/>
  <c r="I37" i="10" s="1"/>
  <c r="L62" i="24"/>
  <c r="I30" i="10"/>
  <c r="I36" i="10" s="1"/>
  <c r="N62" i="24"/>
  <c r="F31" i="10"/>
  <c r="F37" i="10" s="1"/>
  <c r="D30" i="10"/>
  <c r="D36" i="10" s="1"/>
  <c r="H62" i="24"/>
  <c r="M62" i="24"/>
  <c r="D31" i="10"/>
  <c r="D37" i="10" s="1"/>
  <c r="G86" i="24"/>
  <c r="G71" i="10" s="1"/>
  <c r="F89" i="24"/>
  <c r="L69" i="24"/>
  <c r="E94" i="24"/>
  <c r="E31" i="10"/>
  <c r="E37" i="10" s="1"/>
  <c r="H94" i="24"/>
  <c r="H30" i="10"/>
  <c r="H36" i="10" s="1"/>
  <c r="H31" i="10"/>
  <c r="H37" i="10" s="1"/>
  <c r="E62" i="24"/>
  <c r="F51" i="10"/>
  <c r="I62" i="24"/>
  <c r="J94" i="24"/>
  <c r="J31" i="10"/>
  <c r="J37" i="10" s="1"/>
  <c r="J62" i="24"/>
  <c r="H69" i="24"/>
  <c r="J30" i="10"/>
  <c r="J36" i="10" s="1"/>
  <c r="G62" i="24"/>
  <c r="C62" i="24"/>
  <c r="L94" i="24"/>
  <c r="L31" i="10"/>
  <c r="L37" i="10" s="1"/>
  <c r="L30" i="10"/>
  <c r="L36" i="10" s="1"/>
  <c r="K62" i="24"/>
  <c r="N69" i="24"/>
  <c r="G69" i="24"/>
  <c r="E30" i="10"/>
  <c r="E36" i="10" s="1"/>
  <c r="F71" i="10"/>
  <c r="F78" i="10" s="1"/>
  <c r="F53" i="10"/>
  <c r="E87" i="24"/>
  <c r="E84" i="24" s="1"/>
  <c r="E72" i="10" s="1"/>
  <c r="I69" i="24"/>
  <c r="G94" i="24"/>
  <c r="G30" i="10"/>
  <c r="G36" i="10" s="1"/>
  <c r="G31" i="10"/>
  <c r="G37" i="10" s="1"/>
  <c r="J69" i="24"/>
  <c r="F30" i="10"/>
  <c r="F36" i="10" s="1"/>
  <c r="C69" i="24"/>
  <c r="K36" i="10"/>
  <c r="K37" i="10"/>
  <c r="D69" i="10"/>
  <c r="D75" i="10" s="1"/>
  <c r="M37" i="10"/>
  <c r="D50" i="10"/>
  <c r="D56" i="10" s="1"/>
  <c r="G53" i="10"/>
  <c r="D70" i="10"/>
  <c r="D76" i="10" s="1"/>
  <c r="F74" i="10"/>
  <c r="M36" i="10"/>
  <c r="F58" i="10" l="1"/>
  <c r="F39" i="10" s="1"/>
  <c r="F70" i="24"/>
  <c r="F81" i="24" s="1"/>
  <c r="N70" i="24"/>
  <c r="N81" i="24" s="1"/>
  <c r="F76" i="24"/>
  <c r="F77" i="24" s="1"/>
  <c r="F80" i="24" s="1"/>
  <c r="L70" i="24"/>
  <c r="L81" i="24" s="1"/>
  <c r="E70" i="24"/>
  <c r="E81" i="24" s="1"/>
  <c r="K70" i="24"/>
  <c r="K81" i="24" s="1"/>
  <c r="C70" i="24"/>
  <c r="C81" i="24" s="1"/>
  <c r="E88" i="24"/>
  <c r="E85" i="24" s="1"/>
  <c r="M70" i="24"/>
  <c r="M81" i="24" s="1"/>
  <c r="G89" i="24"/>
  <c r="G74" i="10" s="1"/>
  <c r="H86" i="24"/>
  <c r="H52" i="10" s="1"/>
  <c r="G73" i="10"/>
  <c r="G78" i="10" s="1"/>
  <c r="G51" i="10"/>
  <c r="G58" i="10" s="1"/>
  <c r="G39" i="10" s="1"/>
  <c r="G52" i="10"/>
  <c r="J70" i="24"/>
  <c r="J81" i="24" s="1"/>
  <c r="I70" i="24"/>
  <c r="I81" i="24" s="1"/>
  <c r="G70" i="24"/>
  <c r="G81" i="24" s="1"/>
  <c r="H70" i="24"/>
  <c r="H81" i="24" s="1"/>
  <c r="D70" i="24"/>
  <c r="D81" i="24" s="1"/>
  <c r="F87" i="24"/>
  <c r="F84" i="24" s="1"/>
  <c r="E69" i="10"/>
  <c r="E75" i="10" s="1"/>
  <c r="F72" i="10"/>
  <c r="E70" i="10"/>
  <c r="E76" i="10" s="1"/>
  <c r="E49" i="10"/>
  <c r="E55" i="10" s="1"/>
  <c r="H53" i="10" l="1"/>
  <c r="H51" i="10"/>
  <c r="H58" i="10" s="1"/>
  <c r="H39" i="10" s="1"/>
  <c r="H71" i="10"/>
  <c r="F88" i="24"/>
  <c r="F70" i="10" s="1"/>
  <c r="F76" i="10" s="1"/>
  <c r="H73" i="10"/>
  <c r="F91" i="10"/>
  <c r="E50" i="10"/>
  <c r="E56" i="10" s="1"/>
  <c r="N76" i="24"/>
  <c r="N77" i="24" s="1"/>
  <c r="N80" i="24" s="1"/>
  <c r="G76" i="24"/>
  <c r="M76" i="24"/>
  <c r="I76" i="24"/>
  <c r="I77" i="24" s="1"/>
  <c r="I80" i="24" s="1"/>
  <c r="L76" i="24"/>
  <c r="L77" i="24" s="1"/>
  <c r="L80" i="24" s="1"/>
  <c r="E76" i="24"/>
  <c r="E77" i="24" s="1"/>
  <c r="E80" i="24" s="1"/>
  <c r="F69" i="10"/>
  <c r="F75" i="10" s="1"/>
  <c r="D76" i="24"/>
  <c r="D77" i="24" s="1"/>
  <c r="D80" i="24" s="1"/>
  <c r="J76" i="24"/>
  <c r="J77" i="24" s="1"/>
  <c r="J80" i="24" s="1"/>
  <c r="H89" i="24"/>
  <c r="I86" i="24"/>
  <c r="I53" i="10" s="1"/>
  <c r="C76" i="24"/>
  <c r="C77" i="24" s="1"/>
  <c r="C80" i="24" s="1"/>
  <c r="O81" i="24"/>
  <c r="N79" i="24"/>
  <c r="H76" i="24"/>
  <c r="G87" i="24"/>
  <c r="G84" i="24" s="1"/>
  <c r="G72" i="10" s="1"/>
  <c r="K76" i="24"/>
  <c r="K77" i="24" s="1"/>
  <c r="K80" i="24" s="1"/>
  <c r="F78" i="24"/>
  <c r="F90" i="10" s="1"/>
  <c r="F79" i="24"/>
  <c r="I52" i="10"/>
  <c r="I51" i="10"/>
  <c r="I71" i="10"/>
  <c r="I73" i="10"/>
  <c r="F50" i="10" l="1"/>
  <c r="F56" i="10" s="1"/>
  <c r="H78" i="10"/>
  <c r="G88" i="24"/>
  <c r="G85" i="24" s="1"/>
  <c r="F85" i="24"/>
  <c r="F49" i="10"/>
  <c r="F55" i="10" s="1"/>
  <c r="J91" i="10"/>
  <c r="L91" i="10"/>
  <c r="G91" i="10"/>
  <c r="F92" i="10"/>
  <c r="M91" i="10"/>
  <c r="I78" i="10"/>
  <c r="N89" i="10"/>
  <c r="N88" i="10"/>
  <c r="N91" i="10"/>
  <c r="F89" i="10"/>
  <c r="F95" i="10" s="1"/>
  <c r="F88" i="10"/>
  <c r="F94" i="10" s="1"/>
  <c r="K91" i="10"/>
  <c r="H91" i="10"/>
  <c r="D91" i="10"/>
  <c r="E91" i="10"/>
  <c r="I91" i="10"/>
  <c r="H79" i="24"/>
  <c r="I78" i="24"/>
  <c r="I90" i="10" s="1"/>
  <c r="I79" i="24"/>
  <c r="H87" i="24"/>
  <c r="H84" i="24" s="1"/>
  <c r="H72" i="10" s="1"/>
  <c r="H77" i="24"/>
  <c r="H80" i="24" s="1"/>
  <c r="N78" i="24"/>
  <c r="N90" i="10" s="1"/>
  <c r="C78" i="24"/>
  <c r="C79" i="24"/>
  <c r="C89" i="10" s="1"/>
  <c r="D78" i="24"/>
  <c r="D90" i="10" s="1"/>
  <c r="D79" i="24"/>
  <c r="L79" i="24"/>
  <c r="L78" i="24"/>
  <c r="L90" i="10" s="1"/>
  <c r="G79" i="24"/>
  <c r="M79" i="24"/>
  <c r="H74" i="10"/>
  <c r="K79" i="24"/>
  <c r="K78" i="24"/>
  <c r="K92" i="10" s="1"/>
  <c r="J86" i="24"/>
  <c r="J51" i="10" s="1"/>
  <c r="I89" i="24"/>
  <c r="J78" i="24"/>
  <c r="J90" i="10" s="1"/>
  <c r="J79" i="24"/>
  <c r="E78" i="24"/>
  <c r="E92" i="10" s="1"/>
  <c r="E79" i="24"/>
  <c r="M77" i="24"/>
  <c r="M80" i="24" s="1"/>
  <c r="G77" i="24"/>
  <c r="G80" i="24" s="1"/>
  <c r="G69" i="10"/>
  <c r="G75" i="10" s="1"/>
  <c r="I58" i="10"/>
  <c r="I39" i="10" s="1"/>
  <c r="G70" i="10"/>
  <c r="G76" i="10" s="1"/>
  <c r="J53" i="10"/>
  <c r="G49" i="10"/>
  <c r="G55" i="10" s="1"/>
  <c r="J73" i="10" l="1"/>
  <c r="D92" i="10"/>
  <c r="J71" i="10"/>
  <c r="J78" i="10" s="1"/>
  <c r="G50" i="10"/>
  <c r="G56" i="10" s="1"/>
  <c r="J52" i="10"/>
  <c r="C88" i="10"/>
  <c r="E90" i="10"/>
  <c r="L92" i="10"/>
  <c r="L88" i="10"/>
  <c r="L94" i="10" s="1"/>
  <c r="L89" i="10"/>
  <c r="L95" i="10" s="1"/>
  <c r="K90" i="10"/>
  <c r="N94" i="10"/>
  <c r="K88" i="10"/>
  <c r="K89" i="10"/>
  <c r="K95" i="10" s="1"/>
  <c r="G78" i="24"/>
  <c r="D88" i="10"/>
  <c r="D94" i="10" s="1"/>
  <c r="D89" i="10"/>
  <c r="D95" i="10" s="1"/>
  <c r="I89" i="10"/>
  <c r="I95" i="10" s="1"/>
  <c r="I88" i="10"/>
  <c r="I94" i="10" s="1"/>
  <c r="I92" i="10"/>
  <c r="N95" i="10"/>
  <c r="J92" i="10"/>
  <c r="J89" i="10"/>
  <c r="J95" i="10" s="1"/>
  <c r="J88" i="10"/>
  <c r="J94" i="10" s="1"/>
  <c r="M89" i="10"/>
  <c r="M95" i="10" s="1"/>
  <c r="M88" i="10"/>
  <c r="E89" i="10"/>
  <c r="E95" i="10" s="1"/>
  <c r="E88" i="10"/>
  <c r="G89" i="10"/>
  <c r="G95" i="10" s="1"/>
  <c r="G88" i="10"/>
  <c r="N92" i="10"/>
  <c r="H88" i="10"/>
  <c r="H89" i="10"/>
  <c r="H95" i="10" s="1"/>
  <c r="I87" i="24"/>
  <c r="I84" i="24" s="1"/>
  <c r="I72" i="10" s="1"/>
  <c r="K86" i="24"/>
  <c r="K53" i="10" s="1"/>
  <c r="J89" i="24"/>
  <c r="J74" i="10" s="1"/>
  <c r="H88" i="24"/>
  <c r="H78" i="24"/>
  <c r="I74" i="10"/>
  <c r="M78" i="24"/>
  <c r="J58" i="10"/>
  <c r="J39" i="10" s="1"/>
  <c r="K73" i="10" l="1"/>
  <c r="E94" i="10"/>
  <c r="K94" i="10"/>
  <c r="G92" i="10"/>
  <c r="G90" i="10"/>
  <c r="G94" i="10" s="1"/>
  <c r="M90" i="10"/>
  <c r="M94" i="10" s="1"/>
  <c r="M92" i="10"/>
  <c r="K52" i="10"/>
  <c r="H92" i="10"/>
  <c r="H90" i="10"/>
  <c r="H94" i="10" s="1"/>
  <c r="K51" i="10"/>
  <c r="K58" i="10" s="1"/>
  <c r="K39" i="10" s="1"/>
  <c r="K71" i="10"/>
  <c r="K78" i="10" s="1"/>
  <c r="H85" i="24"/>
  <c r="H69" i="10"/>
  <c r="H75" i="10" s="1"/>
  <c r="H49" i="10"/>
  <c r="H55" i="10" s="1"/>
  <c r="H50" i="10"/>
  <c r="H56" i="10" s="1"/>
  <c r="H70" i="10"/>
  <c r="H76" i="10" s="1"/>
  <c r="J87" i="24"/>
  <c r="J84" i="24" s="1"/>
  <c r="J72" i="10" s="1"/>
  <c r="K89" i="24"/>
  <c r="L86" i="24"/>
  <c r="L73" i="10" s="1"/>
  <c r="I88" i="24"/>
  <c r="I50" i="10" s="1"/>
  <c r="I56" i="10" s="1"/>
  <c r="I69" i="10"/>
  <c r="I75" i="10" s="1"/>
  <c r="I70" i="10"/>
  <c r="I76" i="10" s="1"/>
  <c r="L51" i="10" l="1"/>
  <c r="J88" i="24"/>
  <c r="J85" i="24" s="1"/>
  <c r="L89" i="24"/>
  <c r="L74" i="10" s="1"/>
  <c r="M86" i="24"/>
  <c r="M73" i="10" s="1"/>
  <c r="K87" i="24"/>
  <c r="K84" i="24" s="1"/>
  <c r="K72" i="10" s="1"/>
  <c r="L52" i="10"/>
  <c r="K74" i="10"/>
  <c r="L71" i="10"/>
  <c r="L78" i="10" s="1"/>
  <c r="L53" i="10"/>
  <c r="L58" i="10" s="1"/>
  <c r="L39" i="10" s="1"/>
  <c r="I85" i="24"/>
  <c r="I49" i="10"/>
  <c r="I55" i="10" s="1"/>
  <c r="M51" i="10"/>
  <c r="M53" i="10"/>
  <c r="J70" i="10" l="1"/>
  <c r="J76" i="10" s="1"/>
  <c r="J49" i="10"/>
  <c r="J55" i="10" s="1"/>
  <c r="J50" i="10"/>
  <c r="J56" i="10" s="1"/>
  <c r="J69" i="10"/>
  <c r="J75" i="10" s="1"/>
  <c r="M89" i="24"/>
  <c r="M74" i="10" s="1"/>
  <c r="N86" i="24"/>
  <c r="N89" i="24" s="1"/>
  <c r="M71" i="10"/>
  <c r="M52" i="10"/>
  <c r="K88" i="24"/>
  <c r="K85" i="24" s="1"/>
  <c r="L87" i="24"/>
  <c r="L84" i="24" s="1"/>
  <c r="L72" i="10" s="1"/>
  <c r="M78" i="10"/>
  <c r="K69" i="10"/>
  <c r="K75" i="10" s="1"/>
  <c r="M58" i="10"/>
  <c r="M39" i="10" s="1"/>
  <c r="N51" i="10" l="1"/>
  <c r="K50" i="10"/>
  <c r="K56" i="10" s="1"/>
  <c r="K49" i="10"/>
  <c r="K55" i="10" s="1"/>
  <c r="K70" i="10"/>
  <c r="K76" i="10" s="1"/>
  <c r="N53" i="10"/>
  <c r="N52" i="10"/>
  <c r="L88" i="24"/>
  <c r="L85" i="24" s="1"/>
  <c r="N73" i="10"/>
  <c r="N87" i="24"/>
  <c r="N84" i="24" s="1"/>
  <c r="O98" i="24"/>
  <c r="N71" i="10"/>
  <c r="M87" i="24"/>
  <c r="M84" i="24" s="1"/>
  <c r="M72" i="10" s="1"/>
  <c r="N58" i="10"/>
  <c r="N39" i="10" s="1"/>
  <c r="N74" i="10"/>
  <c r="L69" i="10"/>
  <c r="L75" i="10" s="1"/>
  <c r="L50" i="10" l="1"/>
  <c r="L56" i="10" s="1"/>
  <c r="N78" i="10"/>
  <c r="L49" i="10"/>
  <c r="L55" i="10" s="1"/>
  <c r="L70" i="10"/>
  <c r="L76" i="10" s="1"/>
  <c r="M88" i="24"/>
  <c r="M85" i="24" s="1"/>
  <c r="N88" i="24"/>
  <c r="N85" i="24" s="1"/>
  <c r="N72" i="10"/>
  <c r="M70" i="10"/>
  <c r="M76" i="10" s="1"/>
  <c r="M49" i="10"/>
  <c r="M55" i="10" s="1"/>
  <c r="C72" i="10"/>
  <c r="C76" i="10" s="1"/>
  <c r="C73" i="10"/>
  <c r="M50" i="10" l="1"/>
  <c r="M56" i="10" s="1"/>
  <c r="M69" i="10"/>
  <c r="M75" i="10" s="1"/>
  <c r="N50" i="10"/>
  <c r="N56" i="10" s="1"/>
  <c r="N70" i="10"/>
  <c r="N76" i="10" s="1"/>
  <c r="N49" i="10"/>
  <c r="N55" i="10" s="1"/>
  <c r="N69" i="10"/>
  <c r="N75" i="10" s="1"/>
  <c r="C53" i="10"/>
  <c r="C51" i="10"/>
  <c r="C71" i="10"/>
  <c r="C74" i="10" l="1"/>
  <c r="D9" i="4" l="1"/>
  <c r="E9" i="4"/>
  <c r="D10" i="4"/>
  <c r="E10" i="4"/>
  <c r="D11" i="4"/>
  <c r="E11" i="4"/>
  <c r="D12" i="4"/>
  <c r="E12" i="4"/>
  <c r="D13" i="4"/>
  <c r="E13" i="4"/>
  <c r="D14" i="4"/>
  <c r="E14" i="4"/>
  <c r="D15" i="4"/>
  <c r="E15" i="4"/>
  <c r="D16" i="4"/>
  <c r="E16" i="4"/>
  <c r="D17" i="4"/>
  <c r="E17" i="4"/>
  <c r="D18" i="4"/>
  <c r="E18" i="4"/>
  <c r="D19" i="4"/>
  <c r="E19" i="4"/>
  <c r="D20" i="4"/>
  <c r="E20" i="4"/>
  <c r="D21" i="4"/>
  <c r="E21" i="4"/>
  <c r="D22" i="4"/>
  <c r="E22" i="4"/>
  <c r="D23" i="4"/>
  <c r="E23" i="4"/>
  <c r="D24" i="4"/>
  <c r="E24" i="4"/>
  <c r="D25" i="4"/>
  <c r="E25" i="4"/>
  <c r="D26" i="4"/>
  <c r="E26" i="4"/>
  <c r="D27" i="4"/>
  <c r="E27" i="4"/>
  <c r="D28" i="4"/>
  <c r="E28" i="4"/>
  <c r="D29" i="4"/>
  <c r="E29" i="4"/>
  <c r="D30" i="4"/>
  <c r="E30" i="4"/>
  <c r="D31" i="4"/>
  <c r="E31" i="4"/>
  <c r="D84" i="10" l="1"/>
  <c r="E84" i="10" s="1"/>
  <c r="F84" i="10" s="1"/>
  <c r="G84" i="10" s="1"/>
  <c r="H84" i="10" s="1"/>
  <c r="I84" i="10" s="1"/>
  <c r="J84" i="10" s="1"/>
  <c r="K84" i="10" s="1"/>
  <c r="L84" i="10" s="1"/>
  <c r="M84" i="10" s="1"/>
  <c r="N84" i="10" s="1"/>
  <c r="D65" i="10"/>
  <c r="E65" i="10" s="1"/>
  <c r="F65" i="10" s="1"/>
  <c r="G65" i="10" s="1"/>
  <c r="H65" i="10" s="1"/>
  <c r="I65" i="10" s="1"/>
  <c r="J65" i="10" s="1"/>
  <c r="K65" i="10" s="1"/>
  <c r="L65" i="10" s="1"/>
  <c r="M65" i="10" s="1"/>
  <c r="N65" i="10" s="1"/>
  <c r="D45" i="10"/>
  <c r="E45" i="10" s="1"/>
  <c r="F45" i="10" s="1"/>
  <c r="G45" i="10" s="1"/>
  <c r="H45" i="10" s="1"/>
  <c r="I45" i="10" s="1"/>
  <c r="J45" i="10" s="1"/>
  <c r="K45" i="10" s="1"/>
  <c r="L45" i="10" s="1"/>
  <c r="M45" i="10" s="1"/>
  <c r="N45" i="10" s="1"/>
  <c r="D26" i="10"/>
  <c r="E26" i="10" s="1"/>
  <c r="F26" i="10" s="1"/>
  <c r="G26" i="10" s="1"/>
  <c r="H26" i="10" s="1"/>
  <c r="I26" i="10" s="1"/>
  <c r="J26" i="10" s="1"/>
  <c r="K26" i="10" s="1"/>
  <c r="L26" i="10" s="1"/>
  <c r="M26" i="10" s="1"/>
  <c r="N26" i="10" s="1"/>
  <c r="D4" i="12"/>
  <c r="E4" i="12" s="1"/>
  <c r="F4" i="12" s="1"/>
  <c r="G4" i="12" s="1"/>
  <c r="H4" i="12" s="1"/>
  <c r="I4" i="12" s="1"/>
  <c r="J4" i="12" s="1"/>
  <c r="K4" i="12" s="1"/>
  <c r="L4" i="12" s="1"/>
  <c r="M4" i="12" s="1"/>
  <c r="N4" i="12" s="1"/>
  <c r="J16" i="12" l="1"/>
  <c r="E16" i="12"/>
  <c r="I16" i="12"/>
  <c r="I15" i="12"/>
  <c r="K15" i="12"/>
  <c r="K16" i="12"/>
  <c r="H15" i="12"/>
  <c r="H16" i="12"/>
  <c r="L15" i="12"/>
  <c r="L16" i="12"/>
  <c r="N16" i="12"/>
  <c r="N15" i="12"/>
  <c r="D15" i="12" l="1"/>
  <c r="J15" i="12"/>
  <c r="D16" i="12"/>
  <c r="M15" i="12"/>
  <c r="F16" i="12"/>
  <c r="M16" i="12"/>
  <c r="F15" i="12"/>
  <c r="G15" i="12"/>
  <c r="E15" i="12"/>
  <c r="G16" i="12"/>
  <c r="C58" i="10"/>
  <c r="C39" i="10" s="1"/>
  <c r="C15" i="12"/>
  <c r="D7" i="10"/>
  <c r="E7" i="10" s="1"/>
  <c r="F7" i="10" s="1"/>
  <c r="G7" i="10" s="1"/>
  <c r="H7" i="10" s="1"/>
  <c r="I7" i="10" s="1"/>
  <c r="J7" i="10" s="1"/>
  <c r="K7" i="10" s="1"/>
  <c r="L7" i="10" s="1"/>
  <c r="M7" i="10" s="1"/>
  <c r="N7" i="10" s="1"/>
  <c r="C14" i="10"/>
  <c r="C18" i="10" s="1"/>
  <c r="C16" i="12" l="1"/>
  <c r="C15" i="10"/>
  <c r="C13" i="10"/>
  <c r="C17" i="12"/>
  <c r="C14" i="12" l="1"/>
  <c r="C20" i="10"/>
  <c r="C78" i="10"/>
  <c r="C16" i="10" l="1"/>
  <c r="C21" i="12" s="1"/>
  <c r="A8" i="4" l="1"/>
  <c r="D8" i="4"/>
  <c r="E8" i="4"/>
  <c r="A9" i="4"/>
  <c r="A10" i="4"/>
  <c r="A11" i="4"/>
  <c r="A12" i="4"/>
  <c r="A13" i="4"/>
  <c r="A14" i="4"/>
  <c r="A15" i="4"/>
  <c r="A16" i="4"/>
  <c r="A17" i="4"/>
  <c r="A18" i="4"/>
  <c r="A19" i="4"/>
  <c r="A20" i="4"/>
  <c r="A21" i="4"/>
  <c r="J14" i="12" l="1"/>
  <c r="J17" i="12"/>
  <c r="M14" i="12"/>
  <c r="M17" i="12"/>
  <c r="I14" i="12"/>
  <c r="I17" i="12"/>
  <c r="E14" i="12"/>
  <c r="E17" i="12"/>
  <c r="N17" i="12"/>
  <c r="N14" i="12"/>
  <c r="L14" i="12"/>
  <c r="L17" i="12"/>
  <c r="H14" i="12"/>
  <c r="H17" i="12"/>
  <c r="D14" i="12"/>
  <c r="D17" i="12"/>
  <c r="F14" i="12"/>
  <c r="F17" i="12"/>
  <c r="K14" i="12"/>
  <c r="K17" i="12"/>
  <c r="G14" i="12"/>
  <c r="G17" i="12"/>
  <c r="D21" i="12"/>
  <c r="G24" i="12" l="1"/>
  <c r="I24" i="12"/>
  <c r="N24" i="12"/>
  <c r="H24" i="12"/>
  <c r="K24" i="12"/>
  <c r="F24" i="12"/>
  <c r="D24" i="12"/>
  <c r="J24" i="12"/>
  <c r="L24" i="12"/>
  <c r="M24" i="12"/>
  <c r="C24" i="12"/>
  <c r="E21" i="12"/>
  <c r="O38" i="10" l="1"/>
  <c r="O57" i="10"/>
  <c r="O19" i="10"/>
  <c r="E24" i="12"/>
  <c r="O77" i="10"/>
  <c r="C32" i="12" s="1"/>
  <c r="C30" i="12" l="1"/>
  <c r="F21" i="12"/>
  <c r="C29" i="12"/>
  <c r="C31" i="12"/>
  <c r="G21" i="12" l="1"/>
  <c r="H21" i="12" l="1"/>
  <c r="I21" i="12" l="1"/>
  <c r="C91" i="10"/>
  <c r="C95" i="10" s="1"/>
  <c r="G18" i="12"/>
  <c r="N18" i="12"/>
  <c r="C92" i="10"/>
  <c r="H18" i="12"/>
  <c r="J18" i="12"/>
  <c r="I18" i="12"/>
  <c r="P95" i="10" l="1"/>
  <c r="O99" i="10"/>
  <c r="J21" i="12"/>
  <c r="C90" i="10"/>
  <c r="C18" i="12" s="1"/>
  <c r="K18" i="12"/>
  <c r="L18" i="12" l="1"/>
  <c r="D18" i="12"/>
  <c r="K21" i="12"/>
  <c r="M18" i="12"/>
  <c r="F18" i="12"/>
  <c r="E18" i="12"/>
  <c r="L21" i="12" l="1"/>
  <c r="M21" i="12" l="1"/>
  <c r="N21" i="12"/>
  <c r="O96" i="10" l="1"/>
  <c r="O80" i="10"/>
  <c r="O22" i="10"/>
  <c r="O41" i="10"/>
  <c r="O60" i="10"/>
  <c r="C33" i="12" l="1"/>
  <c r="P18" i="10"/>
  <c r="P76" i="10"/>
  <c r="P56" i="10"/>
  <c r="P37" i="10"/>
  <c r="E10" i="12" l="1"/>
  <c r="L7" i="12"/>
  <c r="J8" i="12"/>
  <c r="D11" i="12"/>
  <c r="D10" i="12"/>
  <c r="F9" i="12"/>
  <c r="G8" i="12"/>
  <c r="M8" i="12"/>
  <c r="I11" i="12"/>
  <c r="I9" i="12"/>
  <c r="N9" i="12"/>
  <c r="H9" i="12"/>
  <c r="K8" i="12"/>
  <c r="E11" i="12"/>
  <c r="E8" i="12"/>
  <c r="L9" i="12"/>
  <c r="J10" i="12"/>
  <c r="D8" i="12"/>
  <c r="F11" i="12"/>
  <c r="F8" i="12"/>
  <c r="G9" i="12"/>
  <c r="M9" i="12"/>
  <c r="I8" i="12"/>
  <c r="N11" i="12"/>
  <c r="N7" i="12"/>
  <c r="H7" i="12"/>
  <c r="K10" i="12"/>
  <c r="E9" i="12"/>
  <c r="L11" i="12"/>
  <c r="L10" i="12"/>
  <c r="J7" i="12"/>
  <c r="D9" i="12"/>
  <c r="F7" i="12"/>
  <c r="G11" i="12"/>
  <c r="G7" i="12"/>
  <c r="M10" i="12"/>
  <c r="I7" i="12"/>
  <c r="N10" i="12"/>
  <c r="H11" i="12"/>
  <c r="H10" i="12"/>
  <c r="K9" i="12"/>
  <c r="E7" i="12"/>
  <c r="L8" i="12"/>
  <c r="J11" i="12"/>
  <c r="J9" i="12"/>
  <c r="D7" i="12"/>
  <c r="F10" i="12"/>
  <c r="G10" i="12"/>
  <c r="M11" i="12"/>
  <c r="M7" i="12"/>
  <c r="I10" i="12"/>
  <c r="N8" i="12"/>
  <c r="H8" i="12"/>
  <c r="K11" i="12"/>
  <c r="K7" i="12"/>
  <c r="C94" i="10"/>
  <c r="O98" i="10" s="1"/>
  <c r="C11" i="12"/>
  <c r="C17" i="10"/>
  <c r="O21" i="10" s="1"/>
  <c r="C7" i="12"/>
  <c r="C9" i="12"/>
  <c r="C55" i="10"/>
  <c r="O59" i="10" s="1"/>
  <c r="C8" i="12"/>
  <c r="C36" i="10"/>
  <c r="O40" i="10" s="1"/>
  <c r="C75" i="10"/>
  <c r="O79" i="10" s="1"/>
  <c r="C10" i="12"/>
  <c r="P94" i="10" l="1"/>
  <c r="P75" i="10"/>
  <c r="P17" i="10"/>
  <c r="P55" i="10"/>
  <c r="H29" i="12"/>
  <c r="P36" i="10"/>
  <c r="O61" i="10" l="1"/>
  <c r="O62" i="10" s="1"/>
  <c r="H31" i="12"/>
  <c r="O42" i="10"/>
  <c r="O43" i="10" s="1"/>
  <c r="H30" i="12"/>
  <c r="O100" i="10"/>
  <c r="O101" i="10" s="1"/>
  <c r="H33" i="12"/>
  <c r="O81" i="10"/>
  <c r="O82" i="10" s="1"/>
  <c r="H32" i="12"/>
  <c r="O23" i="10"/>
  <c r="O24" i="10" s="1"/>
  <c r="E33" i="12" l="1"/>
  <c r="E31" i="12"/>
  <c r="E32" i="12"/>
  <c r="E29" i="12"/>
  <c r="E30" i="12"/>
  <c r="G33" i="12"/>
  <c r="G30" i="12" l="1"/>
  <c r="G31" i="12"/>
  <c r="G29" i="12"/>
  <c r="G32" i="12"/>
</calcChain>
</file>

<file path=xl/sharedStrings.xml><?xml version="1.0" encoding="utf-8"?>
<sst xmlns="http://schemas.openxmlformats.org/spreadsheetml/2006/main" count="276" uniqueCount="134">
  <si>
    <t>HLH</t>
  </si>
  <si>
    <t>LLH</t>
  </si>
  <si>
    <t>All Hours</t>
  </si>
  <si>
    <t>Average</t>
  </si>
  <si>
    <t>BP-26 Embedded Cost</t>
  </si>
  <si>
    <t>Total</t>
  </si>
  <si>
    <t>Slice Rate</t>
  </si>
  <si>
    <t>Hours</t>
  </si>
  <si>
    <t>Total Energy</t>
  </si>
  <si>
    <t>HLH MWh</t>
  </si>
  <si>
    <t>LLH MWh</t>
  </si>
  <si>
    <t>PLVS Rate</t>
  </si>
  <si>
    <t>Block with PNR Shaping Capacity + PLVS</t>
  </si>
  <si>
    <t>RICm</t>
  </si>
  <si>
    <t>Effective Rate TRM</t>
  </si>
  <si>
    <t>RICc (dollars)</t>
  </si>
  <si>
    <t>RICc</t>
  </si>
  <si>
    <t>Total Charges TRM</t>
  </si>
  <si>
    <t>Composite TRM</t>
  </si>
  <si>
    <t>Annual</t>
  </si>
  <si>
    <t>X Variable 1</t>
  </si>
  <si>
    <t>Intercept</t>
  </si>
  <si>
    <t>Upper 95.0%</t>
  </si>
  <si>
    <t>Lower 95.0%</t>
  </si>
  <si>
    <t>Upper 95%</t>
  </si>
  <si>
    <t>Lower 95%</t>
  </si>
  <si>
    <t>P-value</t>
  </si>
  <si>
    <t>t Stat</t>
  </si>
  <si>
    <t>Standard Error</t>
  </si>
  <si>
    <t>Coefficients</t>
  </si>
  <si>
    <t>Residual</t>
  </si>
  <si>
    <t>Regression</t>
  </si>
  <si>
    <t>Significance F</t>
  </si>
  <si>
    <t>F</t>
  </si>
  <si>
    <t>MS</t>
  </si>
  <si>
    <t>SS</t>
  </si>
  <si>
    <t>df</t>
  </si>
  <si>
    <t>ANOVA</t>
  </si>
  <si>
    <t>Observations</t>
  </si>
  <si>
    <t>Adjusted R Square</t>
  </si>
  <si>
    <t>R Square</t>
  </si>
  <si>
    <t>Multiple R</t>
  </si>
  <si>
    <t>Regression Statistics</t>
  </si>
  <si>
    <t>Charge+</t>
  </si>
  <si>
    <t>RIC-M Charge</t>
  </si>
  <si>
    <t>Percent decrease</t>
  </si>
  <si>
    <t>Decrease %</t>
  </si>
  <si>
    <t>filter</t>
  </si>
  <si>
    <t>SUMMARY OUTPUT</t>
  </si>
  <si>
    <t>Rate Impact Charge - RIC-M</t>
  </si>
  <si>
    <t>BP-26 T1SFCO</t>
  </si>
  <si>
    <t>HLH Allocation Factor</t>
  </si>
  <si>
    <t>LLH Allocation Factor</t>
  </si>
  <si>
    <t>Monthly %s</t>
  </si>
  <si>
    <t>Summary Rate Calculations</t>
  </si>
  <si>
    <t>Slice Block (Block Only)</t>
  </si>
  <si>
    <t>The MWhs are reduced to Tier 1 only --&gt;</t>
  </si>
  <si>
    <t>CHWM Augmented --&gt;</t>
  </si>
  <si>
    <t>Uses Rate Discount Model Results --&gt;</t>
  </si>
  <si>
    <t xml:space="preserve">BP-26 Demand Rates </t>
  </si>
  <si>
    <t>Demand Charges</t>
  </si>
  <si>
    <t>PLVS Charges</t>
  </si>
  <si>
    <t>Energy Charges (Composite + Non-Slice)</t>
  </si>
  <si>
    <t>LF</t>
  </si>
  <si>
    <t>Block Shaped</t>
  </si>
  <si>
    <t>Block PNR + PLVS</t>
  </si>
  <si>
    <t>Block 10</t>
  </si>
  <si>
    <t>Block, Slice</t>
  </si>
  <si>
    <t>w/RICm</t>
  </si>
  <si>
    <t>w/o RICm</t>
  </si>
  <si>
    <t xml:space="preserve">Effective Rates </t>
  </si>
  <si>
    <t>* Note:  this product has an annual profile based on slice - not a customer's net requirement</t>
  </si>
  <si>
    <t>* this product allows some shape to the flat block between HLH and LLH hours, which will induce a demand charge</t>
  </si>
  <si>
    <t>Product</t>
  </si>
  <si>
    <t>5. RICm amounts will depend on product selection of all PF customers… so it can only be approximated as a best guess at this point in time</t>
  </si>
  <si>
    <t>1. Load Following product-design makes simplistic assumptions on customer owned non-federal resources.  If you have non-federal resources, additional considerations will apply.</t>
  </si>
  <si>
    <t>2. Block Products allow customer to leverage non-federal resources. Shaping variation above a flat block will induce a demand charge on that capacity delta between the peak and average monthly values.</t>
  </si>
  <si>
    <t>4. A flat annual block does not trigger a demand charge, but any shaping of the block within a given month will (ie, HLH-LLH shaping in the Shaped Block, or any additional shaping allowed by BWS)</t>
  </si>
  <si>
    <t>3. Annual block shapes calculated use a similar methodology to TRM, where the amount of a customer's net requirement energy not served by Slice (in the shape of the firm federal system) is used to shape the block need, with the adjustment that the amount of slice under POC is set to 50% of load (rather than under the TRM, where the Slice percent is fixed for the contract term, and load variation is absorbed by only the Block).  The calculation is the same for Block only, but with Slice assumed as zero.</t>
  </si>
  <si>
    <t>6. While all products will have RICc calculated for use, the RICc will only be applied to LF and non-slice block products (it  will not apply to the Slice-Block Product).</t>
  </si>
  <si>
    <t>7. Under current assumptions, the RICm program applies only to customers seeing effective rates greater  2%, and less than roughly 2%, based on load, product elections, and components affecting the RICc (such as marginal and embedded demand rates).</t>
  </si>
  <si>
    <t>Energy Charge, Composite</t>
  </si>
  <si>
    <t>Energy Charge, Non Slice</t>
  </si>
  <si>
    <t>Demand Charge @ Marginal</t>
  </si>
  <si>
    <t>Demand Charge TRM</t>
  </si>
  <si>
    <t>Demand Charge @ Embedded</t>
  </si>
  <si>
    <r>
      <t>PLVS</t>
    </r>
    <r>
      <rPr>
        <sz val="11"/>
        <rFont val="Aptos Narrow"/>
        <family val="2"/>
        <scheme val="minor"/>
      </rPr>
      <t xml:space="preserve"> Charge</t>
    </r>
  </si>
  <si>
    <t>Total Charges PRDM</t>
  </si>
  <si>
    <t>Unmitigated Effective Rate PRDM after RICc</t>
  </si>
  <si>
    <t>Effective Rate PRDM after RICm</t>
  </si>
  <si>
    <t>Load Following Charges</t>
  </si>
  <si>
    <t>CHWM (MW)</t>
  </si>
  <si>
    <t>Total Retail Load (aMW)</t>
  </si>
  <si>
    <t>Slice Resource (Calculated)</t>
  </si>
  <si>
    <t>CDQ (for TRM only)</t>
  </si>
  <si>
    <t>BP-26 Load Shaping Rates (TRM)</t>
  </si>
  <si>
    <t>Instructions</t>
  </si>
  <si>
    <t>For customers with NLSLs, the values input here should exclude those loads.</t>
  </si>
  <si>
    <t>Input the gold values only.  Everything else is a calculation and should not be altered.</t>
  </si>
  <si>
    <t>8. Effective rates are a function of many things (the Revenue Requirement, Energy Rates, Demand Charge, PLVS Charge, RICc, and RICm) and results will change depending on inputs into the Discount model used to calculated RICc and RICm.  The discount model was last calculated to BP-26 Initial Proposal.</t>
  </si>
  <si>
    <t>Net Requirements: Exhibit A dedicated resources and resources serving NLSLs should be subtracted from TRL before being entered into these cells. It is ok to leave in Above CHWM load.</t>
  </si>
  <si>
    <t>BPA provides this model as an indicative-only estimate of comparative effective rates across various product choices under Provider of Choice.  No warrantees are made and BPA is not responsible for any choices any customer may make utilizing this tool.</t>
  </si>
  <si>
    <t>Effective Rate Before Discounts</t>
  </si>
  <si>
    <t>Flat Block</t>
  </si>
  <si>
    <t>Block Monthly Shaping</t>
  </si>
  <si>
    <t>Shaped Block</t>
  </si>
  <si>
    <t>Peak Net Requirement (MW)</t>
  </si>
  <si>
    <t>&lt;--- Diurnal Shaping</t>
  </si>
  <si>
    <t>HLH (aMW)</t>
  </si>
  <si>
    <t>LLH (aMW)</t>
  </si>
  <si>
    <t>HLH Tier 1 (aMW)</t>
  </si>
  <si>
    <t>LLH Tier 1 (aMW)</t>
  </si>
  <si>
    <t>&lt;--- Assumed Slice</t>
  </si>
  <si>
    <t>&lt;---aMW Above CHWM Load</t>
  </si>
  <si>
    <t>CSP can include Above CHWM load but should exclude the same Exhibit A and non-federal resources serving NLSL load as in the Net Requirement.</t>
  </si>
  <si>
    <t>Block Monthly Shape %</t>
  </si>
  <si>
    <t>To shape the block between HLH and LLH period, select "60percentHLH" in cell G15.</t>
  </si>
  <si>
    <t xml:space="preserve">Block under Slice Block Net Requirement </t>
  </si>
  <si>
    <t>* This tool approximates effective rates across product choices in a very simplistic way, and focuses on core rate-design elements discussed in PRDM processes summer 2024</t>
  </si>
  <si>
    <t>* Things to note:  the slice-block and other block products have a different underlying shape, and energy content - so be mindful of that when comparing end results. See notes tab for more.</t>
  </si>
  <si>
    <t>*The block with shaping capacity could allow the customer to shape more into HLH and less into LLH which is not considered in these energy charges.</t>
  </si>
  <si>
    <t>CSP (MW)</t>
  </si>
  <si>
    <t>Gross Net Requirement (aMW) - including any Above CHWM load</t>
  </si>
  <si>
    <t>NEW: 0.2 version implements 60/40 shaping for the 10% block and PNR Block products in addition to Block with Shaping, because the capacity can be used to achieve this shaping.  User input g16 applies to all of these products.</t>
  </si>
  <si>
    <t>60percentHLH</t>
  </si>
  <si>
    <t xml:space="preserve">Shaping Assumption into HLH Periods for Block </t>
  </si>
  <si>
    <t>NEW: 0.3 version implements within-month flat-only Block shape for Slice Block Product</t>
  </si>
  <si>
    <t>Composite Rate</t>
  </si>
  <si>
    <t>Non-Slice TRM</t>
  </si>
  <si>
    <t>Non-Slice Rate (Composite Embedded) under PRDM</t>
  </si>
  <si>
    <t>Non-Slice Rate (Composite Embedded) under TRM</t>
  </si>
  <si>
    <t>NEW: 0.4 version updates the input rates to one singular Composite Rate and a shaped set of Non-Slice rates, with the Composite Rate embedded, consistent  with the PRDM design change</t>
  </si>
  <si>
    <t>Product Choice Model v 0.5 (beta)</t>
  </si>
  <si>
    <t>NEW: 0.5 version includes RICc costs in Non-Slice rates rather than separate adder.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</si>
</sst>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409]mmm\-yy;@"/>
    <numFmt numFmtId="165" formatCode="_(* #,##0_);_(* \(#,##0\);_(* &quot;-&quot;??_);_(@_)"/>
    <numFmt numFmtId="166" formatCode="0.0000000%"/>
    <numFmt numFmtId="167" formatCode="_(* #,##0.000_);_(* \(#,##0.000\);_(* &quot;-&quot;??_);_(@_)"/>
    <numFmt numFmtId="168" formatCode="_(* #,##0.0000_);_(* \(#,##0.0000\);_(* &quot;-&quot;??_);_(@_)"/>
    <numFmt numFmtId="169" formatCode="_(* #,##0.000_);_(* \(#,##0.000\);_(* &quot;-&quot;???_);_(@_)"/>
  </numFmts>
  <fonts count="23" x14ac:knownFonts="1">
    <font>
      <sz val="11"/>
      <color theme="1"/>
      <name val="Aptos Narrow"/>
      <family val="2"/>
      <scheme val="minor"/>
    </font>
    <font>
      <sz val="11"/>
      <color theme="1"/>
      <name val="Aptos Narrow"/>
      <family val="2"/>
      <scheme val="minor"/>
    </font>
    <font>
      <b/>
      <sz val="11"/>
      <color theme="1"/>
      <name val="Aptos Narrow"/>
      <family val="2"/>
      <scheme val="minor"/>
    </font>
    <font>
      <sz val="11"/>
      <color theme="0"/>
      <name val="Aptos Narrow"/>
      <family val="2"/>
      <scheme val="minor"/>
    </font>
    <font>
      <sz val="11"/>
      <color rgb="FF000000"/>
      <name val="Aptos Narrow"/>
      <family val="2"/>
    </font>
    <font>
      <sz val="11"/>
      <color theme="0" tint="-0.499984740745262"/>
      <name val="Aptos Narrow"/>
      <family val="2"/>
      <scheme val="minor"/>
    </font>
    <font>
      <b/>
      <sz val="11"/>
      <color theme="3" tint="0.249977111117893"/>
      <name val="Aptos Narrow"/>
      <family val="2"/>
      <scheme val="minor"/>
    </font>
    <font>
      <i/>
      <sz val="11"/>
      <color theme="0" tint="-0.499984740745262"/>
      <name val="Aptos Narrow"/>
      <family val="2"/>
      <scheme val="minor"/>
    </font>
    <font>
      <i/>
      <sz val="11"/>
      <color theme="1"/>
      <name val="Aptos Narrow"/>
      <family val="2"/>
      <scheme val="minor"/>
    </font>
    <font>
      <sz val="11"/>
      <name val="Aptos Narrow"/>
      <family val="2"/>
      <scheme val="minor"/>
    </font>
    <font>
      <b/>
      <sz val="16"/>
      <color theme="3" tint="0.249977111117893"/>
      <name val="Aptos Narrow"/>
      <family val="2"/>
      <scheme val="minor"/>
    </font>
    <font>
      <b/>
      <sz val="12"/>
      <color theme="3" tint="0.249977111117893"/>
      <name val="Aptos Narrow"/>
      <family val="2"/>
      <scheme val="minor"/>
    </font>
    <font>
      <sz val="11"/>
      <color rgb="FFFF0000"/>
      <name val="Aptos Narrow"/>
      <family val="2"/>
      <scheme val="minor"/>
    </font>
    <font>
      <b/>
      <sz val="11"/>
      <color theme="5"/>
      <name val="Aptos Narrow"/>
      <family val="2"/>
      <scheme val="minor"/>
    </font>
    <font>
      <sz val="11"/>
      <color theme="5"/>
      <name val="Aptos Narrow"/>
      <family val="2"/>
      <scheme val="minor"/>
    </font>
    <font>
      <b/>
      <i/>
      <sz val="11"/>
      <color theme="1"/>
      <name val="Aptos Narrow"/>
      <family val="2"/>
      <scheme val="minor"/>
    </font>
    <font>
      <i/>
      <sz val="11"/>
      <name val="Aptos Narrow"/>
      <family val="2"/>
      <scheme val="minor"/>
    </font>
    <font>
      <b/>
      <sz val="11"/>
      <name val="Aptos Narrow"/>
      <family val="2"/>
      <scheme val="minor"/>
    </font>
    <font>
      <sz val="12"/>
      <color theme="1"/>
      <name val="Aptos Narrow"/>
      <family val="2"/>
      <scheme val="minor"/>
    </font>
    <font>
      <b/>
      <sz val="12"/>
      <color theme="1"/>
      <name val="Aptos Narrow"/>
      <family val="2"/>
      <scheme val="minor"/>
    </font>
    <font>
      <sz val="14"/>
      <color theme="1"/>
      <name val="Aptos Narrow"/>
      <family val="2"/>
      <scheme val="minor"/>
    </font>
    <font>
      <b/>
      <sz val="14"/>
      <color rgb="FFFF0000"/>
      <name val="Aptos Narrow"/>
      <family val="2"/>
      <scheme val="minor"/>
    </font>
    <font>
      <sz val="12"/>
      <color theme="9"/>
      <name val="Aptos Narrow"/>
      <family val="2"/>
      <scheme val="minor"/>
    </font>
  </fonts>
  <fills count="5">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8" tint="0.399975585192419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medium">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65">
    <xf numFmtId="0" fontId="0" fillId="0" borderId="0" xfId="0"/>
    <xf numFmtId="164" fontId="0" fillId="0" borderId="0" xfId="0" applyNumberFormat="1"/>
    <xf numFmtId="0" fontId="4" fillId="0" borderId="0" xfId="0" applyFont="1" applyAlignment="1">
      <alignment horizontal="center" vertical="center"/>
    </xf>
    <xf numFmtId="0" fontId="0" fillId="2" borderId="1" xfId="0" applyFill="1" applyBorder="1"/>
    <xf numFmtId="0" fontId="3" fillId="3" borderId="0" xfId="0" applyFont="1" applyFill="1"/>
    <xf numFmtId="43" fontId="3" fillId="3" borderId="1" xfId="1" applyFont="1" applyFill="1" applyBorder="1"/>
    <xf numFmtId="43" fontId="3" fillId="3" borderId="2" xfId="1" applyFont="1" applyFill="1" applyBorder="1"/>
    <xf numFmtId="0" fontId="5" fillId="0" borderId="0" xfId="0" applyFont="1"/>
    <xf numFmtId="165" fontId="5" fillId="0" borderId="0" xfId="1" applyNumberFormat="1" applyFont="1"/>
    <xf numFmtId="0" fontId="2" fillId="0" borderId="0" xfId="0" applyFont="1"/>
    <xf numFmtId="0" fontId="6" fillId="0" borderId="0" xfId="0" applyFont="1"/>
    <xf numFmtId="43" fontId="0" fillId="0" borderId="0" xfId="1" applyFont="1"/>
    <xf numFmtId="0" fontId="7" fillId="0" borderId="0" xfId="0" applyFont="1" applyAlignment="1">
      <alignment horizontal="left" indent="1"/>
    </xf>
    <xf numFmtId="43" fontId="5" fillId="0" borderId="0" xfId="0" applyNumberFormat="1" applyFont="1"/>
    <xf numFmtId="43" fontId="0" fillId="0" borderId="0" xfId="0" applyNumberFormat="1"/>
    <xf numFmtId="0" fontId="7" fillId="0" borderId="0" xfId="0" applyFont="1" applyAlignment="1">
      <alignment horizontal="left" indent="2"/>
    </xf>
    <xf numFmtId="165" fontId="5" fillId="0" borderId="0" xfId="0" applyNumberFormat="1" applyFont="1"/>
    <xf numFmtId="165" fontId="0" fillId="0" borderId="0" xfId="0" applyNumberFormat="1"/>
    <xf numFmtId="43" fontId="5" fillId="0" borderId="0" xfId="1" applyFont="1" applyFill="1" applyBorder="1"/>
    <xf numFmtId="166" fontId="5" fillId="0" borderId="0" xfId="2" applyNumberFormat="1" applyFont="1"/>
    <xf numFmtId="0" fontId="8" fillId="0" borderId="0" xfId="0" applyFont="1"/>
    <xf numFmtId="168" fontId="5" fillId="0" borderId="0" xfId="0" applyNumberFormat="1" applyFont="1"/>
    <xf numFmtId="167" fontId="0" fillId="2" borderId="1" xfId="1" applyNumberFormat="1" applyFont="1" applyFill="1" applyBorder="1"/>
    <xf numFmtId="167" fontId="5" fillId="0" borderId="0" xfId="1" applyNumberFormat="1" applyFont="1"/>
    <xf numFmtId="0" fontId="9" fillId="2" borderId="1" xfId="0" applyFont="1" applyFill="1" applyBorder="1"/>
    <xf numFmtId="0" fontId="10" fillId="0" borderId="0" xfId="0" applyFont="1"/>
    <xf numFmtId="0" fontId="11" fillId="0" borderId="0" xfId="0" applyFont="1"/>
    <xf numFmtId="165" fontId="12" fillId="0" borderId="0" xfId="0" applyNumberFormat="1" applyFont="1"/>
    <xf numFmtId="43" fontId="0" fillId="0" borderId="0" xfId="1" applyFont="1" applyFill="1"/>
    <xf numFmtId="0" fontId="0" fillId="0" borderId="0" xfId="0" applyAlignment="1">
      <alignment horizontal="right"/>
    </xf>
    <xf numFmtId="165" fontId="5" fillId="0" borderId="0" xfId="1" applyNumberFormat="1" applyFont="1" applyFill="1" applyBorder="1" applyAlignment="1">
      <alignment horizontal="left"/>
    </xf>
    <xf numFmtId="165" fontId="5" fillId="0" borderId="0" xfId="1" applyNumberFormat="1" applyFont="1" applyFill="1" applyBorder="1"/>
    <xf numFmtId="43" fontId="5" fillId="0" borderId="0" xfId="1" applyFont="1"/>
    <xf numFmtId="10" fontId="5" fillId="0" borderId="0" xfId="2" applyNumberFormat="1" applyFont="1"/>
    <xf numFmtId="0" fontId="0" fillId="0" borderId="0" xfId="0" applyAlignment="1">
      <alignment horizontal="center"/>
    </xf>
    <xf numFmtId="0" fontId="13" fillId="0" borderId="0" xfId="0" applyFont="1"/>
    <xf numFmtId="1" fontId="0" fillId="0" borderId="0" xfId="0" applyNumberFormat="1"/>
    <xf numFmtId="0" fontId="15" fillId="0" borderId="0" xfId="0" applyFont="1"/>
    <xf numFmtId="43" fontId="9" fillId="0" borderId="0" xfId="1" applyFont="1"/>
    <xf numFmtId="0" fontId="9" fillId="0" borderId="0" xfId="0" applyFont="1"/>
    <xf numFmtId="43" fontId="0" fillId="0" borderId="0" xfId="0" applyNumberFormat="1" applyAlignment="1">
      <alignment horizontal="center"/>
    </xf>
    <xf numFmtId="0" fontId="15" fillId="0" borderId="0" xfId="0" applyFont="1" applyAlignment="1">
      <alignment horizontal="center"/>
    </xf>
    <xf numFmtId="43" fontId="13" fillId="0" borderId="0" xfId="0" applyNumberFormat="1" applyFont="1"/>
    <xf numFmtId="164" fontId="2" fillId="0" borderId="0" xfId="0" applyNumberFormat="1" applyFont="1"/>
    <xf numFmtId="0" fontId="0" fillId="0" borderId="0" xfId="0" applyAlignment="1">
      <alignment wrapText="1"/>
    </xf>
    <xf numFmtId="0" fontId="16" fillId="0" borderId="0" xfId="0" applyFont="1" applyAlignment="1">
      <alignment horizontal="left"/>
    </xf>
    <xf numFmtId="0" fontId="14" fillId="0" borderId="0" xfId="0" applyFont="1"/>
    <xf numFmtId="0" fontId="17" fillId="0" borderId="0" xfId="0" applyFont="1"/>
    <xf numFmtId="0" fontId="18" fillId="0" borderId="0" xfId="0" applyFont="1"/>
    <xf numFmtId="0" fontId="19" fillId="0" borderId="0" xfId="0" applyFont="1"/>
    <xf numFmtId="43" fontId="3" fillId="4" borderId="1" xfId="1" applyFont="1" applyFill="1" applyBorder="1"/>
    <xf numFmtId="167" fontId="5" fillId="0" borderId="0" xfId="1" applyNumberFormat="1" applyFont="1" applyFill="1"/>
    <xf numFmtId="167" fontId="5" fillId="0" borderId="1" xfId="1" applyNumberFormat="1" applyFont="1" applyFill="1" applyBorder="1"/>
    <xf numFmtId="165" fontId="12" fillId="0" borderId="0" xfId="1" applyNumberFormat="1" applyFont="1"/>
    <xf numFmtId="169" fontId="12" fillId="0" borderId="0" xfId="0" applyNumberFormat="1" applyFont="1"/>
    <xf numFmtId="165" fontId="9" fillId="2" borderId="5" xfId="1" applyNumberFormat="1" applyFont="1" applyFill="1" applyBorder="1" applyAlignment="1">
      <alignment horizontal="center"/>
    </xf>
    <xf numFmtId="43" fontId="12" fillId="0" borderId="0" xfId="0" applyNumberFormat="1" applyFont="1"/>
    <xf numFmtId="168" fontId="0" fillId="0" borderId="0" xfId="0" applyNumberFormat="1"/>
    <xf numFmtId="167" fontId="12" fillId="0" borderId="0" xfId="1" applyNumberFormat="1" applyFont="1"/>
    <xf numFmtId="0" fontId="22" fillId="0" borderId="0" xfId="0" applyFont="1"/>
    <xf numFmtId="0" fontId="0" fillId="0" borderId="3" xfId="0" applyBorder="1"/>
    <xf numFmtId="0" fontId="8" fillId="0" borderId="4" xfId="0" applyFont="1" applyBorder="1" applyAlignment="1">
      <alignment horizontal="center"/>
    </xf>
    <xf numFmtId="0" fontId="8" fillId="0" borderId="4" xfId="0" applyFont="1" applyBorder="1" applyAlignment="1">
      <alignment horizontal="centerContinuous"/>
    </xf>
    <xf numFmtId="0" fontId="21" fillId="0" borderId="0" xfId="0" applyFont="1" applyAlignment="1">
      <alignment wrapText="1"/>
    </xf>
    <xf numFmtId="0" fontId="20" fillId="0" borderId="0" xfId="0" applyFont="1" applyAlignment="1">
      <alignment wrapText="1"/>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RICm</a:t>
            </a:r>
            <a:r>
              <a:rPr lang="en-US" baseline="0"/>
              <a:t> as a function of Percent Rate Decrease from TRM</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38100" cap="rnd">
              <a:noFill/>
              <a:round/>
            </a:ln>
            <a:effectLst/>
          </c:spPr>
          <c:marker>
            <c:symbol val="circle"/>
            <c:size val="5"/>
            <c:spPr>
              <a:solidFill>
                <a:schemeClr val="accent1"/>
              </a:solidFill>
              <a:ln w="9525">
                <a:solidFill>
                  <a:schemeClr val="accent1"/>
                </a:solidFill>
              </a:ln>
              <a:effectLst/>
            </c:spPr>
          </c:marker>
          <c:xVal>
            <c:numRef>
              <c:f>RICmCharge!$D$8:$D$21</c:f>
              <c:numCache>
                <c:formatCode>General</c:formatCode>
                <c:ptCount val="14"/>
                <c:pt idx="0">
                  <c:v>4.7536230738195382</c:v>
                </c:pt>
                <c:pt idx="1">
                  <c:v>4.2897141638818299</c:v>
                </c:pt>
                <c:pt idx="2">
                  <c:v>3.1843550976222095</c:v>
                </c:pt>
                <c:pt idx="3">
                  <c:v>2.6526441066127582</c:v>
                </c:pt>
                <c:pt idx="4">
                  <c:v>2.4065617993071102</c:v>
                </c:pt>
                <c:pt idx="5">
                  <c:v>2.3323577330374419</c:v>
                </c:pt>
                <c:pt idx="6">
                  <c:v>2.2154640174960689</c:v>
                </c:pt>
                <c:pt idx="7">
                  <c:v>1.9735954968355556</c:v>
                </c:pt>
                <c:pt idx="8">
                  <c:v>1.945930966987617</c:v>
                </c:pt>
                <c:pt idx="9">
                  <c:v>1.5604672132752497</c:v>
                </c:pt>
                <c:pt idx="10">
                  <c:v>1.3219104487823774</c:v>
                </c:pt>
                <c:pt idx="11">
                  <c:v>1.2806352394018128</c:v>
                </c:pt>
                <c:pt idx="12">
                  <c:v>1.2801540939663711</c:v>
                </c:pt>
                <c:pt idx="13">
                  <c:v>1.2273362520973841</c:v>
                </c:pt>
              </c:numCache>
            </c:numRef>
          </c:xVal>
          <c:yVal>
            <c:numRef>
              <c:f>RICmCharge!$E$8:$E$21</c:f>
              <c:numCache>
                <c:formatCode>General</c:formatCode>
                <c:ptCount val="14"/>
                <c:pt idx="0">
                  <c:v>2.1114500418509659</c:v>
                </c:pt>
                <c:pt idx="1">
                  <c:v>1.7462996538527009</c:v>
                </c:pt>
                <c:pt idx="2">
                  <c:v>1.2035063180414693</c:v>
                </c:pt>
                <c:pt idx="3">
                  <c:v>1.0087953096846787</c:v>
                </c:pt>
                <c:pt idx="4">
                  <c:v>0.79011756829772506</c:v>
                </c:pt>
                <c:pt idx="5">
                  <c:v>0.76267147353977316</c:v>
                </c:pt>
                <c:pt idx="6">
                  <c:v>0.83721445548853768</c:v>
                </c:pt>
                <c:pt idx="7">
                  <c:v>0.75756419164442634</c:v>
                </c:pt>
                <c:pt idx="8">
                  <c:v>0.76208489032737659</c:v>
                </c:pt>
                <c:pt idx="9">
                  <c:v>0.63025603713795597</c:v>
                </c:pt>
                <c:pt idx="10">
                  <c:v>0.54058174918793311</c:v>
                </c:pt>
                <c:pt idx="11">
                  <c:v>0.41723738680115918</c:v>
                </c:pt>
                <c:pt idx="12">
                  <c:v>0.46480831503364661</c:v>
                </c:pt>
                <c:pt idx="13">
                  <c:v>0.4823338968124824</c:v>
                </c:pt>
              </c:numCache>
            </c:numRef>
          </c:yVal>
          <c:smooth val="0"/>
          <c:extLst>
            <c:ext xmlns:c16="http://schemas.microsoft.com/office/drawing/2014/chart" uri="{C3380CC4-5D6E-409C-BE32-E72D297353CC}">
              <c16:uniqueId val="{00000000-7E83-44B8-85E7-D80ED40A25CC}"/>
            </c:ext>
          </c:extLst>
        </c:ser>
        <c:dLbls>
          <c:showLegendKey val="0"/>
          <c:showVal val="0"/>
          <c:showCatName val="0"/>
          <c:showSerName val="0"/>
          <c:showPercent val="0"/>
          <c:showBubbleSize val="0"/>
        </c:dLbls>
        <c:axId val="1267583136"/>
        <c:axId val="1267583496"/>
      </c:scatterChart>
      <c:valAx>
        <c:axId val="12675831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67583496"/>
        <c:crosses val="autoZero"/>
        <c:crossBetween val="midCat"/>
      </c:valAx>
      <c:valAx>
        <c:axId val="12675834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67583136"/>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15</xdr:col>
      <xdr:colOff>438150</xdr:colOff>
      <xdr:row>2</xdr:row>
      <xdr:rowOff>119062</xdr:rowOff>
    </xdr:from>
    <xdr:to>
      <xdr:col>23</xdr:col>
      <xdr:colOff>133350</xdr:colOff>
      <xdr:row>16</xdr:row>
      <xdr:rowOff>166687</xdr:rowOff>
    </xdr:to>
    <xdr:graphicFrame macro="">
      <xdr:nvGraphicFramePr>
        <xdr:cNvPr id="2" name="Chart 1">
          <a:extLst>
            <a:ext uri="{FF2B5EF4-FFF2-40B4-BE49-F238E27FC236}">
              <a16:creationId xmlns:a16="http://schemas.microsoft.com/office/drawing/2014/main" id="{388BE327-448E-8490-0C0B-92088AEE36C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E885D-813F-4ADC-95F9-9A24B5D19C5C}">
  <sheetPr>
    <tabColor theme="4"/>
  </sheetPr>
  <dimension ref="A2:BC160"/>
  <sheetViews>
    <sheetView tabSelected="1" topLeftCell="B1" zoomScale="85" zoomScaleNormal="85" workbookViewId="0">
      <pane ySplit="15" topLeftCell="A123" activePane="bottomLeft" state="frozen"/>
      <selection pane="bottomLeft" activeCell="B4" sqref="B4:N4"/>
    </sheetView>
  </sheetViews>
  <sheetFormatPr defaultRowHeight="15" outlineLevelRow="1" outlineLevelCol="1" x14ac:dyDescent="0.25"/>
  <cols>
    <col min="1" max="1" width="35.28515625" hidden="1" customWidth="1" outlineLevel="1"/>
    <col min="2" max="2" width="35" customWidth="1" collapsed="1"/>
    <col min="3" max="14" width="17" customWidth="1"/>
    <col min="15" max="15" width="12.28515625" bestFit="1" customWidth="1"/>
  </cols>
  <sheetData>
    <row r="2" spans="2:14" ht="21" x14ac:dyDescent="0.35">
      <c r="B2" s="25" t="s">
        <v>132</v>
      </c>
    </row>
    <row r="4" spans="2:14" ht="45" customHeight="1" x14ac:dyDescent="0.3">
      <c r="B4" s="63" t="s">
        <v>101</v>
      </c>
      <c r="C4" s="64"/>
      <c r="D4" s="64"/>
      <c r="E4" s="64"/>
      <c r="F4" s="64"/>
      <c r="G4" s="64"/>
      <c r="H4" s="64"/>
      <c r="I4" s="64"/>
      <c r="J4" s="64"/>
      <c r="K4" s="64"/>
      <c r="L4" s="64"/>
      <c r="M4" s="64"/>
      <c r="N4" s="64"/>
    </row>
    <row r="6" spans="2:14" ht="15.75" x14ac:dyDescent="0.25">
      <c r="B6" s="49" t="s">
        <v>96</v>
      </c>
    </row>
    <row r="7" spans="2:14" ht="15.75" x14ac:dyDescent="0.25">
      <c r="B7" s="48" t="s">
        <v>98</v>
      </c>
    </row>
    <row r="8" spans="2:14" ht="15.75" x14ac:dyDescent="0.25">
      <c r="B8" s="48" t="s">
        <v>97</v>
      </c>
    </row>
    <row r="9" spans="2:14" ht="15.75" x14ac:dyDescent="0.25">
      <c r="B9" s="48" t="s">
        <v>100</v>
      </c>
    </row>
    <row r="10" spans="2:14" ht="15.75" x14ac:dyDescent="0.25">
      <c r="B10" s="48" t="s">
        <v>114</v>
      </c>
    </row>
    <row r="11" spans="2:14" ht="15.75" x14ac:dyDescent="0.25">
      <c r="B11" s="48" t="s">
        <v>116</v>
      </c>
    </row>
    <row r="12" spans="2:14" ht="15.75" x14ac:dyDescent="0.25">
      <c r="B12" s="59" t="s">
        <v>123</v>
      </c>
    </row>
    <row r="13" spans="2:14" ht="15.75" x14ac:dyDescent="0.25">
      <c r="B13" s="59" t="s">
        <v>126</v>
      </c>
    </row>
    <row r="14" spans="2:14" ht="15.75" x14ac:dyDescent="0.25">
      <c r="B14" s="59" t="s">
        <v>131</v>
      </c>
    </row>
    <row r="15" spans="2:14" ht="15.75" x14ac:dyDescent="0.25">
      <c r="B15" s="59" t="s">
        <v>133</v>
      </c>
    </row>
    <row r="18" spans="2:16" ht="15.75" thickBot="1" x14ac:dyDescent="0.3"/>
    <row r="19" spans="2:16" ht="15.75" thickBot="1" x14ac:dyDescent="0.3">
      <c r="B19" s="10" t="s">
        <v>91</v>
      </c>
      <c r="C19" s="3">
        <v>115</v>
      </c>
      <c r="E19" s="19">
        <f>0.5*MIN(SUM($C$37:$N$37)/SUM($C$54:$N$55),$C$19)/$O$103</f>
        <v>7.9310344827586213E-3</v>
      </c>
      <c r="F19" s="10" t="s">
        <v>112</v>
      </c>
      <c r="G19" s="55" t="s">
        <v>124</v>
      </c>
      <c r="H19" s="10" t="s">
        <v>107</v>
      </c>
    </row>
    <row r="21" spans="2:16" x14ac:dyDescent="0.25">
      <c r="B21" s="10" t="s">
        <v>92</v>
      </c>
    </row>
    <row r="22" spans="2:16" x14ac:dyDescent="0.25">
      <c r="C22" s="1">
        <v>47027</v>
      </c>
      <c r="D22" s="1">
        <f t="shared" ref="D22:N22" si="0">+EOMONTH(C22,0)+1</f>
        <v>47058</v>
      </c>
      <c r="E22" s="1">
        <f t="shared" si="0"/>
        <v>47088</v>
      </c>
      <c r="F22" s="1">
        <f t="shared" si="0"/>
        <v>47119</v>
      </c>
      <c r="G22" s="1">
        <f t="shared" si="0"/>
        <v>47150</v>
      </c>
      <c r="H22" s="1">
        <f t="shared" si="0"/>
        <v>47178</v>
      </c>
      <c r="I22" s="1">
        <f t="shared" si="0"/>
        <v>47209</v>
      </c>
      <c r="J22" s="1">
        <f t="shared" si="0"/>
        <v>47239</v>
      </c>
      <c r="K22" s="1">
        <f t="shared" si="0"/>
        <v>47270</v>
      </c>
      <c r="L22" s="1">
        <f t="shared" si="0"/>
        <v>47300</v>
      </c>
      <c r="M22" s="1">
        <f t="shared" si="0"/>
        <v>47331</v>
      </c>
      <c r="N22" s="1">
        <f t="shared" si="0"/>
        <v>47362</v>
      </c>
      <c r="O22" s="1"/>
      <c r="P22" s="1"/>
    </row>
    <row r="23" spans="2:16" x14ac:dyDescent="0.25">
      <c r="B23" t="s">
        <v>108</v>
      </c>
      <c r="C23" s="22">
        <v>135.81845032051282</v>
      </c>
      <c r="D23" s="22">
        <v>130.7921</v>
      </c>
      <c r="E23" s="22">
        <v>158.24690785256411</v>
      </c>
      <c r="F23" s="22">
        <v>153.18439166666664</v>
      </c>
      <c r="G23" s="22">
        <v>140.14974583333336</v>
      </c>
      <c r="H23" s="22">
        <v>127.40347145061729</v>
      </c>
      <c r="I23" s="22">
        <v>135.63895166666669</v>
      </c>
      <c r="J23" s="22">
        <v>142.76218830128204</v>
      </c>
      <c r="K23" s="22">
        <v>175.32143910256411</v>
      </c>
      <c r="L23" s="22">
        <v>210.39585249999999</v>
      </c>
      <c r="M23" s="22">
        <v>189.46962499999995</v>
      </c>
      <c r="N23" s="22">
        <v>160.29659583333333</v>
      </c>
    </row>
    <row r="24" spans="2:16" x14ac:dyDescent="0.25">
      <c r="B24" t="s">
        <v>109</v>
      </c>
      <c r="C24" s="22">
        <v>109.83694715447153</v>
      </c>
      <c r="D24" s="22">
        <v>122.07053167185877</v>
      </c>
      <c r="E24" s="22">
        <v>139.34001016260163</v>
      </c>
      <c r="F24" s="22">
        <v>138.38254360465118</v>
      </c>
      <c r="G24" s="22">
        <v>133.5567060810811</v>
      </c>
      <c r="H24" s="22">
        <v>122.41190996784566</v>
      </c>
      <c r="I24" s="22">
        <v>113.8908375</v>
      </c>
      <c r="J24" s="22">
        <v>131.35087601626014</v>
      </c>
      <c r="K24" s="22">
        <v>142.56433333333334</v>
      </c>
      <c r="L24" s="22">
        <v>159.26608333333334</v>
      </c>
      <c r="M24" s="22">
        <v>163.5021442307692</v>
      </c>
      <c r="N24" s="22">
        <v>132.93028541666666</v>
      </c>
    </row>
    <row r="25" spans="2:16" outlineLevel="1" x14ac:dyDescent="0.25">
      <c r="B25" t="s">
        <v>2</v>
      </c>
      <c r="C25" s="23">
        <f t="shared" ref="C25:N25" si="1">+(C23*C54+C24*C55)/SUM(C54:C55)</f>
        <v>124.36423924731183</v>
      </c>
      <c r="D25" s="23">
        <f t="shared" si="1"/>
        <v>126.90912713823394</v>
      </c>
      <c r="E25" s="23">
        <f t="shared" si="1"/>
        <v>149.50500892064599</v>
      </c>
      <c r="F25" s="23">
        <f t="shared" si="1"/>
        <v>146.65884574685336</v>
      </c>
      <c r="G25" s="23">
        <f t="shared" si="1"/>
        <v>137.32415736808238</v>
      </c>
      <c r="H25" s="23">
        <f t="shared" si="1"/>
        <v>125.31413683266038</v>
      </c>
      <c r="I25" s="23">
        <f t="shared" si="1"/>
        <v>125.97312314814816</v>
      </c>
      <c r="J25" s="23">
        <f t="shared" si="1"/>
        <v>137.73139471326164</v>
      </c>
      <c r="K25" s="23">
        <f t="shared" si="1"/>
        <v>161.49066111111114</v>
      </c>
      <c r="L25" s="23">
        <f t="shared" si="1"/>
        <v>186.75520654121866</v>
      </c>
      <c r="M25" s="23">
        <f t="shared" si="1"/>
        <v>178.58003629032254</v>
      </c>
      <c r="N25" s="23">
        <f t="shared" si="1"/>
        <v>147.52565097222222</v>
      </c>
    </row>
    <row r="26" spans="2:16" outlineLevel="1" x14ac:dyDescent="0.25">
      <c r="B26" t="s">
        <v>9</v>
      </c>
      <c r="C26" s="8">
        <f t="shared" ref="C26:N26" si="2">+C23*C54</f>
        <v>56500.475333333336</v>
      </c>
      <c r="D26" s="8">
        <f t="shared" si="2"/>
        <v>52316.840000000004</v>
      </c>
      <c r="E26" s="8">
        <f t="shared" si="2"/>
        <v>63298.763141025644</v>
      </c>
      <c r="F26" s="8">
        <f t="shared" si="2"/>
        <v>63724.70693333332</v>
      </c>
      <c r="G26" s="8">
        <f t="shared" si="2"/>
        <v>53817.502400000012</v>
      </c>
      <c r="H26" s="8">
        <f t="shared" si="2"/>
        <v>55038.299666666666</v>
      </c>
      <c r="I26" s="8">
        <f t="shared" si="2"/>
        <v>54255.580666666676</v>
      </c>
      <c r="J26" s="8">
        <f t="shared" si="2"/>
        <v>59389.070333333329</v>
      </c>
      <c r="K26" s="8">
        <f t="shared" si="2"/>
        <v>72933.718666666668</v>
      </c>
      <c r="L26" s="8">
        <f t="shared" si="2"/>
        <v>84158.341</v>
      </c>
      <c r="M26" s="8">
        <f t="shared" si="2"/>
        <v>81850.877999999982</v>
      </c>
      <c r="N26" s="8">
        <f t="shared" si="2"/>
        <v>61553.892800000001</v>
      </c>
    </row>
    <row r="27" spans="2:16" outlineLevel="1" x14ac:dyDescent="0.25">
      <c r="B27" t="s">
        <v>10</v>
      </c>
      <c r="C27" s="8">
        <f t="shared" ref="C27:N27" si="3">+C24*C55</f>
        <v>36026.518666666663</v>
      </c>
      <c r="D27" s="8">
        <f t="shared" si="3"/>
        <v>39184.640666666666</v>
      </c>
      <c r="E27" s="8">
        <f t="shared" si="3"/>
        <v>47932.963495934964</v>
      </c>
      <c r="F27" s="8">
        <f t="shared" si="3"/>
        <v>45389.474302325587</v>
      </c>
      <c r="G27" s="8">
        <f t="shared" si="3"/>
        <v>38464.331351351357</v>
      </c>
      <c r="H27" s="8">
        <f t="shared" si="3"/>
        <v>38070.103999999999</v>
      </c>
      <c r="I27" s="8">
        <f t="shared" si="3"/>
        <v>36445.067999999999</v>
      </c>
      <c r="J27" s="8">
        <f t="shared" si="3"/>
        <v>43083.087333333329</v>
      </c>
      <c r="K27" s="8">
        <f t="shared" si="3"/>
        <v>43339.557333333338</v>
      </c>
      <c r="L27" s="8">
        <f t="shared" si="3"/>
        <v>54787.532666666666</v>
      </c>
      <c r="M27" s="8">
        <f t="shared" si="3"/>
        <v>51012.668999999994</v>
      </c>
      <c r="N27" s="8">
        <f t="shared" si="3"/>
        <v>44664.575899999996</v>
      </c>
    </row>
    <row r="28" spans="2:16" outlineLevel="1" x14ac:dyDescent="0.25">
      <c r="B28" t="s">
        <v>8</v>
      </c>
      <c r="C28" s="8">
        <f t="shared" ref="C28:N28" si="4">+SUM(C26:C27)</f>
        <v>92526.994000000006</v>
      </c>
      <c r="D28" s="8">
        <f t="shared" si="4"/>
        <v>91501.48066666667</v>
      </c>
      <c r="E28" s="8">
        <f t="shared" si="4"/>
        <v>111231.72663696061</v>
      </c>
      <c r="F28" s="8">
        <f t="shared" si="4"/>
        <v>109114.18123565891</v>
      </c>
      <c r="G28" s="8">
        <f t="shared" si="4"/>
        <v>92281.833751351369</v>
      </c>
      <c r="H28" s="8">
        <f t="shared" si="4"/>
        <v>93108.403666666665</v>
      </c>
      <c r="I28" s="8">
        <f t="shared" si="4"/>
        <v>90700.648666666675</v>
      </c>
      <c r="J28" s="8">
        <f t="shared" si="4"/>
        <v>102472.15766666667</v>
      </c>
      <c r="K28" s="8">
        <f t="shared" si="4"/>
        <v>116273.27600000001</v>
      </c>
      <c r="L28" s="8">
        <f t="shared" si="4"/>
        <v>138945.87366666668</v>
      </c>
      <c r="M28" s="8">
        <f t="shared" si="4"/>
        <v>132863.54699999996</v>
      </c>
      <c r="N28" s="8">
        <f t="shared" si="4"/>
        <v>106218.4687</v>
      </c>
    </row>
    <row r="30" spans="2:16" x14ac:dyDescent="0.25">
      <c r="B30" s="10" t="s">
        <v>122</v>
      </c>
    </row>
    <row r="31" spans="2:16" x14ac:dyDescent="0.25">
      <c r="C31" s="1">
        <v>47027</v>
      </c>
      <c r="D31" s="1">
        <f t="shared" ref="D31:N31" si="5">+EOMONTH(C31,0)+1</f>
        <v>47058</v>
      </c>
      <c r="E31" s="1">
        <f t="shared" si="5"/>
        <v>47088</v>
      </c>
      <c r="F31" s="1">
        <f t="shared" si="5"/>
        <v>47119</v>
      </c>
      <c r="G31" s="1">
        <f t="shared" si="5"/>
        <v>47150</v>
      </c>
      <c r="H31" s="1">
        <f t="shared" si="5"/>
        <v>47178</v>
      </c>
      <c r="I31" s="1">
        <f t="shared" si="5"/>
        <v>47209</v>
      </c>
      <c r="J31" s="1">
        <f t="shared" si="5"/>
        <v>47239</v>
      </c>
      <c r="K31" s="1">
        <f t="shared" si="5"/>
        <v>47270</v>
      </c>
      <c r="L31" s="1">
        <f t="shared" si="5"/>
        <v>47300</v>
      </c>
      <c r="M31" s="1">
        <f t="shared" si="5"/>
        <v>47331</v>
      </c>
      <c r="N31" s="1">
        <f t="shared" si="5"/>
        <v>47362</v>
      </c>
      <c r="O31" s="1"/>
      <c r="P31" s="1"/>
    </row>
    <row r="32" spans="2:16" x14ac:dyDescent="0.25">
      <c r="B32" t="s">
        <v>110</v>
      </c>
      <c r="C32" s="22">
        <v>118.02800000000002</v>
      </c>
      <c r="D32" s="22">
        <v>118.02800000000002</v>
      </c>
      <c r="E32" s="22">
        <v>118.02800000000002</v>
      </c>
      <c r="F32" s="22">
        <v>118.02800000000002</v>
      </c>
      <c r="G32" s="22">
        <v>118.02800000000002</v>
      </c>
      <c r="H32" s="22">
        <v>118.02800000000002</v>
      </c>
      <c r="I32" s="22">
        <v>118.02800000000002</v>
      </c>
      <c r="J32" s="22">
        <v>118.02800000000002</v>
      </c>
      <c r="K32" s="22">
        <v>118.02800000000002</v>
      </c>
      <c r="L32" s="22">
        <v>118.02800000000002</v>
      </c>
      <c r="M32" s="22">
        <v>118.02800000000002</v>
      </c>
      <c r="N32" s="22">
        <v>118.02800000000002</v>
      </c>
    </row>
    <row r="33" spans="1:17" x14ac:dyDescent="0.25">
      <c r="B33" t="s">
        <v>111</v>
      </c>
      <c r="C33" s="22">
        <v>118.02800000000002</v>
      </c>
      <c r="D33" s="22">
        <v>118.02800000000002</v>
      </c>
      <c r="E33" s="22">
        <v>118.02800000000002</v>
      </c>
      <c r="F33" s="22">
        <v>118.02800000000002</v>
      </c>
      <c r="G33" s="22">
        <v>118.02800000000002</v>
      </c>
      <c r="H33" s="22">
        <v>118.02800000000002</v>
      </c>
      <c r="I33" s="22">
        <v>118.02800000000002</v>
      </c>
      <c r="J33" s="22">
        <v>118.02800000000002</v>
      </c>
      <c r="K33" s="22">
        <v>118.02800000000002</v>
      </c>
      <c r="L33" s="22">
        <v>118.02800000000002</v>
      </c>
      <c r="M33" s="22">
        <v>118.02800000000002</v>
      </c>
      <c r="N33" s="22">
        <v>118.02800000000002</v>
      </c>
      <c r="O33" s="23">
        <f>+SUMPRODUCT(C32:N33,C54:N55)/SUM(C54:N55)</f>
        <v>118.02800000000001</v>
      </c>
      <c r="P33" s="23">
        <f>+MAX(0,O33-C19)</f>
        <v>3.0280000000000058</v>
      </c>
      <c r="Q33" s="32" t="s">
        <v>113</v>
      </c>
    </row>
    <row r="34" spans="1:17" outlineLevel="1" x14ac:dyDescent="0.25">
      <c r="A34" s="29" t="s">
        <v>56</v>
      </c>
      <c r="B34" t="s">
        <v>2</v>
      </c>
      <c r="C34" s="23">
        <f>+IF($O$33&lt;=$C$19,(C32*C54+C33*C55)/C56,(C32*C54+C33*C55)/C56+$C$19-$O$33)</f>
        <v>115.00000000000001</v>
      </c>
      <c r="D34" s="23">
        <f t="shared" ref="D34:N34" si="6">+IF($O$33&lt;$C$19,(D32*D54+D33*D55)/D56,(D32*D54+D33*D55)/D56+$C$19-$O$33)</f>
        <v>115.00000000000001</v>
      </c>
      <c r="E34" s="23">
        <f t="shared" si="6"/>
        <v>115.00000000000001</v>
      </c>
      <c r="F34" s="23">
        <f t="shared" si="6"/>
        <v>115.00000000000001</v>
      </c>
      <c r="G34" s="23">
        <f t="shared" si="6"/>
        <v>115.00000000000001</v>
      </c>
      <c r="H34" s="23">
        <f t="shared" si="6"/>
        <v>115.00000000000001</v>
      </c>
      <c r="I34" s="23">
        <f t="shared" si="6"/>
        <v>115.00000000000001</v>
      </c>
      <c r="J34" s="23">
        <f t="shared" si="6"/>
        <v>115.00000000000001</v>
      </c>
      <c r="K34" s="23">
        <f t="shared" si="6"/>
        <v>115.00000000000001</v>
      </c>
      <c r="L34" s="23">
        <f t="shared" si="6"/>
        <v>115.00000000000001</v>
      </c>
      <c r="M34" s="23">
        <f t="shared" si="6"/>
        <v>115.00000000000001</v>
      </c>
      <c r="N34" s="23">
        <f t="shared" si="6"/>
        <v>115.00000000000001</v>
      </c>
      <c r="O34" s="53">
        <f>IF(SUMPRODUCT(C34:N34,C56:N56)/SUM(C56:N56)&lt;=C19,0,"error")</f>
        <v>0</v>
      </c>
    </row>
    <row r="35" spans="1:17" outlineLevel="1" x14ac:dyDescent="0.25">
      <c r="B35" t="s">
        <v>9</v>
      </c>
      <c r="C35" s="8">
        <f t="shared" ref="C35:N35" si="7">+IF($O$33&lt;=$C$19,C32*C54,(C32+($C$19-$O$33))*C54)</f>
        <v>47840.000000000007</v>
      </c>
      <c r="D35" s="8">
        <f t="shared" si="7"/>
        <v>46000.000000000007</v>
      </c>
      <c r="E35" s="8">
        <f t="shared" si="7"/>
        <v>46000.000000000007</v>
      </c>
      <c r="F35" s="8">
        <f t="shared" si="7"/>
        <v>47840.000000000007</v>
      </c>
      <c r="G35" s="8">
        <f t="shared" si="7"/>
        <v>44160.000000000007</v>
      </c>
      <c r="H35" s="8">
        <f t="shared" si="7"/>
        <v>49680.000000000007</v>
      </c>
      <c r="I35" s="8">
        <f t="shared" si="7"/>
        <v>46000.000000000007</v>
      </c>
      <c r="J35" s="8">
        <f t="shared" si="7"/>
        <v>47840.000000000007</v>
      </c>
      <c r="K35" s="8">
        <f t="shared" si="7"/>
        <v>47840.000000000007</v>
      </c>
      <c r="L35" s="8">
        <f t="shared" si="7"/>
        <v>46000.000000000007</v>
      </c>
      <c r="M35" s="8">
        <f t="shared" si="7"/>
        <v>49680.000000000007</v>
      </c>
      <c r="N35" s="8">
        <f t="shared" si="7"/>
        <v>44160.000000000007</v>
      </c>
      <c r="O35" s="53">
        <f>IF(SUM(C35:N36)/SUM(C54:N55)&lt;=C19,0,"Error")</f>
        <v>0</v>
      </c>
    </row>
    <row r="36" spans="1:17" outlineLevel="1" x14ac:dyDescent="0.25">
      <c r="B36" t="s">
        <v>10</v>
      </c>
      <c r="C36" s="8">
        <f t="shared" ref="C36:N36" si="8">+IF($O$33&lt;=$C$19,C33*C55,(C33+($C$19-$O$33))*C55)</f>
        <v>37720.000000000007</v>
      </c>
      <c r="D36" s="8">
        <f t="shared" si="8"/>
        <v>36915.000000000007</v>
      </c>
      <c r="E36" s="8">
        <f t="shared" si="8"/>
        <v>39560.000000000007</v>
      </c>
      <c r="F36" s="8">
        <f t="shared" si="8"/>
        <v>37720.000000000007</v>
      </c>
      <c r="G36" s="8">
        <f t="shared" si="8"/>
        <v>33120.000000000007</v>
      </c>
      <c r="H36" s="8">
        <f t="shared" si="8"/>
        <v>35765.000000000007</v>
      </c>
      <c r="I36" s="8">
        <f t="shared" si="8"/>
        <v>36800.000000000007</v>
      </c>
      <c r="J36" s="8">
        <f t="shared" si="8"/>
        <v>37720.000000000007</v>
      </c>
      <c r="K36" s="8">
        <f t="shared" si="8"/>
        <v>34960.000000000007</v>
      </c>
      <c r="L36" s="8">
        <f t="shared" si="8"/>
        <v>39560.000000000007</v>
      </c>
      <c r="M36" s="8">
        <f t="shared" si="8"/>
        <v>35880.000000000007</v>
      </c>
      <c r="N36" s="8">
        <f t="shared" si="8"/>
        <v>38640.000000000007</v>
      </c>
    </row>
    <row r="37" spans="1:17" outlineLevel="1" x14ac:dyDescent="0.25">
      <c r="B37" t="s">
        <v>8</v>
      </c>
      <c r="C37" s="8">
        <f t="shared" ref="C37:N37" si="9">+SUM(C35:C36)</f>
        <v>85560.000000000015</v>
      </c>
      <c r="D37" s="8">
        <f t="shared" si="9"/>
        <v>82915.000000000015</v>
      </c>
      <c r="E37" s="8">
        <f t="shared" si="9"/>
        <v>85560.000000000015</v>
      </c>
      <c r="F37" s="8">
        <f t="shared" si="9"/>
        <v>85560.000000000015</v>
      </c>
      <c r="G37" s="8">
        <f t="shared" si="9"/>
        <v>77280.000000000015</v>
      </c>
      <c r="H37" s="8">
        <f t="shared" si="9"/>
        <v>85445.000000000015</v>
      </c>
      <c r="I37" s="8">
        <f t="shared" si="9"/>
        <v>82800.000000000015</v>
      </c>
      <c r="J37" s="8">
        <f t="shared" si="9"/>
        <v>85560.000000000015</v>
      </c>
      <c r="K37" s="8">
        <f t="shared" si="9"/>
        <v>82800.000000000015</v>
      </c>
      <c r="L37" s="8">
        <f t="shared" si="9"/>
        <v>85560.000000000015</v>
      </c>
      <c r="M37" s="8">
        <f t="shared" si="9"/>
        <v>85560.000000000015</v>
      </c>
      <c r="N37" s="8">
        <f t="shared" si="9"/>
        <v>82800.000000000015</v>
      </c>
      <c r="O37" s="53">
        <f>IF(SUM(C37:N37)/SUM(C56:N56)&lt;=C19,0,"Error")</f>
        <v>0</v>
      </c>
    </row>
    <row r="38" spans="1:17" x14ac:dyDescent="0.25">
      <c r="C38" s="54">
        <f t="shared" ref="C38:N38" si="10">+C37/C56-C34</f>
        <v>0</v>
      </c>
      <c r="D38" s="54">
        <f t="shared" si="10"/>
        <v>0</v>
      </c>
      <c r="E38" s="54">
        <f t="shared" si="10"/>
        <v>0</v>
      </c>
      <c r="F38" s="54">
        <f t="shared" si="10"/>
        <v>0</v>
      </c>
      <c r="G38" s="54">
        <f t="shared" si="10"/>
        <v>0</v>
      </c>
      <c r="H38" s="54">
        <f t="shared" si="10"/>
        <v>0</v>
      </c>
      <c r="I38" s="54">
        <f t="shared" si="10"/>
        <v>0</v>
      </c>
      <c r="J38" s="54">
        <f t="shared" si="10"/>
        <v>0</v>
      </c>
      <c r="K38" s="54">
        <f t="shared" si="10"/>
        <v>0</v>
      </c>
      <c r="L38" s="54">
        <f t="shared" si="10"/>
        <v>0</v>
      </c>
      <c r="M38" s="54">
        <f t="shared" si="10"/>
        <v>0</v>
      </c>
      <c r="N38" s="54">
        <f t="shared" si="10"/>
        <v>0</v>
      </c>
    </row>
    <row r="39" spans="1:17" x14ac:dyDescent="0.25">
      <c r="C39" s="54"/>
      <c r="D39" s="54"/>
      <c r="E39" s="54"/>
      <c r="F39" s="54"/>
      <c r="G39" s="54"/>
      <c r="H39" s="54"/>
      <c r="I39" s="54"/>
      <c r="J39" s="54"/>
      <c r="K39" s="54"/>
      <c r="L39" s="54"/>
      <c r="M39" s="54"/>
      <c r="N39" s="54"/>
    </row>
    <row r="40" spans="1:17" x14ac:dyDescent="0.25">
      <c r="B40" s="10" t="s">
        <v>121</v>
      </c>
      <c r="C40" s="1">
        <v>47027</v>
      </c>
      <c r="D40" s="1">
        <f t="shared" ref="D40:N40" si="11">+EOMONTH(C40,0)+1</f>
        <v>47058</v>
      </c>
      <c r="E40" s="1">
        <f t="shared" si="11"/>
        <v>47088</v>
      </c>
      <c r="F40" s="1">
        <f t="shared" si="11"/>
        <v>47119</v>
      </c>
      <c r="G40" s="1">
        <f t="shared" si="11"/>
        <v>47150</v>
      </c>
      <c r="H40" s="1">
        <f t="shared" si="11"/>
        <v>47178</v>
      </c>
      <c r="I40" s="1">
        <f t="shared" si="11"/>
        <v>47209</v>
      </c>
      <c r="J40" s="1">
        <f t="shared" si="11"/>
        <v>47239</v>
      </c>
      <c r="K40" s="1">
        <f t="shared" si="11"/>
        <v>47270</v>
      </c>
      <c r="L40" s="1">
        <f t="shared" si="11"/>
        <v>47300</v>
      </c>
      <c r="M40" s="1">
        <f t="shared" si="11"/>
        <v>47331</v>
      </c>
      <c r="N40" s="1">
        <f t="shared" si="11"/>
        <v>47362</v>
      </c>
    </row>
    <row r="41" spans="1:17" x14ac:dyDescent="0.25">
      <c r="B41" t="s">
        <v>2</v>
      </c>
      <c r="C41" s="22">
        <v>136.982117335635</v>
      </c>
      <c r="D41" s="22">
        <v>137.74513990484641</v>
      </c>
      <c r="E41" s="22">
        <v>139.65241265380033</v>
      </c>
      <c r="F41" s="22">
        <v>171.15311833840846</v>
      </c>
      <c r="G41" s="22">
        <v>134.44583808680088</v>
      </c>
      <c r="H41" s="22">
        <v>117.64428500328096</v>
      </c>
      <c r="I41" s="22">
        <v>132.90835879322159</v>
      </c>
      <c r="J41" s="22">
        <v>142.70992378724787</v>
      </c>
      <c r="K41" s="22">
        <v>179.63997545988823</v>
      </c>
      <c r="L41" s="22">
        <v>219.02088794495398</v>
      </c>
      <c r="M41" s="22">
        <v>203.86934672631597</v>
      </c>
      <c r="N41" s="22">
        <v>170.1391087021469</v>
      </c>
    </row>
    <row r="42" spans="1:17" x14ac:dyDescent="0.25">
      <c r="C42" s="23">
        <f t="shared" ref="C42:N42" si="12">+C41-$P$33</f>
        <v>133.95411733563498</v>
      </c>
      <c r="D42" s="23">
        <f t="shared" si="12"/>
        <v>134.71713990484642</v>
      </c>
      <c r="E42" s="23">
        <f t="shared" si="12"/>
        <v>136.62441265380033</v>
      </c>
      <c r="F42" s="23">
        <f t="shared" si="12"/>
        <v>168.12511833840847</v>
      </c>
      <c r="G42" s="23">
        <f t="shared" si="12"/>
        <v>131.41783808680088</v>
      </c>
      <c r="H42" s="23">
        <f t="shared" si="12"/>
        <v>114.61628500328095</v>
      </c>
      <c r="I42" s="23">
        <f t="shared" si="12"/>
        <v>129.8803587932216</v>
      </c>
      <c r="J42" s="23">
        <f t="shared" si="12"/>
        <v>139.68192378724785</v>
      </c>
      <c r="K42" s="23">
        <f t="shared" si="12"/>
        <v>176.61197545988824</v>
      </c>
      <c r="L42" s="23">
        <f t="shared" si="12"/>
        <v>215.99288794495396</v>
      </c>
      <c r="M42" s="23">
        <f t="shared" si="12"/>
        <v>200.84134672631598</v>
      </c>
      <c r="N42" s="23">
        <f t="shared" si="12"/>
        <v>167.11110870214691</v>
      </c>
    </row>
    <row r="44" spans="1:17" x14ac:dyDescent="0.25">
      <c r="B44" s="10" t="s">
        <v>106</v>
      </c>
      <c r="C44" s="1">
        <v>47027</v>
      </c>
      <c r="D44" s="1">
        <f t="shared" ref="D44:N44" si="13">+EOMONTH(C44,0)+1</f>
        <v>47058</v>
      </c>
      <c r="E44" s="1">
        <f t="shared" si="13"/>
        <v>47088</v>
      </c>
      <c r="F44" s="1">
        <f t="shared" si="13"/>
        <v>47119</v>
      </c>
      <c r="G44" s="1">
        <f t="shared" si="13"/>
        <v>47150</v>
      </c>
      <c r="H44" s="1">
        <f t="shared" si="13"/>
        <v>47178</v>
      </c>
      <c r="I44" s="1">
        <f t="shared" si="13"/>
        <v>47209</v>
      </c>
      <c r="J44" s="1">
        <f t="shared" si="13"/>
        <v>47239</v>
      </c>
      <c r="K44" s="1">
        <f t="shared" si="13"/>
        <v>47270</v>
      </c>
      <c r="L44" s="1">
        <f t="shared" si="13"/>
        <v>47300</v>
      </c>
      <c r="M44" s="1">
        <f t="shared" si="13"/>
        <v>47331</v>
      </c>
      <c r="N44" s="1">
        <f t="shared" si="13"/>
        <v>47362</v>
      </c>
    </row>
    <row r="45" spans="1:17" x14ac:dyDescent="0.25">
      <c r="B45" t="s">
        <v>2</v>
      </c>
      <c r="C45" s="22">
        <v>136.79327891688996</v>
      </c>
      <c r="D45" s="22">
        <v>137.55630148610138</v>
      </c>
      <c r="E45" s="22">
        <v>139.46357423505529</v>
      </c>
      <c r="F45" s="22">
        <v>170.96427991966343</v>
      </c>
      <c r="G45" s="22">
        <v>134.25699966805584</v>
      </c>
      <c r="H45" s="22">
        <v>117.45544658453592</v>
      </c>
      <c r="I45" s="22">
        <v>132.71952037447656</v>
      </c>
      <c r="J45" s="22">
        <v>142.52108536850284</v>
      </c>
      <c r="K45" s="22">
        <v>179.4511370411432</v>
      </c>
      <c r="L45" s="22">
        <v>218.83204952620895</v>
      </c>
      <c r="M45" s="22">
        <v>203.68050830757093</v>
      </c>
      <c r="N45" s="22">
        <v>169.95027028340186</v>
      </c>
    </row>
    <row r="46" spans="1:17" x14ac:dyDescent="0.25">
      <c r="C46" s="23">
        <f t="shared" ref="C46:N46" si="14">+C42</f>
        <v>133.95411733563498</v>
      </c>
      <c r="D46" s="23">
        <f t="shared" si="14"/>
        <v>134.71713990484642</v>
      </c>
      <c r="E46" s="23">
        <f t="shared" si="14"/>
        <v>136.62441265380033</v>
      </c>
      <c r="F46" s="23">
        <f t="shared" si="14"/>
        <v>168.12511833840847</v>
      </c>
      <c r="G46" s="23">
        <f t="shared" si="14"/>
        <v>131.41783808680088</v>
      </c>
      <c r="H46" s="23">
        <f t="shared" si="14"/>
        <v>114.61628500328095</v>
      </c>
      <c r="I46" s="23">
        <f t="shared" si="14"/>
        <v>129.8803587932216</v>
      </c>
      <c r="J46" s="23">
        <f t="shared" si="14"/>
        <v>139.68192378724785</v>
      </c>
      <c r="K46" s="23">
        <f t="shared" si="14"/>
        <v>176.61197545988824</v>
      </c>
      <c r="L46" s="23">
        <f t="shared" si="14"/>
        <v>215.99288794495396</v>
      </c>
      <c r="M46" s="23">
        <f t="shared" si="14"/>
        <v>200.84134672631598</v>
      </c>
      <c r="N46" s="23">
        <f t="shared" si="14"/>
        <v>167.11110870214691</v>
      </c>
    </row>
    <row r="48" spans="1:17" x14ac:dyDescent="0.25">
      <c r="B48" s="10" t="s">
        <v>94</v>
      </c>
    </row>
    <row r="49" spans="2:24" x14ac:dyDescent="0.25">
      <c r="C49" s="1">
        <v>47027</v>
      </c>
      <c r="D49" s="1">
        <f t="shared" ref="D49:N49" si="15">+EOMONTH(C49,0)+1</f>
        <v>47058</v>
      </c>
      <c r="E49" s="1">
        <f t="shared" si="15"/>
        <v>47088</v>
      </c>
      <c r="F49" s="1">
        <f t="shared" si="15"/>
        <v>47119</v>
      </c>
      <c r="G49" s="1">
        <f t="shared" si="15"/>
        <v>47150</v>
      </c>
      <c r="H49" s="1">
        <f t="shared" si="15"/>
        <v>47178</v>
      </c>
      <c r="I49" s="1">
        <f t="shared" si="15"/>
        <v>47209</v>
      </c>
      <c r="J49" s="1">
        <f t="shared" si="15"/>
        <v>47239</v>
      </c>
      <c r="K49" s="1">
        <f t="shared" si="15"/>
        <v>47270</v>
      </c>
      <c r="L49" s="1">
        <f t="shared" si="15"/>
        <v>47300</v>
      </c>
      <c r="M49" s="1">
        <f t="shared" si="15"/>
        <v>47331</v>
      </c>
      <c r="N49" s="1">
        <f t="shared" si="15"/>
        <v>47362</v>
      </c>
      <c r="O49" s="1"/>
      <c r="P49" s="1"/>
    </row>
    <row r="50" spans="2:24" x14ac:dyDescent="0.25">
      <c r="B50" t="s">
        <v>2</v>
      </c>
      <c r="C50" s="22">
        <v>10.916</v>
      </c>
      <c r="D50" s="22">
        <v>25.6</v>
      </c>
      <c r="E50" s="22">
        <v>18.954999999999998</v>
      </c>
      <c r="F50" s="22">
        <v>21.773</v>
      </c>
      <c r="G50" s="22">
        <v>34.06</v>
      </c>
      <c r="H50" s="22">
        <v>18.055</v>
      </c>
      <c r="I50" s="22">
        <v>15.617000000000001</v>
      </c>
      <c r="J50" s="22">
        <v>37.119</v>
      </c>
      <c r="K50" s="22">
        <v>35.313000000000002</v>
      </c>
      <c r="L50" s="22">
        <v>30.721</v>
      </c>
      <c r="M50" s="22">
        <v>22.631</v>
      </c>
      <c r="N50" s="22">
        <v>28.231000000000002</v>
      </c>
    </row>
    <row r="52" spans="2:24" x14ac:dyDescent="0.25">
      <c r="B52" s="9" t="s">
        <v>7</v>
      </c>
    </row>
    <row r="53" spans="2:24" x14ac:dyDescent="0.25">
      <c r="C53" s="1">
        <v>47027</v>
      </c>
      <c r="D53" s="1">
        <f t="shared" ref="D53:N53" si="16">+EOMONTH(C53,0)+1</f>
        <v>47058</v>
      </c>
      <c r="E53" s="1">
        <f t="shared" si="16"/>
        <v>47088</v>
      </c>
      <c r="F53" s="1">
        <f t="shared" si="16"/>
        <v>47119</v>
      </c>
      <c r="G53" s="1">
        <f t="shared" si="16"/>
        <v>47150</v>
      </c>
      <c r="H53" s="1">
        <f t="shared" si="16"/>
        <v>47178</v>
      </c>
      <c r="I53" s="1">
        <f t="shared" si="16"/>
        <v>47209</v>
      </c>
      <c r="J53" s="1">
        <f t="shared" si="16"/>
        <v>47239</v>
      </c>
      <c r="K53" s="1">
        <f t="shared" si="16"/>
        <v>47270</v>
      </c>
      <c r="L53" s="1">
        <f t="shared" si="16"/>
        <v>47300</v>
      </c>
      <c r="M53" s="1">
        <f t="shared" si="16"/>
        <v>47331</v>
      </c>
      <c r="N53" s="1">
        <f t="shared" si="16"/>
        <v>47362</v>
      </c>
      <c r="O53" s="1" t="s">
        <v>5</v>
      </c>
      <c r="P53" s="1"/>
    </row>
    <row r="54" spans="2:24" x14ac:dyDescent="0.25">
      <c r="B54" t="s">
        <v>0</v>
      </c>
      <c r="C54" s="24">
        <v>416</v>
      </c>
      <c r="D54" s="24">
        <v>400</v>
      </c>
      <c r="E54" s="24">
        <v>400</v>
      </c>
      <c r="F54" s="24">
        <v>416</v>
      </c>
      <c r="G54" s="24">
        <v>384</v>
      </c>
      <c r="H54" s="24">
        <v>432</v>
      </c>
      <c r="I54" s="24">
        <v>400</v>
      </c>
      <c r="J54" s="24">
        <v>416</v>
      </c>
      <c r="K54" s="24">
        <v>416</v>
      </c>
      <c r="L54" s="24">
        <v>400</v>
      </c>
      <c r="M54" s="24">
        <v>432</v>
      </c>
      <c r="N54" s="24">
        <v>384</v>
      </c>
      <c r="O54" s="8">
        <f>+SUM(C54:N54)</f>
        <v>4896</v>
      </c>
    </row>
    <row r="55" spans="2:24" x14ac:dyDescent="0.25">
      <c r="B55" t="s">
        <v>1</v>
      </c>
      <c r="C55" s="24">
        <v>328</v>
      </c>
      <c r="D55" s="24">
        <v>321</v>
      </c>
      <c r="E55" s="24">
        <v>344</v>
      </c>
      <c r="F55" s="24">
        <v>328</v>
      </c>
      <c r="G55" s="24">
        <v>288</v>
      </c>
      <c r="H55" s="24">
        <v>311</v>
      </c>
      <c r="I55" s="24">
        <v>320</v>
      </c>
      <c r="J55" s="24">
        <v>328</v>
      </c>
      <c r="K55" s="24">
        <v>304</v>
      </c>
      <c r="L55" s="24">
        <v>344</v>
      </c>
      <c r="M55" s="24">
        <v>312</v>
      </c>
      <c r="N55" s="24">
        <v>336</v>
      </c>
      <c r="O55" s="8">
        <f>+SUM(C55:N55)</f>
        <v>3864</v>
      </c>
      <c r="W55" s="2"/>
      <c r="X55" s="2"/>
    </row>
    <row r="56" spans="2:24" x14ac:dyDescent="0.25">
      <c r="B56" t="s">
        <v>5</v>
      </c>
      <c r="C56" s="7">
        <f t="shared" ref="C56:N56" si="17">+SUM(C54:C55)</f>
        <v>744</v>
      </c>
      <c r="D56" s="7">
        <f t="shared" si="17"/>
        <v>721</v>
      </c>
      <c r="E56" s="7">
        <f t="shared" si="17"/>
        <v>744</v>
      </c>
      <c r="F56" s="7">
        <f t="shared" si="17"/>
        <v>744</v>
      </c>
      <c r="G56" s="7">
        <f t="shared" si="17"/>
        <v>672</v>
      </c>
      <c r="H56" s="7">
        <f t="shared" si="17"/>
        <v>743</v>
      </c>
      <c r="I56" s="7">
        <f t="shared" si="17"/>
        <v>720</v>
      </c>
      <c r="J56" s="7">
        <f t="shared" si="17"/>
        <v>744</v>
      </c>
      <c r="K56" s="7">
        <f t="shared" si="17"/>
        <v>720</v>
      </c>
      <c r="L56" s="7">
        <f t="shared" si="17"/>
        <v>744</v>
      </c>
      <c r="M56" s="7">
        <f t="shared" si="17"/>
        <v>744</v>
      </c>
      <c r="N56" s="7">
        <f t="shared" si="17"/>
        <v>720</v>
      </c>
      <c r="O56" s="8">
        <f>+SUM(C56:N56)</f>
        <v>8760</v>
      </c>
      <c r="W56" s="2"/>
      <c r="X56" s="2"/>
    </row>
    <row r="57" spans="2:24" x14ac:dyDescent="0.25">
      <c r="C57" s="54"/>
      <c r="D57" s="54"/>
      <c r="E57" s="54"/>
      <c r="F57" s="54"/>
      <c r="G57" s="54"/>
      <c r="H57" s="54"/>
      <c r="I57" s="54"/>
      <c r="J57" s="54"/>
      <c r="K57" s="54"/>
      <c r="L57" s="54"/>
      <c r="M57" s="54"/>
      <c r="N57" s="54"/>
    </row>
    <row r="58" spans="2:24" x14ac:dyDescent="0.25">
      <c r="B58" s="10" t="s">
        <v>93</v>
      </c>
    </row>
    <row r="59" spans="2:24" x14ac:dyDescent="0.25">
      <c r="C59" s="1">
        <v>47027</v>
      </c>
      <c r="D59" s="1">
        <f t="shared" ref="D59:N59" si="18">+EOMONTH(C59,0)+1</f>
        <v>47058</v>
      </c>
      <c r="E59" s="1">
        <f t="shared" si="18"/>
        <v>47088</v>
      </c>
      <c r="F59" s="1">
        <f t="shared" si="18"/>
        <v>47119</v>
      </c>
      <c r="G59" s="1">
        <f t="shared" si="18"/>
        <v>47150</v>
      </c>
      <c r="H59" s="1">
        <f t="shared" si="18"/>
        <v>47178</v>
      </c>
      <c r="I59" s="1">
        <f t="shared" si="18"/>
        <v>47209</v>
      </c>
      <c r="J59" s="1">
        <f t="shared" si="18"/>
        <v>47239</v>
      </c>
      <c r="K59" s="1">
        <f t="shared" si="18"/>
        <v>47270</v>
      </c>
      <c r="L59" s="1">
        <f t="shared" si="18"/>
        <v>47300</v>
      </c>
      <c r="M59" s="1">
        <f t="shared" si="18"/>
        <v>47331</v>
      </c>
      <c r="N59" s="1">
        <f t="shared" si="18"/>
        <v>47362</v>
      </c>
      <c r="O59" s="1"/>
      <c r="P59" s="1"/>
    </row>
    <row r="60" spans="2:24" outlineLevel="1" x14ac:dyDescent="0.25">
      <c r="B60" t="s">
        <v>108</v>
      </c>
      <c r="C60" s="32">
        <f t="shared" ref="C60:N60" si="19">+C63/C54</f>
        <v>59.383090930748409</v>
      </c>
      <c r="D60" s="32">
        <f t="shared" si="19"/>
        <v>74.119242140670892</v>
      </c>
      <c r="E60" s="32">
        <f t="shared" si="19"/>
        <v>73.034537276838122</v>
      </c>
      <c r="F60" s="32">
        <f t="shared" si="19"/>
        <v>59.835846848022115</v>
      </c>
      <c r="G60" s="32">
        <f t="shared" si="19"/>
        <v>62.6419067450041</v>
      </c>
      <c r="H60" s="32">
        <f t="shared" si="19"/>
        <v>58.374149379205406</v>
      </c>
      <c r="I60" s="32">
        <f t="shared" si="19"/>
        <v>46.39017950789416</v>
      </c>
      <c r="J60" s="32">
        <f t="shared" si="19"/>
        <v>63.962554365290025</v>
      </c>
      <c r="K60" s="32">
        <f t="shared" si="19"/>
        <v>88.424171409420495</v>
      </c>
      <c r="L60" s="32">
        <f t="shared" si="19"/>
        <v>74.875126009662267</v>
      </c>
      <c r="M60" s="32">
        <f t="shared" si="19"/>
        <v>64.270580573711314</v>
      </c>
      <c r="N60" s="32">
        <f t="shared" si="19"/>
        <v>63.914130893880731</v>
      </c>
    </row>
    <row r="61" spans="2:24" outlineLevel="1" x14ac:dyDescent="0.25">
      <c r="B61" t="s">
        <v>109</v>
      </c>
      <c r="C61" s="32">
        <f t="shared" ref="C61:N61" si="20">+C64/C55</f>
        <v>41.558049679484135</v>
      </c>
      <c r="D61" s="32">
        <f t="shared" si="20"/>
        <v>57.180227667806449</v>
      </c>
      <c r="E61" s="32">
        <f t="shared" si="20"/>
        <v>53.484705477730515</v>
      </c>
      <c r="F61" s="32">
        <f t="shared" si="20"/>
        <v>45.964417914305415</v>
      </c>
      <c r="G61" s="32">
        <f t="shared" si="20"/>
        <v>48.566260661627979</v>
      </c>
      <c r="H61" s="32">
        <f t="shared" si="20"/>
        <v>47.59839039838964</v>
      </c>
      <c r="I61" s="32">
        <f t="shared" si="20"/>
        <v>36.588544502050624</v>
      </c>
      <c r="J61" s="32">
        <f t="shared" si="20"/>
        <v>49.59800719458611</v>
      </c>
      <c r="K61" s="32">
        <f t="shared" si="20"/>
        <v>56.005923971228832</v>
      </c>
      <c r="L61" s="32">
        <f t="shared" si="20"/>
        <v>42.730558349722294</v>
      </c>
      <c r="M61" s="32">
        <f t="shared" si="20"/>
        <v>43.1792201938933</v>
      </c>
      <c r="N61" s="32">
        <f t="shared" si="20"/>
        <v>42.67772117049018</v>
      </c>
    </row>
    <row r="62" spans="2:24" outlineLevel="1" x14ac:dyDescent="0.25">
      <c r="B62" t="s">
        <v>2</v>
      </c>
      <c r="C62" s="32">
        <f t="shared" ref="C62:N62" si="21">+(C60*C54+C61*C55)/SUM(C54:C55)</f>
        <v>51.524739411373837</v>
      </c>
      <c r="D62" s="32">
        <f t="shared" si="21"/>
        <v>66.577739164541228</v>
      </c>
      <c r="E62" s="32">
        <f t="shared" si="21"/>
        <v>63.995367735315241</v>
      </c>
      <c r="F62" s="32">
        <f t="shared" si="21"/>
        <v>53.72048570520078</v>
      </c>
      <c r="G62" s="32">
        <f t="shared" si="21"/>
        <v>56.609486994985758</v>
      </c>
      <c r="H62" s="32">
        <f t="shared" si="21"/>
        <v>53.863703830034879</v>
      </c>
      <c r="I62" s="32">
        <f t="shared" si="21"/>
        <v>42.033897283074815</v>
      </c>
      <c r="J62" s="32">
        <f t="shared" si="21"/>
        <v>57.62979701046357</v>
      </c>
      <c r="K62" s="32">
        <f t="shared" si="21"/>
        <v>74.736466935517342</v>
      </c>
      <c r="L62" s="32">
        <f t="shared" si="21"/>
        <v>60.01258397334594</v>
      </c>
      <c r="M62" s="32">
        <f t="shared" si="21"/>
        <v>55.425816543465046</v>
      </c>
      <c r="N62" s="32">
        <f t="shared" si="21"/>
        <v>54.003806356298476</v>
      </c>
    </row>
    <row r="63" spans="2:24" outlineLevel="1" x14ac:dyDescent="0.25">
      <c r="B63" t="s">
        <v>9</v>
      </c>
      <c r="C63" s="8">
        <f t="shared" ref="C63:N63" si="22">+$E$19*C105</f>
        <v>24703.365827191337</v>
      </c>
      <c r="D63" s="8">
        <f t="shared" si="22"/>
        <v>29647.696856268354</v>
      </c>
      <c r="E63" s="8">
        <f t="shared" si="22"/>
        <v>29213.814910735251</v>
      </c>
      <c r="F63" s="8">
        <f t="shared" si="22"/>
        <v>24891.712288777198</v>
      </c>
      <c r="G63" s="8">
        <f t="shared" si="22"/>
        <v>24054.492190081575</v>
      </c>
      <c r="H63" s="8">
        <f t="shared" si="22"/>
        <v>25217.632531816736</v>
      </c>
      <c r="I63" s="8">
        <f t="shared" si="22"/>
        <v>18556.071803157665</v>
      </c>
      <c r="J63" s="8">
        <f t="shared" si="22"/>
        <v>26608.422615960651</v>
      </c>
      <c r="K63" s="8">
        <f t="shared" si="22"/>
        <v>36784.455306318923</v>
      </c>
      <c r="L63" s="8">
        <f t="shared" si="22"/>
        <v>29950.050403864909</v>
      </c>
      <c r="M63" s="8">
        <f t="shared" si="22"/>
        <v>27764.890807843291</v>
      </c>
      <c r="N63" s="8">
        <f t="shared" si="22"/>
        <v>24543.026263250202</v>
      </c>
    </row>
    <row r="64" spans="2:24" outlineLevel="1" x14ac:dyDescent="0.25">
      <c r="B64" t="s">
        <v>10</v>
      </c>
      <c r="C64" s="8">
        <f t="shared" ref="C64:N64" si="23">+$E$19*C106</f>
        <v>13631.040294870796</v>
      </c>
      <c r="D64" s="8">
        <f t="shared" si="23"/>
        <v>18354.853081365869</v>
      </c>
      <c r="E64" s="8">
        <f t="shared" si="23"/>
        <v>18398.738684339296</v>
      </c>
      <c r="F64" s="8">
        <f t="shared" si="23"/>
        <v>15076.329075892176</v>
      </c>
      <c r="G64" s="8">
        <f t="shared" si="23"/>
        <v>13987.083070548859</v>
      </c>
      <c r="H64" s="8">
        <f t="shared" si="23"/>
        <v>14803.099413899177</v>
      </c>
      <c r="I64" s="8">
        <f t="shared" si="23"/>
        <v>11708.334240656201</v>
      </c>
      <c r="J64" s="8">
        <f t="shared" si="23"/>
        <v>16268.146359824244</v>
      </c>
      <c r="K64" s="8">
        <f t="shared" si="23"/>
        <v>17025.800887253565</v>
      </c>
      <c r="L64" s="8">
        <f t="shared" si="23"/>
        <v>14699.312072304469</v>
      </c>
      <c r="M64" s="8">
        <f t="shared" si="23"/>
        <v>13471.91670049471</v>
      </c>
      <c r="N64" s="8">
        <f t="shared" si="23"/>
        <v>14339.714313284701</v>
      </c>
    </row>
    <row r="65" spans="2:14" outlineLevel="1" x14ac:dyDescent="0.25">
      <c r="B65" t="s">
        <v>8</v>
      </c>
      <c r="C65" s="8">
        <f t="shared" ref="C65:N65" si="24">+SUM(C63:C64)</f>
        <v>38334.406122062137</v>
      </c>
      <c r="D65" s="8">
        <f t="shared" si="24"/>
        <v>48002.54993763422</v>
      </c>
      <c r="E65" s="8">
        <f t="shared" si="24"/>
        <v>47612.553595074547</v>
      </c>
      <c r="F65" s="8">
        <f t="shared" si="24"/>
        <v>39968.041364669378</v>
      </c>
      <c r="G65" s="8">
        <f t="shared" si="24"/>
        <v>38041.57526063043</v>
      </c>
      <c r="H65" s="8">
        <f t="shared" si="24"/>
        <v>40020.731945715917</v>
      </c>
      <c r="I65" s="8">
        <f t="shared" si="24"/>
        <v>30264.406043813866</v>
      </c>
      <c r="J65" s="8">
        <f t="shared" si="24"/>
        <v>42876.568975784896</v>
      </c>
      <c r="K65" s="8">
        <f t="shared" si="24"/>
        <v>53810.256193572488</v>
      </c>
      <c r="L65" s="8">
        <f t="shared" si="24"/>
        <v>44649.362476169379</v>
      </c>
      <c r="M65" s="8">
        <f t="shared" si="24"/>
        <v>41236.807508338003</v>
      </c>
      <c r="N65" s="8">
        <f t="shared" si="24"/>
        <v>38882.740576534903</v>
      </c>
    </row>
    <row r="66" spans="2:14" outlineLevel="1" x14ac:dyDescent="0.25">
      <c r="B66" s="20" t="s">
        <v>104</v>
      </c>
      <c r="C66" s="7"/>
      <c r="D66" s="7"/>
      <c r="E66" s="7"/>
      <c r="F66" s="7"/>
      <c r="G66" s="7"/>
      <c r="H66" s="7"/>
      <c r="I66" s="7"/>
      <c r="J66" s="7"/>
      <c r="K66" s="7"/>
      <c r="L66" s="7"/>
      <c r="M66" s="7"/>
      <c r="N66" s="7"/>
    </row>
    <row r="67" spans="2:14" outlineLevel="1" x14ac:dyDescent="0.25">
      <c r="B67" t="s">
        <v>51</v>
      </c>
      <c r="C67" s="8">
        <f t="shared" ref="C67:N67" si="25">+MAX(0,C35-C63)</f>
        <v>23136.63417280867</v>
      </c>
      <c r="D67" s="8">
        <f t="shared" si="25"/>
        <v>16352.303143731653</v>
      </c>
      <c r="E67" s="8">
        <f t="shared" si="25"/>
        <v>16786.185089264756</v>
      </c>
      <c r="F67" s="8">
        <f t="shared" si="25"/>
        <v>22948.287711222809</v>
      </c>
      <c r="G67" s="8">
        <f t="shared" si="25"/>
        <v>20105.507809918432</v>
      </c>
      <c r="H67" s="8">
        <f t="shared" si="25"/>
        <v>24462.367468183271</v>
      </c>
      <c r="I67" s="8">
        <f t="shared" si="25"/>
        <v>27443.928196842342</v>
      </c>
      <c r="J67" s="8">
        <f t="shared" si="25"/>
        <v>21231.577384039356</v>
      </c>
      <c r="K67" s="8">
        <f t="shared" si="25"/>
        <v>11055.544693681084</v>
      </c>
      <c r="L67" s="8">
        <f t="shared" si="25"/>
        <v>16049.949596135099</v>
      </c>
      <c r="M67" s="8">
        <f t="shared" si="25"/>
        <v>21915.109192156717</v>
      </c>
      <c r="N67" s="8">
        <f t="shared" si="25"/>
        <v>19616.973736749806</v>
      </c>
    </row>
    <row r="68" spans="2:14" outlineLevel="1" x14ac:dyDescent="0.25">
      <c r="B68" t="s">
        <v>52</v>
      </c>
      <c r="C68" s="8">
        <f t="shared" ref="C68:N68" si="26">+MAX(0,C36-C64)</f>
        <v>24088.959705129211</v>
      </c>
      <c r="D68" s="8">
        <f t="shared" si="26"/>
        <v>18560.146918634138</v>
      </c>
      <c r="E68" s="8">
        <f t="shared" si="26"/>
        <v>21161.261315660711</v>
      </c>
      <c r="F68" s="8">
        <f t="shared" si="26"/>
        <v>22643.670924107832</v>
      </c>
      <c r="G68" s="8">
        <f t="shared" si="26"/>
        <v>19132.916929451148</v>
      </c>
      <c r="H68" s="8">
        <f t="shared" si="26"/>
        <v>20961.90058610083</v>
      </c>
      <c r="I68" s="8">
        <f t="shared" si="26"/>
        <v>25091.665759343807</v>
      </c>
      <c r="J68" s="8">
        <f t="shared" si="26"/>
        <v>21451.853640175763</v>
      </c>
      <c r="K68" s="8">
        <f t="shared" si="26"/>
        <v>17934.199112746443</v>
      </c>
      <c r="L68" s="8">
        <f t="shared" si="26"/>
        <v>24860.687927695537</v>
      </c>
      <c r="M68" s="8">
        <f t="shared" si="26"/>
        <v>22408.083299505299</v>
      </c>
      <c r="N68" s="8">
        <f t="shared" si="26"/>
        <v>24300.285686715306</v>
      </c>
    </row>
    <row r="69" spans="2:14" outlineLevel="1" x14ac:dyDescent="0.25">
      <c r="B69" t="s">
        <v>8</v>
      </c>
      <c r="C69" s="8">
        <f t="shared" ref="C69:N69" si="27">+SUM(C67:C68)</f>
        <v>47225.593877937878</v>
      </c>
      <c r="D69" s="8">
        <f t="shared" si="27"/>
        <v>34912.450062365795</v>
      </c>
      <c r="E69" s="8">
        <f t="shared" si="27"/>
        <v>37947.446404925468</v>
      </c>
      <c r="F69" s="8">
        <f t="shared" si="27"/>
        <v>45591.958635330637</v>
      </c>
      <c r="G69" s="8">
        <f t="shared" si="27"/>
        <v>39238.424739369584</v>
      </c>
      <c r="H69" s="8">
        <f t="shared" si="27"/>
        <v>45424.268054284097</v>
      </c>
      <c r="I69" s="8">
        <f t="shared" si="27"/>
        <v>52535.593956186145</v>
      </c>
      <c r="J69" s="8">
        <f t="shared" si="27"/>
        <v>42683.431024215119</v>
      </c>
      <c r="K69" s="8">
        <f t="shared" si="27"/>
        <v>28989.743806427527</v>
      </c>
      <c r="L69" s="8">
        <f t="shared" si="27"/>
        <v>40910.637523830635</v>
      </c>
      <c r="M69" s="8">
        <f t="shared" si="27"/>
        <v>44323.192491662019</v>
      </c>
      <c r="N69" s="8">
        <f t="shared" si="27"/>
        <v>43917.259423465111</v>
      </c>
    </row>
    <row r="70" spans="2:14" x14ac:dyDescent="0.25">
      <c r="B70" t="s">
        <v>115</v>
      </c>
      <c r="C70" s="33">
        <f t="shared" ref="C70:N70" si="28">+C69/SUM($C$69:$N$69)</f>
        <v>9.3757383120781967E-2</v>
      </c>
      <c r="D70" s="33">
        <f t="shared" si="28"/>
        <v>6.9311991388457006E-2</v>
      </c>
      <c r="E70" s="33">
        <f t="shared" si="28"/>
        <v>7.5337396078867316E-2</v>
      </c>
      <c r="F70" s="33">
        <f t="shared" si="28"/>
        <v>9.0514112835677257E-2</v>
      </c>
      <c r="G70" s="33">
        <f t="shared" si="28"/>
        <v>7.7900386617767686E-2</v>
      </c>
      <c r="H70" s="33">
        <f t="shared" si="28"/>
        <v>9.0181195263617425E-2</v>
      </c>
      <c r="I70" s="33">
        <f t="shared" si="28"/>
        <v>0.10429937255546187</v>
      </c>
      <c r="J70" s="33">
        <f t="shared" si="28"/>
        <v>8.4739787620041931E-2</v>
      </c>
      <c r="K70" s="33">
        <f t="shared" si="28"/>
        <v>5.7553591039165228E-2</v>
      </c>
      <c r="L70" s="33">
        <f t="shared" si="28"/>
        <v>8.1220245232937527E-2</v>
      </c>
      <c r="M70" s="33">
        <f t="shared" si="28"/>
        <v>8.7995220352713954E-2</v>
      </c>
      <c r="N70" s="33">
        <f t="shared" si="28"/>
        <v>8.7189317894510843E-2</v>
      </c>
    </row>
    <row r="71" spans="2:14" x14ac:dyDescent="0.25">
      <c r="C71" s="21"/>
      <c r="D71" s="21"/>
      <c r="E71" s="21"/>
      <c r="F71" s="21"/>
      <c r="G71" s="21"/>
      <c r="H71" s="21"/>
      <c r="I71" s="21"/>
      <c r="J71" s="21"/>
      <c r="K71" s="21"/>
      <c r="L71" s="21"/>
      <c r="M71" s="21"/>
      <c r="N71" s="21"/>
    </row>
    <row r="72" spans="2:14" x14ac:dyDescent="0.25">
      <c r="B72" s="10" t="s">
        <v>125</v>
      </c>
      <c r="C72" s="21"/>
      <c r="D72" s="21"/>
      <c r="E72" s="21"/>
      <c r="F72" s="21"/>
      <c r="G72" s="21"/>
      <c r="H72" s="21"/>
      <c r="I72" s="21"/>
      <c r="J72" s="21"/>
      <c r="K72" s="21"/>
      <c r="L72" s="21"/>
      <c r="M72" s="21"/>
      <c r="N72" s="21"/>
    </row>
    <row r="73" spans="2:14" x14ac:dyDescent="0.25">
      <c r="B73" t="s">
        <v>0</v>
      </c>
      <c r="C73" s="52">
        <f t="shared" ref="C73:N73" si="29">+IF($G$19="Flat",C54/C56,0.6)</f>
        <v>0.6</v>
      </c>
      <c r="D73" s="52">
        <f t="shared" si="29"/>
        <v>0.6</v>
      </c>
      <c r="E73" s="52">
        <f t="shared" si="29"/>
        <v>0.6</v>
      </c>
      <c r="F73" s="52">
        <f t="shared" si="29"/>
        <v>0.6</v>
      </c>
      <c r="G73" s="52">
        <f t="shared" si="29"/>
        <v>0.6</v>
      </c>
      <c r="H73" s="52">
        <f t="shared" si="29"/>
        <v>0.6</v>
      </c>
      <c r="I73" s="52">
        <f t="shared" si="29"/>
        <v>0.6</v>
      </c>
      <c r="J73" s="52">
        <f t="shared" si="29"/>
        <v>0.6</v>
      </c>
      <c r="K73" s="52">
        <f t="shared" si="29"/>
        <v>0.6</v>
      </c>
      <c r="L73" s="52">
        <f t="shared" si="29"/>
        <v>0.6</v>
      </c>
      <c r="M73" s="52">
        <f t="shared" si="29"/>
        <v>0.6</v>
      </c>
      <c r="N73" s="52">
        <f t="shared" si="29"/>
        <v>0.6</v>
      </c>
    </row>
    <row r="74" spans="2:14" x14ac:dyDescent="0.25">
      <c r="C74" s="51"/>
      <c r="D74" s="51"/>
      <c r="E74" s="51"/>
      <c r="F74" s="51"/>
      <c r="G74" s="51"/>
      <c r="H74" s="51"/>
      <c r="I74" s="51"/>
      <c r="J74" s="51"/>
      <c r="K74" s="51"/>
      <c r="L74" s="51"/>
      <c r="M74" s="51"/>
      <c r="N74" s="51"/>
    </row>
    <row r="75" spans="2:14" x14ac:dyDescent="0.25">
      <c r="B75" s="10" t="s">
        <v>117</v>
      </c>
      <c r="C75" s="21"/>
      <c r="D75" s="21"/>
      <c r="E75" s="21"/>
      <c r="F75" s="21"/>
      <c r="G75" s="21"/>
      <c r="H75" s="21"/>
      <c r="I75" s="21"/>
      <c r="J75" s="21"/>
      <c r="K75" s="21"/>
      <c r="L75" s="21"/>
      <c r="M75" s="21"/>
      <c r="N75" s="21"/>
    </row>
    <row r="76" spans="2:14" x14ac:dyDescent="0.25">
      <c r="B76" t="s">
        <v>108</v>
      </c>
      <c r="C76" s="51">
        <f t="shared" ref="C76:N76" si="30">C$81/C$56</f>
        <v>63.475260588626178</v>
      </c>
      <c r="D76" s="51">
        <f t="shared" si="30"/>
        <v>48.4222608354588</v>
      </c>
      <c r="E76" s="51">
        <f t="shared" si="30"/>
        <v>51.004632264684766</v>
      </c>
      <c r="F76" s="51">
        <f t="shared" si="30"/>
        <v>61.279514294799242</v>
      </c>
      <c r="G76" s="51">
        <f t="shared" si="30"/>
        <v>58.390513005014263</v>
      </c>
      <c r="H76" s="51">
        <f t="shared" si="30"/>
        <v>61.136296169965135</v>
      </c>
      <c r="I76" s="51">
        <f t="shared" si="30"/>
        <v>72.966102716925207</v>
      </c>
      <c r="J76" s="51">
        <f t="shared" si="30"/>
        <v>57.370202989536452</v>
      </c>
      <c r="K76" s="51">
        <f t="shared" si="30"/>
        <v>40.263533064482672</v>
      </c>
      <c r="L76" s="51">
        <f t="shared" si="30"/>
        <v>54.987416026654081</v>
      </c>
      <c r="M76" s="51">
        <f t="shared" si="30"/>
        <v>59.574183456534975</v>
      </c>
      <c r="N76" s="51">
        <f t="shared" si="30"/>
        <v>60.996193643701545</v>
      </c>
    </row>
    <row r="77" spans="2:14" x14ac:dyDescent="0.25">
      <c r="B77" t="s">
        <v>109</v>
      </c>
      <c r="C77" s="51">
        <f t="shared" ref="C77:N77" si="31">+(C$81-C$76*C$54)/C$55</f>
        <v>63.475260588626185</v>
      </c>
      <c r="D77" s="51">
        <f t="shared" si="31"/>
        <v>48.4222608354588</v>
      </c>
      <c r="E77" s="51">
        <f t="shared" si="31"/>
        <v>51.004632264684766</v>
      </c>
      <c r="F77" s="51">
        <f t="shared" si="31"/>
        <v>61.279514294799242</v>
      </c>
      <c r="G77" s="51">
        <f t="shared" si="31"/>
        <v>58.390513005014263</v>
      </c>
      <c r="H77" s="51">
        <f t="shared" si="31"/>
        <v>61.136296169965142</v>
      </c>
      <c r="I77" s="51">
        <f t="shared" si="31"/>
        <v>72.966102716925192</v>
      </c>
      <c r="J77" s="51">
        <f t="shared" si="31"/>
        <v>57.370202989536445</v>
      </c>
      <c r="K77" s="51">
        <f t="shared" si="31"/>
        <v>40.263533064482679</v>
      </c>
      <c r="L77" s="51">
        <f t="shared" si="31"/>
        <v>54.987416026654074</v>
      </c>
      <c r="M77" s="51">
        <f t="shared" si="31"/>
        <v>59.574183456534961</v>
      </c>
      <c r="N77" s="51">
        <f t="shared" si="31"/>
        <v>60.996193643701538</v>
      </c>
    </row>
    <row r="78" spans="2:14" x14ac:dyDescent="0.25">
      <c r="B78" t="s">
        <v>2</v>
      </c>
      <c r="C78" s="23">
        <f t="shared" ref="C78:N78" si="32">+(C76*C54+C77*C55)/C56</f>
        <v>63.475260588626178</v>
      </c>
      <c r="D78" s="23">
        <f t="shared" si="32"/>
        <v>48.4222608354588</v>
      </c>
      <c r="E78" s="23">
        <f t="shared" si="32"/>
        <v>51.004632264684766</v>
      </c>
      <c r="F78" s="23">
        <f t="shared" si="32"/>
        <v>61.279514294799242</v>
      </c>
      <c r="G78" s="23">
        <f t="shared" si="32"/>
        <v>58.390513005014263</v>
      </c>
      <c r="H78" s="23">
        <f t="shared" si="32"/>
        <v>61.136296169965135</v>
      </c>
      <c r="I78" s="23">
        <f t="shared" si="32"/>
        <v>72.966102716925207</v>
      </c>
      <c r="J78" s="23">
        <f t="shared" si="32"/>
        <v>57.370202989536452</v>
      </c>
      <c r="K78" s="23">
        <f t="shared" si="32"/>
        <v>40.263533064482672</v>
      </c>
      <c r="L78" s="23">
        <f t="shared" si="32"/>
        <v>54.987416026654081</v>
      </c>
      <c r="M78" s="23">
        <f t="shared" si="32"/>
        <v>59.574183456534975</v>
      </c>
      <c r="N78" s="23">
        <f t="shared" si="32"/>
        <v>60.996193643701545</v>
      </c>
    </row>
    <row r="79" spans="2:14" x14ac:dyDescent="0.25">
      <c r="B79" t="s">
        <v>9</v>
      </c>
      <c r="C79" s="8">
        <f t="shared" ref="C79:N79" si="33">+C76*C54</f>
        <v>26405.708404868488</v>
      </c>
      <c r="D79" s="8">
        <f t="shared" si="33"/>
        <v>19368.90433418352</v>
      </c>
      <c r="E79" s="8">
        <f t="shared" si="33"/>
        <v>20401.852905873908</v>
      </c>
      <c r="F79" s="8">
        <f t="shared" si="33"/>
        <v>25492.277946636485</v>
      </c>
      <c r="G79" s="8">
        <f t="shared" si="33"/>
        <v>22421.956993925476</v>
      </c>
      <c r="H79" s="8">
        <f t="shared" si="33"/>
        <v>26410.879945424938</v>
      </c>
      <c r="I79" s="8">
        <f t="shared" si="33"/>
        <v>29186.441086770083</v>
      </c>
      <c r="J79" s="8">
        <f t="shared" si="33"/>
        <v>23866.004443647165</v>
      </c>
      <c r="K79" s="8">
        <f t="shared" si="33"/>
        <v>16749.629754824793</v>
      </c>
      <c r="L79" s="8">
        <f t="shared" si="33"/>
        <v>21994.966410661633</v>
      </c>
      <c r="M79" s="8">
        <f t="shared" si="33"/>
        <v>25736.047253223111</v>
      </c>
      <c r="N79" s="8">
        <f t="shared" si="33"/>
        <v>23422.538359181395</v>
      </c>
    </row>
    <row r="80" spans="2:14" x14ac:dyDescent="0.25">
      <c r="B80" t="s">
        <v>10</v>
      </c>
      <c r="C80" s="8">
        <f t="shared" ref="C80:N80" si="34">+C77*C55</f>
        <v>20819.885473069389</v>
      </c>
      <c r="D80" s="8">
        <f t="shared" si="34"/>
        <v>15543.545728182275</v>
      </c>
      <c r="E80" s="8">
        <f t="shared" si="34"/>
        <v>17545.59349905156</v>
      </c>
      <c r="F80" s="8">
        <f t="shared" si="34"/>
        <v>20099.680688694152</v>
      </c>
      <c r="G80" s="8">
        <f t="shared" si="34"/>
        <v>16816.467745444108</v>
      </c>
      <c r="H80" s="8">
        <f t="shared" si="34"/>
        <v>19013.388108859159</v>
      </c>
      <c r="I80" s="8">
        <f t="shared" si="34"/>
        <v>23349.152869416062</v>
      </c>
      <c r="J80" s="8">
        <f t="shared" si="34"/>
        <v>18817.426580567953</v>
      </c>
      <c r="K80" s="8">
        <f t="shared" si="34"/>
        <v>12240.114051602735</v>
      </c>
      <c r="L80" s="8">
        <f t="shared" si="34"/>
        <v>18915.671113169003</v>
      </c>
      <c r="M80" s="8">
        <f t="shared" si="34"/>
        <v>18587.145238438909</v>
      </c>
      <c r="N80" s="8">
        <f t="shared" si="34"/>
        <v>20494.721064283716</v>
      </c>
    </row>
    <row r="81" spans="2:15" x14ac:dyDescent="0.25">
      <c r="B81" t="s">
        <v>8</v>
      </c>
      <c r="C81" s="8">
        <f t="shared" ref="C81:N81" si="35">+(SUM($C$37:$N$37)-SUM($C$65:$N$65))*C$70</f>
        <v>47225.593877937878</v>
      </c>
      <c r="D81" s="8">
        <f t="shared" si="35"/>
        <v>34912.450062365795</v>
      </c>
      <c r="E81" s="8">
        <f t="shared" si="35"/>
        <v>37947.446404925468</v>
      </c>
      <c r="F81" s="8">
        <f t="shared" si="35"/>
        <v>45591.958635330637</v>
      </c>
      <c r="G81" s="8">
        <f t="shared" si="35"/>
        <v>39238.424739369584</v>
      </c>
      <c r="H81" s="8">
        <f t="shared" si="35"/>
        <v>45424.268054284097</v>
      </c>
      <c r="I81" s="8">
        <f t="shared" si="35"/>
        <v>52535.593956186145</v>
      </c>
      <c r="J81" s="8">
        <f t="shared" si="35"/>
        <v>42683.431024215119</v>
      </c>
      <c r="K81" s="8">
        <f t="shared" si="35"/>
        <v>28989.743806427527</v>
      </c>
      <c r="L81" s="8">
        <f t="shared" si="35"/>
        <v>40910.637523830635</v>
      </c>
      <c r="M81" s="8">
        <f t="shared" si="35"/>
        <v>44323.192491662019</v>
      </c>
      <c r="N81" s="8">
        <f t="shared" si="35"/>
        <v>43917.259423465111</v>
      </c>
      <c r="O81" s="56">
        <f>+SUM(C81:N81)-0.5*C84*SUM(C56:N56)</f>
        <v>-36808.846153846243</v>
      </c>
    </row>
    <row r="83" spans="2:15" x14ac:dyDescent="0.25">
      <c r="B83" s="10" t="s">
        <v>103</v>
      </c>
      <c r="C83" s="21"/>
      <c r="D83" s="21"/>
      <c r="E83" s="21"/>
      <c r="F83" s="21"/>
      <c r="G83" s="21"/>
      <c r="H83" s="21"/>
      <c r="I83" s="21"/>
      <c r="J83" s="21"/>
      <c r="K83" s="21"/>
      <c r="L83" s="21"/>
      <c r="M83" s="21"/>
      <c r="N83" s="21"/>
    </row>
    <row r="84" spans="2:15" x14ac:dyDescent="0.25">
      <c r="B84" t="s">
        <v>108</v>
      </c>
      <c r="C84" s="51">
        <f t="shared" ref="C84:N84" si="36">+C87/C54</f>
        <v>123.40384615384617</v>
      </c>
      <c r="D84" s="51">
        <f t="shared" si="36"/>
        <v>124.37250000000002</v>
      </c>
      <c r="E84" s="51">
        <f t="shared" si="36"/>
        <v>128.34000000000003</v>
      </c>
      <c r="F84" s="51">
        <f t="shared" si="36"/>
        <v>123.40384615384617</v>
      </c>
      <c r="G84" s="51">
        <f t="shared" si="36"/>
        <v>120.75000000000001</v>
      </c>
      <c r="H84" s="51">
        <f t="shared" si="36"/>
        <v>118.67361111111113</v>
      </c>
      <c r="I84" s="51">
        <f t="shared" si="36"/>
        <v>124.20000000000002</v>
      </c>
      <c r="J84" s="51">
        <f t="shared" si="36"/>
        <v>123.40384615384617</v>
      </c>
      <c r="K84" s="51">
        <f t="shared" si="36"/>
        <v>119.42307692307693</v>
      </c>
      <c r="L84" s="51">
        <f t="shared" si="36"/>
        <v>128.34000000000003</v>
      </c>
      <c r="M84" s="51">
        <f t="shared" si="36"/>
        <v>118.83333333333336</v>
      </c>
      <c r="N84" s="51">
        <f t="shared" si="36"/>
        <v>129.37500000000003</v>
      </c>
    </row>
    <row r="85" spans="2:15" x14ac:dyDescent="0.25">
      <c r="B85" t="s">
        <v>109</v>
      </c>
      <c r="C85" s="51">
        <f t="shared" ref="C85:N85" si="37">+C88/C55</f>
        <v>104.34146341463416</v>
      </c>
      <c r="D85" s="51">
        <f t="shared" si="37"/>
        <v>103.32087227414333</v>
      </c>
      <c r="E85" s="51">
        <f t="shared" si="37"/>
        <v>99.488372093023273</v>
      </c>
      <c r="F85" s="51">
        <f t="shared" si="37"/>
        <v>104.34146341463416</v>
      </c>
      <c r="G85" s="51">
        <f t="shared" si="37"/>
        <v>107.33333333333336</v>
      </c>
      <c r="H85" s="51">
        <f t="shared" si="37"/>
        <v>109.89710610932478</v>
      </c>
      <c r="I85" s="51">
        <f t="shared" si="37"/>
        <v>103.50000000000003</v>
      </c>
      <c r="J85" s="51">
        <f t="shared" si="37"/>
        <v>104.34146341463416</v>
      </c>
      <c r="K85" s="51">
        <f t="shared" si="37"/>
        <v>108.94736842105266</v>
      </c>
      <c r="L85" s="51">
        <f t="shared" si="37"/>
        <v>99.488372093023273</v>
      </c>
      <c r="M85" s="51">
        <f t="shared" si="37"/>
        <v>109.69230769230772</v>
      </c>
      <c r="N85" s="51">
        <f t="shared" si="37"/>
        <v>98.571428571428598</v>
      </c>
    </row>
    <row r="86" spans="2:15" x14ac:dyDescent="0.25">
      <c r="B86" t="s">
        <v>2</v>
      </c>
      <c r="C86" s="58">
        <f>+SUMPRODUCT(C34:N34,C56:N56)/SUM(C56:N56)</f>
        <v>115.00000000000001</v>
      </c>
      <c r="D86" s="51">
        <f t="shared" ref="D86:N86" si="38">+C86</f>
        <v>115.00000000000001</v>
      </c>
      <c r="E86" s="51">
        <f t="shared" si="38"/>
        <v>115.00000000000001</v>
      </c>
      <c r="F86" s="51">
        <f t="shared" si="38"/>
        <v>115.00000000000001</v>
      </c>
      <c r="G86" s="51">
        <f t="shared" si="38"/>
        <v>115.00000000000001</v>
      </c>
      <c r="H86" s="51">
        <f t="shared" si="38"/>
        <v>115.00000000000001</v>
      </c>
      <c r="I86" s="51">
        <f t="shared" si="38"/>
        <v>115.00000000000001</v>
      </c>
      <c r="J86" s="51">
        <f t="shared" si="38"/>
        <v>115.00000000000001</v>
      </c>
      <c r="K86" s="51">
        <f t="shared" si="38"/>
        <v>115.00000000000001</v>
      </c>
      <c r="L86" s="51">
        <f t="shared" si="38"/>
        <v>115.00000000000001</v>
      </c>
      <c r="M86" s="51">
        <f t="shared" si="38"/>
        <v>115.00000000000001</v>
      </c>
      <c r="N86" s="51">
        <f t="shared" si="38"/>
        <v>115.00000000000001</v>
      </c>
    </row>
    <row r="87" spans="2:15" x14ac:dyDescent="0.25">
      <c r="B87" t="s">
        <v>9</v>
      </c>
      <c r="C87" s="8">
        <f t="shared" ref="C87:N87" si="39">+C89*C73</f>
        <v>51336.000000000007</v>
      </c>
      <c r="D87" s="8">
        <f t="shared" si="39"/>
        <v>49749.000000000007</v>
      </c>
      <c r="E87" s="8">
        <f t="shared" si="39"/>
        <v>51336.000000000007</v>
      </c>
      <c r="F87" s="8">
        <f t="shared" si="39"/>
        <v>51336.000000000007</v>
      </c>
      <c r="G87" s="8">
        <f t="shared" si="39"/>
        <v>46368.000000000007</v>
      </c>
      <c r="H87" s="8">
        <f t="shared" si="39"/>
        <v>51267.000000000007</v>
      </c>
      <c r="I87" s="8">
        <f t="shared" si="39"/>
        <v>49680.000000000007</v>
      </c>
      <c r="J87" s="8">
        <f t="shared" si="39"/>
        <v>51336.000000000007</v>
      </c>
      <c r="K87" s="8">
        <f t="shared" si="39"/>
        <v>49680.000000000007</v>
      </c>
      <c r="L87" s="8">
        <f t="shared" si="39"/>
        <v>51336.000000000007</v>
      </c>
      <c r="M87" s="8">
        <f t="shared" si="39"/>
        <v>51336.000000000007</v>
      </c>
      <c r="N87" s="8">
        <f t="shared" si="39"/>
        <v>49680.000000000007</v>
      </c>
    </row>
    <row r="88" spans="2:15" x14ac:dyDescent="0.25">
      <c r="B88" t="s">
        <v>10</v>
      </c>
      <c r="C88" s="8">
        <f t="shared" ref="C88:N88" si="40">+C89-C87</f>
        <v>34224.000000000007</v>
      </c>
      <c r="D88" s="8">
        <f t="shared" si="40"/>
        <v>33166.000000000007</v>
      </c>
      <c r="E88" s="8">
        <f t="shared" si="40"/>
        <v>34224.000000000007</v>
      </c>
      <c r="F88" s="8">
        <f t="shared" si="40"/>
        <v>34224.000000000007</v>
      </c>
      <c r="G88" s="8">
        <f t="shared" si="40"/>
        <v>30912.000000000007</v>
      </c>
      <c r="H88" s="8">
        <f t="shared" si="40"/>
        <v>34178.000000000007</v>
      </c>
      <c r="I88" s="8">
        <f t="shared" si="40"/>
        <v>33120.000000000007</v>
      </c>
      <c r="J88" s="8">
        <f t="shared" si="40"/>
        <v>34224.000000000007</v>
      </c>
      <c r="K88" s="8">
        <f t="shared" si="40"/>
        <v>33120.000000000007</v>
      </c>
      <c r="L88" s="8">
        <f t="shared" si="40"/>
        <v>34224.000000000007</v>
      </c>
      <c r="M88" s="8">
        <f t="shared" si="40"/>
        <v>34224.000000000007</v>
      </c>
      <c r="N88" s="8">
        <f t="shared" si="40"/>
        <v>33120.000000000007</v>
      </c>
    </row>
    <row r="89" spans="2:15" x14ac:dyDescent="0.25">
      <c r="B89" t="s">
        <v>8</v>
      </c>
      <c r="C89" s="8">
        <f t="shared" ref="C89:N89" si="41">+C86*C56</f>
        <v>85560.000000000015</v>
      </c>
      <c r="D89" s="8">
        <f t="shared" si="41"/>
        <v>82915.000000000015</v>
      </c>
      <c r="E89" s="8">
        <f t="shared" si="41"/>
        <v>85560.000000000015</v>
      </c>
      <c r="F89" s="8">
        <f t="shared" si="41"/>
        <v>85560.000000000015</v>
      </c>
      <c r="G89" s="8">
        <f t="shared" si="41"/>
        <v>77280.000000000015</v>
      </c>
      <c r="H89" s="8">
        <f t="shared" si="41"/>
        <v>85445.000000000015</v>
      </c>
      <c r="I89" s="8">
        <f t="shared" si="41"/>
        <v>82800.000000000015</v>
      </c>
      <c r="J89" s="8">
        <f t="shared" si="41"/>
        <v>85560.000000000015</v>
      </c>
      <c r="K89" s="8">
        <f t="shared" si="41"/>
        <v>82800.000000000015</v>
      </c>
      <c r="L89" s="8">
        <f t="shared" si="41"/>
        <v>85560.000000000015</v>
      </c>
      <c r="M89" s="8">
        <f t="shared" si="41"/>
        <v>85560.000000000015</v>
      </c>
      <c r="N89" s="8">
        <f t="shared" si="41"/>
        <v>82800.000000000015</v>
      </c>
    </row>
    <row r="90" spans="2:15" x14ac:dyDescent="0.25">
      <c r="C90" s="8"/>
      <c r="D90" s="8"/>
      <c r="E90" s="8"/>
      <c r="F90" s="8"/>
      <c r="G90" s="8"/>
      <c r="H90" s="8"/>
      <c r="I90" s="8"/>
      <c r="J90" s="8"/>
      <c r="K90" s="8"/>
      <c r="L90" s="8"/>
      <c r="M90" s="8"/>
      <c r="N90" s="8"/>
    </row>
    <row r="91" spans="2:15" x14ac:dyDescent="0.25">
      <c r="B91" s="10" t="s">
        <v>105</v>
      </c>
      <c r="E91" s="8"/>
      <c r="F91" s="8"/>
      <c r="G91" s="8"/>
      <c r="H91" s="8"/>
      <c r="I91" s="8"/>
      <c r="J91" s="8"/>
      <c r="K91" s="8"/>
      <c r="L91" s="8"/>
      <c r="M91" s="8"/>
      <c r="N91" s="8"/>
    </row>
    <row r="92" spans="2:15" x14ac:dyDescent="0.25">
      <c r="B92" s="20" t="s">
        <v>104</v>
      </c>
      <c r="C92" s="7"/>
      <c r="E92" s="7"/>
      <c r="F92" s="7"/>
      <c r="G92" s="7"/>
      <c r="H92" s="7"/>
      <c r="I92" s="7"/>
      <c r="J92" s="7"/>
      <c r="K92" s="7"/>
      <c r="L92" s="7"/>
      <c r="M92" s="7"/>
      <c r="N92" s="7"/>
    </row>
    <row r="93" spans="2:15" x14ac:dyDescent="0.25">
      <c r="B93" t="s">
        <v>108</v>
      </c>
      <c r="C93" s="51">
        <f t="shared" ref="C93:N93" si="42">+C96/C54</f>
        <v>121.08173076923077</v>
      </c>
      <c r="D93" s="51">
        <f t="shared" si="42"/>
        <v>125.925</v>
      </c>
      <c r="E93" s="51">
        <f t="shared" si="42"/>
        <v>125.925</v>
      </c>
      <c r="F93" s="51">
        <f t="shared" si="42"/>
        <v>121.08173076923077</v>
      </c>
      <c r="G93" s="51">
        <f t="shared" si="42"/>
        <v>131.171875</v>
      </c>
      <c r="H93" s="51">
        <f t="shared" si="42"/>
        <v>116.59722222222223</v>
      </c>
      <c r="I93" s="51">
        <f t="shared" si="42"/>
        <v>125.925</v>
      </c>
      <c r="J93" s="51">
        <f t="shared" si="42"/>
        <v>121.08173076923077</v>
      </c>
      <c r="K93" s="51">
        <f t="shared" si="42"/>
        <v>121.08173076923077</v>
      </c>
      <c r="L93" s="51">
        <f t="shared" si="42"/>
        <v>125.925</v>
      </c>
      <c r="M93" s="51">
        <f t="shared" si="42"/>
        <v>116.59722222222223</v>
      </c>
      <c r="N93" s="51">
        <f t="shared" si="42"/>
        <v>131.171875</v>
      </c>
    </row>
    <row r="94" spans="2:15" x14ac:dyDescent="0.25">
      <c r="B94" t="s">
        <v>109</v>
      </c>
      <c r="C94" s="51">
        <f t="shared" ref="C94:N94" si="43">+C97/C55</f>
        <v>102.3780487804878</v>
      </c>
      <c r="D94" s="51">
        <f t="shared" si="43"/>
        <v>104.61059190031153</v>
      </c>
      <c r="E94" s="51">
        <f t="shared" si="43"/>
        <v>97.616279069767444</v>
      </c>
      <c r="F94" s="51">
        <f t="shared" si="43"/>
        <v>102.3780487804878</v>
      </c>
      <c r="G94" s="51">
        <f t="shared" si="43"/>
        <v>116.59722222222223</v>
      </c>
      <c r="H94" s="51">
        <f t="shared" si="43"/>
        <v>107.97427652733118</v>
      </c>
      <c r="I94" s="51">
        <f t="shared" si="43"/>
        <v>104.9375</v>
      </c>
      <c r="J94" s="51">
        <f t="shared" si="43"/>
        <v>102.3780487804878</v>
      </c>
      <c r="K94" s="51">
        <f t="shared" si="43"/>
        <v>110.46052631578948</v>
      </c>
      <c r="L94" s="51">
        <f t="shared" si="43"/>
        <v>97.616279069767444</v>
      </c>
      <c r="M94" s="51">
        <f t="shared" si="43"/>
        <v>107.62820512820512</v>
      </c>
      <c r="N94" s="51">
        <f t="shared" si="43"/>
        <v>99.94047619047619</v>
      </c>
    </row>
    <row r="95" spans="2:15" x14ac:dyDescent="0.25">
      <c r="B95" t="s">
        <v>2</v>
      </c>
      <c r="C95" s="23">
        <f t="shared" ref="C95:N95" si="44">+C98/C56</f>
        <v>112.83602150537635</v>
      </c>
      <c r="D95" s="23">
        <f t="shared" si="44"/>
        <v>116.43550624133148</v>
      </c>
      <c r="E95" s="23">
        <f t="shared" si="44"/>
        <v>112.83602150537635</v>
      </c>
      <c r="F95" s="23">
        <f t="shared" si="44"/>
        <v>112.83602150537635</v>
      </c>
      <c r="G95" s="23">
        <f t="shared" si="44"/>
        <v>124.92559523809524</v>
      </c>
      <c r="H95" s="23">
        <f t="shared" si="44"/>
        <v>112.9878869448183</v>
      </c>
      <c r="I95" s="23">
        <f t="shared" si="44"/>
        <v>116.59722222222223</v>
      </c>
      <c r="J95" s="23">
        <f t="shared" si="44"/>
        <v>112.83602150537635</v>
      </c>
      <c r="K95" s="23">
        <f t="shared" si="44"/>
        <v>116.59722222222223</v>
      </c>
      <c r="L95" s="23">
        <f t="shared" si="44"/>
        <v>112.83602150537635</v>
      </c>
      <c r="M95" s="23">
        <f t="shared" si="44"/>
        <v>112.83602150537635</v>
      </c>
      <c r="N95" s="23">
        <f t="shared" si="44"/>
        <v>116.59722222222223</v>
      </c>
    </row>
    <row r="96" spans="2:15" x14ac:dyDescent="0.25">
      <c r="B96" t="s">
        <v>9</v>
      </c>
      <c r="C96" s="8">
        <f t="shared" ref="C96:N96" si="45">+IF($G$19="Flat",C98*C54/C56,0.6*C98)</f>
        <v>50370</v>
      </c>
      <c r="D96" s="8">
        <f t="shared" si="45"/>
        <v>50370</v>
      </c>
      <c r="E96" s="8">
        <f t="shared" si="45"/>
        <v>50370</v>
      </c>
      <c r="F96" s="8">
        <f t="shared" si="45"/>
        <v>50370</v>
      </c>
      <c r="G96" s="8">
        <f t="shared" si="45"/>
        <v>50370</v>
      </c>
      <c r="H96" s="8">
        <f t="shared" si="45"/>
        <v>50370</v>
      </c>
      <c r="I96" s="8">
        <f t="shared" si="45"/>
        <v>50370</v>
      </c>
      <c r="J96" s="8">
        <f t="shared" si="45"/>
        <v>50370</v>
      </c>
      <c r="K96" s="8">
        <f t="shared" si="45"/>
        <v>50370</v>
      </c>
      <c r="L96" s="8">
        <f t="shared" si="45"/>
        <v>50370</v>
      </c>
      <c r="M96" s="8">
        <f t="shared" si="45"/>
        <v>50370</v>
      </c>
      <c r="N96" s="8">
        <f t="shared" si="45"/>
        <v>50370</v>
      </c>
    </row>
    <row r="97" spans="1:24" x14ac:dyDescent="0.25">
      <c r="B97" t="s">
        <v>10</v>
      </c>
      <c r="C97" s="8">
        <f t="shared" ref="C97:N97" si="46">+C98-C96</f>
        <v>33580</v>
      </c>
      <c r="D97" s="8">
        <f t="shared" si="46"/>
        <v>33580</v>
      </c>
      <c r="E97" s="8">
        <f t="shared" si="46"/>
        <v>33580</v>
      </c>
      <c r="F97" s="8">
        <f t="shared" si="46"/>
        <v>33580</v>
      </c>
      <c r="G97" s="8">
        <f t="shared" si="46"/>
        <v>33580</v>
      </c>
      <c r="H97" s="8">
        <f t="shared" si="46"/>
        <v>33580</v>
      </c>
      <c r="I97" s="8">
        <f t="shared" si="46"/>
        <v>33580</v>
      </c>
      <c r="J97" s="8">
        <f t="shared" si="46"/>
        <v>33580</v>
      </c>
      <c r="K97" s="8">
        <f t="shared" si="46"/>
        <v>33580</v>
      </c>
      <c r="L97" s="8">
        <f t="shared" si="46"/>
        <v>33580</v>
      </c>
      <c r="M97" s="8">
        <f t="shared" si="46"/>
        <v>33580</v>
      </c>
      <c r="N97" s="8">
        <f t="shared" si="46"/>
        <v>33580</v>
      </c>
    </row>
    <row r="98" spans="1:24" x14ac:dyDescent="0.25">
      <c r="B98" t="s">
        <v>8</v>
      </c>
      <c r="C98" s="8">
        <f t="shared" ref="C98:N98" si="47">+SUM($C$37:$N$37)*C99</f>
        <v>83950</v>
      </c>
      <c r="D98" s="8">
        <f t="shared" si="47"/>
        <v>83950</v>
      </c>
      <c r="E98" s="8">
        <f t="shared" si="47"/>
        <v>83950</v>
      </c>
      <c r="F98" s="8">
        <f t="shared" si="47"/>
        <v>83950</v>
      </c>
      <c r="G98" s="8">
        <f t="shared" si="47"/>
        <v>83950</v>
      </c>
      <c r="H98" s="8">
        <f t="shared" si="47"/>
        <v>83950</v>
      </c>
      <c r="I98" s="8">
        <f t="shared" si="47"/>
        <v>83950</v>
      </c>
      <c r="J98" s="8">
        <f t="shared" si="47"/>
        <v>83950</v>
      </c>
      <c r="K98" s="8">
        <f t="shared" si="47"/>
        <v>83950</v>
      </c>
      <c r="L98" s="8">
        <f t="shared" si="47"/>
        <v>83950</v>
      </c>
      <c r="M98" s="8">
        <f t="shared" si="47"/>
        <v>83950</v>
      </c>
      <c r="N98" s="8">
        <f t="shared" si="47"/>
        <v>83950</v>
      </c>
      <c r="O98" s="27">
        <f>+SUM(C98:N98)-SUM(C89:N89)</f>
        <v>0</v>
      </c>
    </row>
    <row r="99" spans="1:24" x14ac:dyDescent="0.25">
      <c r="B99" t="s">
        <v>53</v>
      </c>
      <c r="C99" s="33">
        <f t="shared" ref="C99:N99" si="48">+C$34/SUM($C$34:$N$34)</f>
        <v>8.3333333333333329E-2</v>
      </c>
      <c r="D99" s="33">
        <f t="shared" si="48"/>
        <v>8.3333333333333329E-2</v>
      </c>
      <c r="E99" s="33">
        <f t="shared" si="48"/>
        <v>8.3333333333333329E-2</v>
      </c>
      <c r="F99" s="33">
        <f t="shared" si="48"/>
        <v>8.3333333333333329E-2</v>
      </c>
      <c r="G99" s="33">
        <f t="shared" si="48"/>
        <v>8.3333333333333329E-2</v>
      </c>
      <c r="H99" s="33">
        <f t="shared" si="48"/>
        <v>8.3333333333333329E-2</v>
      </c>
      <c r="I99" s="33">
        <f t="shared" si="48"/>
        <v>8.3333333333333329E-2</v>
      </c>
      <c r="J99" s="33">
        <f t="shared" si="48"/>
        <v>8.3333333333333329E-2</v>
      </c>
      <c r="K99" s="33">
        <f t="shared" si="48"/>
        <v>8.3333333333333329E-2</v>
      </c>
      <c r="L99" s="33">
        <f t="shared" si="48"/>
        <v>8.3333333333333329E-2</v>
      </c>
      <c r="M99" s="33">
        <f t="shared" si="48"/>
        <v>8.3333333333333329E-2</v>
      </c>
      <c r="N99" s="33">
        <f t="shared" si="48"/>
        <v>8.3333333333333329E-2</v>
      </c>
    </row>
    <row r="100" spans="1:24" x14ac:dyDescent="0.25">
      <c r="C100" s="33"/>
      <c r="D100" s="33"/>
      <c r="E100" s="33"/>
      <c r="F100" s="33"/>
      <c r="G100" s="33"/>
      <c r="H100" s="33"/>
      <c r="I100" s="33"/>
      <c r="J100" s="33"/>
      <c r="K100" s="33"/>
      <c r="L100" s="33"/>
      <c r="M100" s="33"/>
      <c r="N100" s="33"/>
    </row>
    <row r="101" spans="1:24" x14ac:dyDescent="0.25">
      <c r="B101" s="9" t="s">
        <v>50</v>
      </c>
      <c r="W101" s="2"/>
      <c r="X101" s="2"/>
    </row>
    <row r="102" spans="1:24" x14ac:dyDescent="0.25">
      <c r="C102" s="1">
        <v>47027</v>
      </c>
      <c r="D102" s="1">
        <f t="shared" ref="D102:N102" si="49">+EOMONTH(C102,0)+1</f>
        <v>47058</v>
      </c>
      <c r="E102" s="1">
        <f t="shared" si="49"/>
        <v>47088</v>
      </c>
      <c r="F102" s="1">
        <f t="shared" si="49"/>
        <v>47119</v>
      </c>
      <c r="G102" s="1">
        <f t="shared" si="49"/>
        <v>47150</v>
      </c>
      <c r="H102" s="1">
        <f t="shared" si="49"/>
        <v>47178</v>
      </c>
      <c r="I102" s="1">
        <f t="shared" si="49"/>
        <v>47209</v>
      </c>
      <c r="J102" s="1">
        <f t="shared" si="49"/>
        <v>47239</v>
      </c>
      <c r="K102" s="1">
        <f t="shared" si="49"/>
        <v>47270</v>
      </c>
      <c r="L102" s="1">
        <f t="shared" si="49"/>
        <v>47300</v>
      </c>
      <c r="M102" s="1">
        <f t="shared" si="49"/>
        <v>47331</v>
      </c>
      <c r="N102" s="1">
        <f t="shared" si="49"/>
        <v>47362</v>
      </c>
      <c r="W102" s="2"/>
      <c r="X102" s="2"/>
    </row>
    <row r="103" spans="1:24" x14ac:dyDescent="0.25">
      <c r="B103" t="s">
        <v>0</v>
      </c>
      <c r="C103" s="30">
        <v>2960275.489114</v>
      </c>
      <c r="D103" s="30">
        <v>3589633.3222940001</v>
      </c>
      <c r="E103" s="30">
        <v>3534926.4682919998</v>
      </c>
      <c r="F103" s="30">
        <v>2984023.5212269998</v>
      </c>
      <c r="G103" s="30">
        <v>2890345.3504189998</v>
      </c>
      <c r="H103" s="30">
        <v>3019175.6310530002</v>
      </c>
      <c r="I103" s="30">
        <v>2191124.0764669999</v>
      </c>
      <c r="J103" s="30">
        <v>3200478.3016110002</v>
      </c>
      <c r="K103" s="30">
        <v>4483543.2930039996</v>
      </c>
      <c r="L103" s="30">
        <v>3627756.160904</v>
      </c>
      <c r="M103" s="30">
        <v>3340351.6745520001</v>
      </c>
      <c r="N103" s="30">
        <v>2951943.1248619999</v>
      </c>
      <c r="O103" s="4">
        <v>7250</v>
      </c>
      <c r="W103" s="2"/>
      <c r="X103" s="2"/>
    </row>
    <row r="104" spans="1:24" x14ac:dyDescent="0.25">
      <c r="B104" t="s">
        <v>1</v>
      </c>
      <c r="C104" s="30">
        <v>1596881.660408</v>
      </c>
      <c r="D104" s="30">
        <v>2195092.542324</v>
      </c>
      <c r="E104" s="30">
        <v>2192084.0582619999</v>
      </c>
      <c r="F104" s="30">
        <v>1779113.724102</v>
      </c>
      <c r="G104" s="30">
        <v>1656629.4646040001</v>
      </c>
      <c r="H104" s="30">
        <v>1750976.5956329999</v>
      </c>
      <c r="I104" s="30">
        <v>1357424.59659</v>
      </c>
      <c r="J104" s="30">
        <v>1929386.3381630001</v>
      </c>
      <c r="K104" s="30">
        <v>2033829.9641529999</v>
      </c>
      <c r="L104" s="30">
        <v>1725634.6158749999</v>
      </c>
      <c r="M104" s="30">
        <v>1582760.4323700001</v>
      </c>
      <c r="N104" s="30">
        <v>1683265.119712</v>
      </c>
      <c r="O104" s="31">
        <f>+SUM(C103:N104)/$O$56</f>
        <v>6878.6136445199754</v>
      </c>
      <c r="W104" s="2"/>
      <c r="X104" s="2"/>
    </row>
    <row r="105" spans="1:24" x14ac:dyDescent="0.25">
      <c r="A105" s="29" t="s">
        <v>57</v>
      </c>
      <c r="B105" t="s">
        <v>0</v>
      </c>
      <c r="C105" s="30">
        <f t="shared" ref="C105:N105" si="50">+C103+($O$103-$O$104)*C54</f>
        <v>3114772.2129936903</v>
      </c>
      <c r="D105" s="30">
        <f t="shared" si="50"/>
        <v>3738187.8644860098</v>
      </c>
      <c r="E105" s="30">
        <f t="shared" si="50"/>
        <v>3683481.0104840095</v>
      </c>
      <c r="F105" s="30">
        <f t="shared" si="50"/>
        <v>3138520.2451066901</v>
      </c>
      <c r="G105" s="30">
        <f t="shared" si="50"/>
        <v>3032957.710923329</v>
      </c>
      <c r="H105" s="30">
        <f t="shared" si="50"/>
        <v>3179614.536620371</v>
      </c>
      <c r="I105" s="30">
        <f t="shared" si="50"/>
        <v>2339678.6186590097</v>
      </c>
      <c r="J105" s="30">
        <f t="shared" si="50"/>
        <v>3354975.0254906905</v>
      </c>
      <c r="K105" s="30">
        <f t="shared" si="50"/>
        <v>4638040.0168836899</v>
      </c>
      <c r="L105" s="30">
        <f t="shared" si="50"/>
        <v>3776310.7030960098</v>
      </c>
      <c r="M105" s="30">
        <f t="shared" si="50"/>
        <v>3500790.5801193709</v>
      </c>
      <c r="N105" s="30">
        <f t="shared" si="50"/>
        <v>3094555.4853663296</v>
      </c>
      <c r="O105" s="18"/>
      <c r="W105" s="2"/>
      <c r="X105" s="2"/>
    </row>
    <row r="106" spans="1:24" x14ac:dyDescent="0.25">
      <c r="B106" t="s">
        <v>1</v>
      </c>
      <c r="C106" s="30">
        <f t="shared" ref="C106:N106" si="51">+C104+($O$103-$O$104)*C55</f>
        <v>1718696.385005448</v>
      </c>
      <c r="D106" s="30">
        <f t="shared" si="51"/>
        <v>2314307.5624330877</v>
      </c>
      <c r="E106" s="30">
        <f t="shared" si="51"/>
        <v>2319840.9645471284</v>
      </c>
      <c r="F106" s="30">
        <f t="shared" si="51"/>
        <v>1900928.448699448</v>
      </c>
      <c r="G106" s="30">
        <f t="shared" si="51"/>
        <v>1763588.7349822472</v>
      </c>
      <c r="H106" s="30">
        <f t="shared" si="51"/>
        <v>1866477.7521872874</v>
      </c>
      <c r="I106" s="30">
        <f t="shared" si="51"/>
        <v>1476268.2303436077</v>
      </c>
      <c r="J106" s="30">
        <f t="shared" si="51"/>
        <v>2051201.0627604481</v>
      </c>
      <c r="K106" s="30">
        <f t="shared" si="51"/>
        <v>2146731.4162189276</v>
      </c>
      <c r="L106" s="30">
        <f t="shared" si="51"/>
        <v>1853391.5221601285</v>
      </c>
      <c r="M106" s="30">
        <f t="shared" si="51"/>
        <v>1698632.9752797678</v>
      </c>
      <c r="N106" s="30">
        <f t="shared" si="51"/>
        <v>1808050.9351532883</v>
      </c>
      <c r="O106" s="18"/>
      <c r="W106" s="2"/>
      <c r="X106" s="2"/>
    </row>
    <row r="107" spans="1:24" x14ac:dyDescent="0.25">
      <c r="W107" s="2"/>
      <c r="X107" s="2"/>
    </row>
    <row r="108" spans="1:24" x14ac:dyDescent="0.25">
      <c r="B108" s="47" t="s">
        <v>95</v>
      </c>
      <c r="W108" s="2"/>
      <c r="X108" s="2"/>
    </row>
    <row r="109" spans="1:24" x14ac:dyDescent="0.25">
      <c r="C109" s="1">
        <v>47027</v>
      </c>
      <c r="D109" s="1">
        <f t="shared" ref="D109:N109" si="52">+EOMONTH(C109,0)+1</f>
        <v>47058</v>
      </c>
      <c r="E109" s="1">
        <f t="shared" si="52"/>
        <v>47088</v>
      </c>
      <c r="F109" s="1">
        <f t="shared" si="52"/>
        <v>47119</v>
      </c>
      <c r="G109" s="1">
        <f t="shared" si="52"/>
        <v>47150</v>
      </c>
      <c r="H109" s="1">
        <f t="shared" si="52"/>
        <v>47178</v>
      </c>
      <c r="I109" s="1">
        <f t="shared" si="52"/>
        <v>47209</v>
      </c>
      <c r="J109" s="1">
        <f t="shared" si="52"/>
        <v>47239</v>
      </c>
      <c r="K109" s="1">
        <f t="shared" si="52"/>
        <v>47270</v>
      </c>
      <c r="L109" s="1">
        <f t="shared" si="52"/>
        <v>47300</v>
      </c>
      <c r="M109" s="1">
        <f t="shared" si="52"/>
        <v>47331</v>
      </c>
      <c r="N109" s="1">
        <f t="shared" si="52"/>
        <v>47362</v>
      </c>
      <c r="W109" s="2"/>
      <c r="X109" s="2"/>
    </row>
    <row r="110" spans="1:24" x14ac:dyDescent="0.25">
      <c r="B110" t="s">
        <v>0</v>
      </c>
      <c r="C110" s="5">
        <v>50.63</v>
      </c>
      <c r="D110" s="5">
        <v>39.53</v>
      </c>
      <c r="E110" s="5">
        <v>47.63</v>
      </c>
      <c r="F110" s="5">
        <v>43.56</v>
      </c>
      <c r="G110" s="5">
        <v>45.43</v>
      </c>
      <c r="H110" s="5">
        <v>29.19</v>
      </c>
      <c r="I110" s="5">
        <v>22.33</v>
      </c>
      <c r="J110" s="5">
        <v>8.6</v>
      </c>
      <c r="K110" s="5">
        <v>15.1</v>
      </c>
      <c r="L110" s="5">
        <v>50.98</v>
      </c>
      <c r="M110" s="5">
        <v>53.8</v>
      </c>
      <c r="N110" s="5">
        <v>60.51</v>
      </c>
      <c r="W110" s="2"/>
      <c r="X110" s="2"/>
    </row>
    <row r="111" spans="1:24" x14ac:dyDescent="0.25">
      <c r="B111" t="s">
        <v>1</v>
      </c>
      <c r="C111" s="5">
        <v>48.85</v>
      </c>
      <c r="D111" s="5">
        <v>41.64</v>
      </c>
      <c r="E111" s="5">
        <v>48.79</v>
      </c>
      <c r="F111" s="5">
        <v>43.8</v>
      </c>
      <c r="G111" s="5">
        <v>49.18</v>
      </c>
      <c r="H111" s="5">
        <v>34.54</v>
      </c>
      <c r="I111" s="5">
        <v>27.09</v>
      </c>
      <c r="J111" s="5">
        <v>12.73</v>
      </c>
      <c r="K111" s="5">
        <v>16.079999999999998</v>
      </c>
      <c r="L111" s="5">
        <v>48.06</v>
      </c>
      <c r="M111" s="5">
        <v>50.32</v>
      </c>
      <c r="N111" s="5">
        <v>59.06</v>
      </c>
      <c r="W111" s="2"/>
      <c r="X111" s="2"/>
    </row>
    <row r="112" spans="1:24" x14ac:dyDescent="0.25">
      <c r="W112" s="2"/>
      <c r="X112" s="2"/>
    </row>
    <row r="113" spans="1:55" x14ac:dyDescent="0.25">
      <c r="B113" s="9" t="s">
        <v>59</v>
      </c>
      <c r="W113" s="2"/>
      <c r="X113" s="2"/>
    </row>
    <row r="114" spans="1:55" x14ac:dyDescent="0.25">
      <c r="C114" s="1">
        <v>47027</v>
      </c>
      <c r="D114" s="1">
        <f t="shared" ref="D114:N114" si="53">+EOMONTH(C114,0)+1</f>
        <v>47058</v>
      </c>
      <c r="E114" s="1">
        <f t="shared" si="53"/>
        <v>47088</v>
      </c>
      <c r="F114" s="1">
        <f t="shared" si="53"/>
        <v>47119</v>
      </c>
      <c r="G114" s="1">
        <f t="shared" si="53"/>
        <v>47150</v>
      </c>
      <c r="H114" s="1">
        <f t="shared" si="53"/>
        <v>47178</v>
      </c>
      <c r="I114" s="1">
        <f t="shared" si="53"/>
        <v>47209</v>
      </c>
      <c r="J114" s="1">
        <f t="shared" si="53"/>
        <v>47239</v>
      </c>
      <c r="K114" s="1">
        <f t="shared" si="53"/>
        <v>47270</v>
      </c>
      <c r="L114" s="1">
        <f t="shared" si="53"/>
        <v>47300</v>
      </c>
      <c r="M114" s="1">
        <f t="shared" si="53"/>
        <v>47331</v>
      </c>
      <c r="N114" s="1">
        <f t="shared" si="53"/>
        <v>47362</v>
      </c>
      <c r="O114" t="s">
        <v>3</v>
      </c>
      <c r="W114" s="2"/>
      <c r="X114" s="2"/>
    </row>
    <row r="115" spans="1:55" x14ac:dyDescent="0.25">
      <c r="B115" t="s">
        <v>2</v>
      </c>
      <c r="C115" s="5">
        <v>15.21</v>
      </c>
      <c r="D115" s="5">
        <v>11.88</v>
      </c>
      <c r="E115" s="5">
        <v>14.31</v>
      </c>
      <c r="F115" s="5">
        <v>13.09</v>
      </c>
      <c r="G115" s="5">
        <v>13.65</v>
      </c>
      <c r="H115" s="5">
        <v>8.7799999999999994</v>
      </c>
      <c r="I115" s="5">
        <v>6.71</v>
      </c>
      <c r="J115" s="5">
        <v>2.58</v>
      </c>
      <c r="K115" s="5">
        <v>4.53</v>
      </c>
      <c r="L115" s="5">
        <v>15.32</v>
      </c>
      <c r="M115" s="5">
        <v>16.16</v>
      </c>
      <c r="N115" s="5">
        <v>18.18</v>
      </c>
      <c r="O115" s="6">
        <v>11.7</v>
      </c>
      <c r="W115" s="2"/>
      <c r="X115" s="2"/>
    </row>
    <row r="116" spans="1:55" x14ac:dyDescent="0.25">
      <c r="W116" s="2"/>
      <c r="X116" s="2"/>
    </row>
    <row r="117" spans="1:55" x14ac:dyDescent="0.25">
      <c r="B117" s="9" t="s">
        <v>4</v>
      </c>
      <c r="W117" s="2"/>
      <c r="X117" s="2"/>
    </row>
    <row r="118" spans="1:55" x14ac:dyDescent="0.25">
      <c r="C118" s="1">
        <v>47027</v>
      </c>
      <c r="D118" s="1">
        <f t="shared" ref="D118:N118" si="54">+EOMONTH(C118,0)+1</f>
        <v>47058</v>
      </c>
      <c r="E118" s="1">
        <f t="shared" si="54"/>
        <v>47088</v>
      </c>
      <c r="F118" s="1">
        <f t="shared" si="54"/>
        <v>47119</v>
      </c>
      <c r="G118" s="1">
        <f t="shared" si="54"/>
        <v>47150</v>
      </c>
      <c r="H118" s="1">
        <f t="shared" si="54"/>
        <v>47178</v>
      </c>
      <c r="I118" s="1">
        <f t="shared" si="54"/>
        <v>47209</v>
      </c>
      <c r="J118" s="1">
        <f t="shared" si="54"/>
        <v>47239</v>
      </c>
      <c r="K118" s="1">
        <f t="shared" si="54"/>
        <v>47270</v>
      </c>
      <c r="L118" s="1">
        <f t="shared" si="54"/>
        <v>47300</v>
      </c>
      <c r="M118" s="1">
        <f t="shared" si="54"/>
        <v>47331</v>
      </c>
      <c r="N118" s="1">
        <f t="shared" si="54"/>
        <v>47362</v>
      </c>
      <c r="O118" t="s">
        <v>3</v>
      </c>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row>
    <row r="119" spans="1:55" x14ac:dyDescent="0.25">
      <c r="B119" t="s">
        <v>2</v>
      </c>
      <c r="C119" s="5">
        <v>6.49</v>
      </c>
      <c r="D119" s="5">
        <v>5.07</v>
      </c>
      <c r="E119" s="5">
        <v>6.1</v>
      </c>
      <c r="F119" s="5">
        <v>5.58</v>
      </c>
      <c r="G119" s="5">
        <v>5.82</v>
      </c>
      <c r="H119" s="5">
        <v>3.74</v>
      </c>
      <c r="I119" s="5">
        <v>2.86</v>
      </c>
      <c r="J119" s="5">
        <v>1.1000000000000001</v>
      </c>
      <c r="K119" s="5">
        <v>1.93</v>
      </c>
      <c r="L119" s="5">
        <v>6.53</v>
      </c>
      <c r="M119" s="5">
        <v>6.89</v>
      </c>
      <c r="N119" s="5">
        <v>7.75</v>
      </c>
      <c r="O119" s="6">
        <v>4.99</v>
      </c>
    </row>
    <row r="121" spans="1:55" x14ac:dyDescent="0.25">
      <c r="B121" s="9" t="s">
        <v>11</v>
      </c>
    </row>
    <row r="122" spans="1:55" x14ac:dyDescent="0.25">
      <c r="C122" s="1">
        <v>47027</v>
      </c>
      <c r="D122" s="1">
        <f t="shared" ref="D122:N122" si="55">+EOMONTH(C122,0)+1</f>
        <v>47058</v>
      </c>
      <c r="E122" s="1">
        <f t="shared" si="55"/>
        <v>47088</v>
      </c>
      <c r="F122" s="1">
        <f t="shared" si="55"/>
        <v>47119</v>
      </c>
      <c r="G122" s="1">
        <f t="shared" si="55"/>
        <v>47150</v>
      </c>
      <c r="H122" s="1">
        <f t="shared" si="55"/>
        <v>47178</v>
      </c>
      <c r="I122" s="1">
        <f t="shared" si="55"/>
        <v>47209</v>
      </c>
      <c r="J122" s="1">
        <f t="shared" si="55"/>
        <v>47239</v>
      </c>
      <c r="K122" s="1">
        <f t="shared" si="55"/>
        <v>47270</v>
      </c>
      <c r="L122" s="1">
        <f t="shared" si="55"/>
        <v>47300</v>
      </c>
      <c r="M122" s="1">
        <f t="shared" si="55"/>
        <v>47331</v>
      </c>
      <c r="N122" s="1">
        <f t="shared" si="55"/>
        <v>47362</v>
      </c>
      <c r="O122" t="s">
        <v>3</v>
      </c>
    </row>
    <row r="123" spans="1:55" x14ac:dyDescent="0.25">
      <c r="A123" s="29" t="s">
        <v>58</v>
      </c>
      <c r="B123" t="s">
        <v>2</v>
      </c>
      <c r="C123" s="50">
        <v>0.93942740128405144</v>
      </c>
      <c r="D123" s="50">
        <v>0.93942740128405144</v>
      </c>
      <c r="E123" s="50">
        <v>0.93942740128405144</v>
      </c>
      <c r="F123" s="50">
        <v>0.93942740128405144</v>
      </c>
      <c r="G123" s="50">
        <v>0.93942740128405144</v>
      </c>
      <c r="H123" s="50">
        <v>0.93942740128405144</v>
      </c>
      <c r="I123" s="50">
        <v>0.93942740128405144</v>
      </c>
      <c r="J123" s="50">
        <v>0.93942740128405144</v>
      </c>
      <c r="K123" s="50">
        <v>0.93942740128405144</v>
      </c>
      <c r="L123" s="50">
        <v>0.93942740128405144</v>
      </c>
      <c r="M123" s="50">
        <v>0.93942740128405144</v>
      </c>
      <c r="N123" s="50">
        <v>0.93942740128405144</v>
      </c>
    </row>
    <row r="125" spans="1:55" x14ac:dyDescent="0.25">
      <c r="B125" s="9" t="s">
        <v>127</v>
      </c>
    </row>
    <row r="126" spans="1:55" x14ac:dyDescent="0.25">
      <c r="C126" s="1">
        <v>47027</v>
      </c>
      <c r="D126" s="1">
        <v>47058</v>
      </c>
      <c r="E126" s="1">
        <v>47088</v>
      </c>
      <c r="F126" s="1">
        <v>47119</v>
      </c>
      <c r="G126" s="1">
        <v>47150</v>
      </c>
      <c r="H126" s="1">
        <v>47178</v>
      </c>
      <c r="I126" s="1">
        <v>47209</v>
      </c>
      <c r="J126" s="1">
        <v>47239</v>
      </c>
      <c r="K126" s="1">
        <v>47270</v>
      </c>
      <c r="L126" s="1">
        <v>47300</v>
      </c>
      <c r="M126" s="1">
        <v>47331</v>
      </c>
      <c r="N126" s="1">
        <v>47362</v>
      </c>
    </row>
    <row r="127" spans="1:55" x14ac:dyDescent="0.25">
      <c r="A127" s="29" t="s">
        <v>58</v>
      </c>
      <c r="B127" t="s">
        <v>2</v>
      </c>
      <c r="C127" s="50">
        <v>40.30646668655482</v>
      </c>
      <c r="D127" s="50">
        <v>40.30646668655482</v>
      </c>
      <c r="E127" s="50">
        <v>40.30646668655482</v>
      </c>
      <c r="F127" s="50">
        <v>40.30646668655482</v>
      </c>
      <c r="G127" s="50">
        <v>40.30646668655482</v>
      </c>
      <c r="H127" s="50">
        <v>40.30646668655482</v>
      </c>
      <c r="I127" s="50">
        <v>40.30646668655482</v>
      </c>
      <c r="J127" s="50">
        <v>40.30646668655482</v>
      </c>
      <c r="K127" s="50">
        <v>40.30646668655482</v>
      </c>
      <c r="L127" s="50">
        <v>40.30646668655482</v>
      </c>
      <c r="M127" s="50">
        <v>40.30646668655482</v>
      </c>
      <c r="N127" s="50">
        <v>40.30646668655482</v>
      </c>
    </row>
    <row r="129" spans="1:14" x14ac:dyDescent="0.25">
      <c r="B129" s="9" t="s">
        <v>130</v>
      </c>
    </row>
    <row r="130" spans="1:14" x14ac:dyDescent="0.25">
      <c r="C130" s="1">
        <v>47027</v>
      </c>
      <c r="D130" s="1">
        <v>47058</v>
      </c>
      <c r="E130" s="1">
        <v>47088</v>
      </c>
      <c r="F130" s="1">
        <v>47119</v>
      </c>
      <c r="G130" s="1">
        <v>47150</v>
      </c>
      <c r="H130" s="1">
        <v>47178</v>
      </c>
      <c r="I130" s="1">
        <v>47209</v>
      </c>
      <c r="J130" s="1">
        <v>47239</v>
      </c>
      <c r="K130" s="1">
        <v>47270</v>
      </c>
      <c r="L130" s="1">
        <v>47300</v>
      </c>
      <c r="M130" s="1">
        <v>47331</v>
      </c>
      <c r="N130" s="1">
        <v>47362</v>
      </c>
    </row>
    <row r="131" spans="1:14" x14ac:dyDescent="0.25">
      <c r="A131" s="29" t="s">
        <v>58</v>
      </c>
      <c r="B131" t="s">
        <v>0</v>
      </c>
      <c r="C131" s="50">
        <v>42.488163395731974</v>
      </c>
      <c r="D131" s="50">
        <v>31.388163395731972</v>
      </c>
      <c r="E131" s="50">
        <v>39.488163395731974</v>
      </c>
      <c r="F131" s="50">
        <v>35.418163395731973</v>
      </c>
      <c r="G131" s="50">
        <v>37.288163395731971</v>
      </c>
      <c r="H131" s="50">
        <v>21.048163395731972</v>
      </c>
      <c r="I131" s="50">
        <v>14.188163395731969</v>
      </c>
      <c r="J131" s="50">
        <v>0.45816339573197062</v>
      </c>
      <c r="K131" s="50">
        <v>6.9581633957319706</v>
      </c>
      <c r="L131" s="50">
        <v>42.838163395731968</v>
      </c>
      <c r="M131" s="50">
        <v>45.658163395731968</v>
      </c>
      <c r="N131" s="50">
        <v>52.368163395731969</v>
      </c>
    </row>
    <row r="132" spans="1:14" x14ac:dyDescent="0.25">
      <c r="A132" s="29"/>
      <c r="B132" t="s">
        <v>1</v>
      </c>
      <c r="C132" s="50">
        <v>40.708163395731972</v>
      </c>
      <c r="D132" s="50">
        <v>33.498163395731972</v>
      </c>
      <c r="E132" s="50">
        <v>40.64816339573197</v>
      </c>
      <c r="F132" s="50">
        <v>35.658163395731968</v>
      </c>
      <c r="G132" s="50">
        <v>41.038163395731971</v>
      </c>
      <c r="H132" s="50">
        <v>26.39816339573197</v>
      </c>
      <c r="I132" s="50">
        <v>18.948163395731971</v>
      </c>
      <c r="J132" s="50">
        <v>4.5881633957319714</v>
      </c>
      <c r="K132" s="50">
        <v>7.9381633957319693</v>
      </c>
      <c r="L132" s="50">
        <v>39.918163395731973</v>
      </c>
      <c r="M132" s="50">
        <v>42.178163395731971</v>
      </c>
      <c r="N132" s="50">
        <v>50.918163395731973</v>
      </c>
    </row>
    <row r="134" spans="1:14" x14ac:dyDescent="0.25">
      <c r="B134" s="9" t="s">
        <v>129</v>
      </c>
    </row>
    <row r="135" spans="1:14" x14ac:dyDescent="0.25">
      <c r="C135" s="1">
        <v>47027</v>
      </c>
      <c r="D135" s="1">
        <v>47058</v>
      </c>
      <c r="E135" s="1">
        <v>47088</v>
      </c>
      <c r="F135" s="1">
        <v>47119</v>
      </c>
      <c r="G135" s="1">
        <v>47150</v>
      </c>
      <c r="H135" s="1">
        <v>47178</v>
      </c>
      <c r="I135" s="1">
        <v>47209</v>
      </c>
      <c r="J135" s="1">
        <v>47239</v>
      </c>
      <c r="K135" s="1">
        <v>47270</v>
      </c>
      <c r="L135" s="1">
        <v>47300</v>
      </c>
      <c r="M135" s="1">
        <v>47331</v>
      </c>
      <c r="N135" s="1">
        <v>47362</v>
      </c>
    </row>
    <row r="136" spans="1:14" x14ac:dyDescent="0.25">
      <c r="A136" s="29" t="s">
        <v>58</v>
      </c>
      <c r="B136" t="s">
        <v>0</v>
      </c>
      <c r="C136" s="50">
        <v>41.920324489286131</v>
      </c>
      <c r="D136" s="50">
        <v>30.820324489286126</v>
      </c>
      <c r="E136" s="50">
        <v>38.920324489286131</v>
      </c>
      <c r="F136" s="50">
        <v>34.85032448928613</v>
      </c>
      <c r="G136" s="50">
        <v>36.720324489286128</v>
      </c>
      <c r="H136" s="50">
        <v>20.480324489286122</v>
      </c>
      <c r="I136" s="50">
        <v>13.620324489286121</v>
      </c>
      <c r="J136" s="50">
        <v>-0.10967551071387716</v>
      </c>
      <c r="K136" s="50">
        <v>6.3903244892861224</v>
      </c>
      <c r="L136" s="50">
        <v>42.270324489286125</v>
      </c>
      <c r="M136" s="50">
        <v>45.090324489286125</v>
      </c>
      <c r="N136" s="50">
        <v>51.800324489286126</v>
      </c>
    </row>
    <row r="137" spans="1:14" x14ac:dyDescent="0.25">
      <c r="A137" s="29"/>
      <c r="B137" t="s">
        <v>1</v>
      </c>
      <c r="C137" s="50">
        <v>40.14032448928613</v>
      </c>
      <c r="D137" s="50">
        <v>32.930324489286129</v>
      </c>
      <c r="E137" s="50">
        <v>40.080324489286127</v>
      </c>
      <c r="F137" s="50">
        <v>35.090324489286125</v>
      </c>
      <c r="G137" s="50">
        <v>40.470324489286128</v>
      </c>
      <c r="H137" s="50">
        <v>25.830324489286124</v>
      </c>
      <c r="I137" s="50">
        <v>18.380324489286124</v>
      </c>
      <c r="J137" s="50">
        <v>4.0203244892861232</v>
      </c>
      <c r="K137" s="50">
        <v>7.3703244892861211</v>
      </c>
      <c r="L137" s="50">
        <v>39.35032448928613</v>
      </c>
      <c r="M137" s="50">
        <v>41.610324489286128</v>
      </c>
      <c r="N137" s="50">
        <v>50.35032448928613</v>
      </c>
    </row>
    <row r="139" spans="1:14" x14ac:dyDescent="0.25">
      <c r="B139" s="9" t="s">
        <v>6</v>
      </c>
    </row>
    <row r="140" spans="1:14" x14ac:dyDescent="0.25">
      <c r="C140" s="1">
        <v>47027</v>
      </c>
      <c r="D140" s="1">
        <v>47058</v>
      </c>
      <c r="E140" s="1">
        <v>47088</v>
      </c>
      <c r="F140" s="1">
        <v>47119</v>
      </c>
      <c r="G140" s="1">
        <v>47150</v>
      </c>
      <c r="H140" s="1">
        <v>47178</v>
      </c>
      <c r="I140" s="1">
        <v>47209</v>
      </c>
      <c r="J140" s="1">
        <v>47239</v>
      </c>
      <c r="K140" s="1">
        <v>47270</v>
      </c>
      <c r="L140" s="1">
        <v>47300</v>
      </c>
      <c r="M140" s="1">
        <v>47331</v>
      </c>
      <c r="N140" s="1">
        <v>47362</v>
      </c>
    </row>
    <row r="141" spans="1:14" x14ac:dyDescent="0.25">
      <c r="B141" t="s">
        <v>2</v>
      </c>
      <c r="C141" s="50">
        <v>0</v>
      </c>
      <c r="D141" s="50">
        <v>0</v>
      </c>
      <c r="E141" s="50">
        <v>0</v>
      </c>
      <c r="F141" s="50">
        <v>0</v>
      </c>
      <c r="G141" s="50">
        <v>0</v>
      </c>
      <c r="H141" s="50">
        <v>0</v>
      </c>
      <c r="I141" s="50">
        <v>0</v>
      </c>
      <c r="J141" s="50">
        <v>0</v>
      </c>
      <c r="K141" s="50">
        <v>0</v>
      </c>
      <c r="L141" s="50">
        <v>0</v>
      </c>
      <c r="M141" s="50">
        <v>0</v>
      </c>
      <c r="N141" s="50">
        <v>0</v>
      </c>
    </row>
    <row r="143" spans="1:14" x14ac:dyDescent="0.25">
      <c r="C143" s="1"/>
      <c r="D143" s="1"/>
      <c r="E143" s="1"/>
      <c r="F143" s="1"/>
      <c r="G143" s="1"/>
      <c r="H143" s="1"/>
      <c r="I143" s="1"/>
      <c r="J143" s="1"/>
      <c r="K143" s="1"/>
      <c r="L143" s="1"/>
      <c r="M143" s="1"/>
      <c r="N143" s="1"/>
    </row>
    <row r="148" spans="3:14" x14ac:dyDescent="0.25">
      <c r="C148" s="1"/>
      <c r="D148" s="1"/>
      <c r="E148" s="1"/>
      <c r="F148" s="1"/>
      <c r="G148" s="1"/>
      <c r="H148" s="1"/>
      <c r="I148" s="1"/>
      <c r="J148" s="1"/>
      <c r="K148" s="1"/>
      <c r="L148" s="1"/>
      <c r="M148" s="1"/>
      <c r="N148" s="1"/>
    </row>
    <row r="152" spans="3:14" x14ac:dyDescent="0.25">
      <c r="C152" s="1"/>
      <c r="D152" s="1"/>
      <c r="E152" s="1"/>
      <c r="F152" s="1"/>
      <c r="G152" s="1"/>
      <c r="H152" s="1"/>
      <c r="I152" s="1"/>
      <c r="J152" s="1"/>
      <c r="K152" s="1"/>
      <c r="L152" s="1"/>
      <c r="M152" s="1"/>
      <c r="N152" s="1"/>
    </row>
    <row r="156" spans="3:14" x14ac:dyDescent="0.25">
      <c r="C156" s="1"/>
      <c r="D156" s="1"/>
      <c r="E156" s="1"/>
      <c r="F156" s="1"/>
      <c r="G156" s="1"/>
      <c r="H156" s="1"/>
      <c r="I156" s="1"/>
      <c r="J156" s="1"/>
      <c r="K156" s="1"/>
      <c r="L156" s="1"/>
      <c r="M156" s="1"/>
      <c r="N156" s="1"/>
    </row>
    <row r="160" spans="3:14" x14ac:dyDescent="0.25">
      <c r="C160" s="1"/>
      <c r="D160" s="1"/>
      <c r="E160" s="1"/>
      <c r="F160" s="1"/>
      <c r="G160" s="1"/>
      <c r="H160" s="1"/>
      <c r="I160" s="1"/>
      <c r="J160" s="1"/>
      <c r="K160" s="1"/>
      <c r="L160" s="1"/>
      <c r="M160" s="1"/>
      <c r="N160" s="1"/>
    </row>
  </sheetData>
  <mergeCells count="1">
    <mergeCell ref="B4:N4"/>
  </mergeCells>
  <dataValidations count="1">
    <dataValidation type="list" allowBlank="1" showInputMessage="1" showErrorMessage="1" sqref="G19" xr:uid="{08D47F4D-7D24-4DE2-881C-8D8ED9350865}">
      <formula1>"Flat, 60percentHLH"</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44B56-5728-44EB-B830-BCF2998E3538}">
  <sheetPr>
    <tabColor theme="8" tint="0.59999389629810485"/>
  </sheetPr>
  <dimension ref="B3:S102"/>
  <sheetViews>
    <sheetView zoomScale="75" zoomScaleNormal="75" workbookViewId="0">
      <pane xSplit="3" ySplit="7" topLeftCell="D8" activePane="bottomRight" state="frozen"/>
      <selection pane="topRight" activeCell="D1" sqref="D1"/>
      <selection pane="bottomLeft" activeCell="A8" sqref="A8"/>
      <selection pane="bottomRight" activeCell="C11" sqref="C11"/>
    </sheetView>
  </sheetViews>
  <sheetFormatPr defaultRowHeight="15" outlineLevelRow="1" x14ac:dyDescent="0.25"/>
  <cols>
    <col min="2" max="2" width="52.42578125" customWidth="1"/>
    <col min="3" max="9" width="14.42578125" bestFit="1" customWidth="1"/>
    <col min="10" max="10" width="14" bestFit="1" customWidth="1"/>
    <col min="11" max="14" width="14.42578125" bestFit="1" customWidth="1"/>
    <col min="15" max="15" width="10.42578125" customWidth="1"/>
    <col min="16" max="16" width="15.42578125" customWidth="1"/>
    <col min="17" max="17" width="10.42578125" customWidth="1"/>
    <col min="18" max="18" width="15.42578125" customWidth="1"/>
  </cols>
  <sheetData>
    <row r="3" spans="2:18" ht="21" x14ac:dyDescent="0.35">
      <c r="B3" s="25" t="s">
        <v>54</v>
      </c>
    </row>
    <row r="4" spans="2:18" outlineLevel="1" x14ac:dyDescent="0.25">
      <c r="B4" s="46" t="s">
        <v>118</v>
      </c>
    </row>
    <row r="5" spans="2:18" outlineLevel="1" x14ac:dyDescent="0.25">
      <c r="B5" s="46" t="s">
        <v>119</v>
      </c>
    </row>
    <row r="7" spans="2:18" ht="30" customHeight="1" x14ac:dyDescent="0.25">
      <c r="C7" s="1">
        <v>47027</v>
      </c>
      <c r="D7" s="1">
        <f t="shared" ref="D7:N7" si="0">+EOMONTH(C7,0)+1</f>
        <v>47058</v>
      </c>
      <c r="E7" s="1">
        <f t="shared" si="0"/>
        <v>47088</v>
      </c>
      <c r="F7" s="1">
        <f t="shared" si="0"/>
        <v>47119</v>
      </c>
      <c r="G7" s="1">
        <f t="shared" si="0"/>
        <v>47150</v>
      </c>
      <c r="H7" s="1">
        <f t="shared" si="0"/>
        <v>47178</v>
      </c>
      <c r="I7" s="1">
        <f t="shared" si="0"/>
        <v>47209</v>
      </c>
      <c r="J7" s="1">
        <f t="shared" si="0"/>
        <v>47239</v>
      </c>
      <c r="K7" s="1">
        <f t="shared" si="0"/>
        <v>47270</v>
      </c>
      <c r="L7" s="1">
        <f t="shared" si="0"/>
        <v>47300</v>
      </c>
      <c r="M7" s="1">
        <f t="shared" si="0"/>
        <v>47331</v>
      </c>
      <c r="N7" s="1">
        <f t="shared" si="0"/>
        <v>47362</v>
      </c>
      <c r="O7" s="34" t="s">
        <v>19</v>
      </c>
      <c r="P7" s="44" t="s">
        <v>102</v>
      </c>
      <c r="Q7" s="34"/>
      <c r="R7" s="44"/>
    </row>
    <row r="8" spans="2:18" ht="15.75" x14ac:dyDescent="0.25">
      <c r="B8" s="26" t="s">
        <v>90</v>
      </c>
    </row>
    <row r="9" spans="2:18" x14ac:dyDescent="0.25">
      <c r="B9" t="s">
        <v>81</v>
      </c>
      <c r="C9" s="17">
        <v>0</v>
      </c>
      <c r="D9" s="17">
        <v>0</v>
      </c>
      <c r="E9" s="17">
        <v>0</v>
      </c>
      <c r="F9" s="17">
        <v>0</v>
      </c>
      <c r="G9" s="17">
        <v>0</v>
      </c>
      <c r="H9" s="17">
        <v>0</v>
      </c>
      <c r="I9" s="17">
        <v>0</v>
      </c>
      <c r="J9" s="17">
        <v>0</v>
      </c>
      <c r="K9" s="17">
        <v>0</v>
      </c>
      <c r="L9" s="17">
        <v>0</v>
      </c>
      <c r="M9" s="17">
        <v>0</v>
      </c>
      <c r="N9" s="17">
        <v>0</v>
      </c>
    </row>
    <row r="10" spans="2:18" x14ac:dyDescent="0.25">
      <c r="B10" s="15" t="s">
        <v>18</v>
      </c>
      <c r="C10" s="16">
        <v>0</v>
      </c>
      <c r="D10" s="16">
        <v>0</v>
      </c>
      <c r="E10" s="16">
        <v>0</v>
      </c>
      <c r="F10" s="16">
        <v>0</v>
      </c>
      <c r="G10" s="16">
        <v>0</v>
      </c>
      <c r="H10" s="16">
        <v>0</v>
      </c>
      <c r="I10" s="16">
        <v>0</v>
      </c>
      <c r="J10" s="16">
        <v>0</v>
      </c>
      <c r="K10" s="16">
        <v>0</v>
      </c>
      <c r="L10" s="16">
        <v>0</v>
      </c>
      <c r="M10" s="16">
        <v>0</v>
      </c>
      <c r="N10" s="16">
        <v>0</v>
      </c>
    </row>
    <row r="11" spans="2:18" x14ac:dyDescent="0.25">
      <c r="B11" t="s">
        <v>82</v>
      </c>
      <c r="C11" s="17">
        <f>+Inputs!C$35*Inputs!C$136+Inputs!C$36*Inputs!C$137</f>
        <v>3519561.3633033219</v>
      </c>
      <c r="D11" s="17">
        <f>+Inputs!D$35*Inputs!D$136+Inputs!D$36*Inputs!D$137</f>
        <v>2633357.8550291597</v>
      </c>
      <c r="E11" s="17">
        <f>+Inputs!E$35*Inputs!E$136+Inputs!E$36*Inputs!E$137</f>
        <v>3375912.5633033216</v>
      </c>
      <c r="F11" s="17">
        <f>+Inputs!F$35*Inputs!F$136+Inputs!F$36*Inputs!F$137</f>
        <v>2990846.5633033216</v>
      </c>
      <c r="G11" s="17">
        <f>+Inputs!G$35*Inputs!G$136+Inputs!G$36*Inputs!G$137</f>
        <v>2961946.6765320324</v>
      </c>
      <c r="H11" s="17">
        <f>+Inputs!H$35*Inputs!H$136+Inputs!H$36*Inputs!H$137</f>
        <v>1941284.0759870531</v>
      </c>
      <c r="I11" s="17">
        <f>+Inputs!I$35*Inputs!I$136+Inputs!I$36*Inputs!I$137</f>
        <v>1302930.8677128912</v>
      </c>
      <c r="J11" s="17">
        <f>+Inputs!J$35*Inputs!J$136+Inputs!J$36*Inputs!J$137</f>
        <v>146399.76330332071</v>
      </c>
      <c r="K11" s="17">
        <f>+Inputs!K$35*Inputs!K$136+Inputs!K$36*Inputs!K$137</f>
        <v>563379.66771289101</v>
      </c>
      <c r="L11" s="17">
        <f>+Inputs!L$35*Inputs!L$136+Inputs!L$36*Inputs!L$137</f>
        <v>3501133.7633033218</v>
      </c>
      <c r="M11" s="17">
        <f>+Inputs!M$35*Inputs!M$136+Inputs!M$36*Inputs!M$137</f>
        <v>3733065.7633033218</v>
      </c>
      <c r="N11" s="17">
        <f>+Inputs!N$35*Inputs!N$136+Inputs!N$36*Inputs!N$137</f>
        <v>4233038.8677128917</v>
      </c>
    </row>
    <row r="12" spans="2:18" x14ac:dyDescent="0.25">
      <c r="B12" s="15" t="s">
        <v>128</v>
      </c>
      <c r="C12" s="17">
        <f>+Inputs!C$35*Inputs!C$131+Inputs!C$36*Inputs!C$132</f>
        <v>3568145.6601388282</v>
      </c>
      <c r="D12" s="17">
        <f>+Inputs!D$35*Inputs!D$131+Inputs!D$36*Inputs!D$132</f>
        <v>2680440.2179571167</v>
      </c>
      <c r="E12" s="17">
        <f>+Inputs!E$35*Inputs!E$131+Inputs!E$36*Inputs!E$132</f>
        <v>3424496.8601388279</v>
      </c>
      <c r="F12" s="17">
        <f>+Inputs!F$35*Inputs!F$131+Inputs!F$36*Inputs!F$132</f>
        <v>3039430.8601388279</v>
      </c>
      <c r="G12" s="17">
        <f>+Inputs!G$35*Inputs!G$131+Inputs!G$36*Inputs!G$132</f>
        <v>3005829.267222167</v>
      </c>
      <c r="H12" s="17">
        <f>+Inputs!H$35*Inputs!H$131+Inputs!H$36*Inputs!H$132</f>
        <v>1989803.0713483188</v>
      </c>
      <c r="I12" s="17">
        <f>+Inputs!I$35*Inputs!I$131+Inputs!I$36*Inputs!I$132</f>
        <v>1349947.9291666073</v>
      </c>
      <c r="J12" s="17">
        <f>+Inputs!J$35*Inputs!J$131+Inputs!J$36*Inputs!J$132</f>
        <v>194984.06013882748</v>
      </c>
      <c r="K12" s="17">
        <f>+Inputs!K$35*Inputs!K$131+Inputs!K$36*Inputs!K$132</f>
        <v>610396.72916660714</v>
      </c>
      <c r="L12" s="17">
        <f>+Inputs!L$35*Inputs!L$131+Inputs!L$36*Inputs!L$132</f>
        <v>3549718.0601388281</v>
      </c>
      <c r="M12" s="17">
        <f>+Inputs!M$35*Inputs!M$131+Inputs!M$36*Inputs!M$132</f>
        <v>3781650.0601388281</v>
      </c>
      <c r="N12" s="17">
        <f>+Inputs!N$35*Inputs!N$131+Inputs!N$36*Inputs!N$132</f>
        <v>4280055.9291666085</v>
      </c>
    </row>
    <row r="13" spans="2:18" x14ac:dyDescent="0.25">
      <c r="B13" t="s">
        <v>83</v>
      </c>
      <c r="C13" s="17">
        <f>MAX(0,Inputs!C$42-Inputs!C$34)*1000*Inputs!C$115</f>
        <v>288292.12467500777</v>
      </c>
      <c r="D13" s="17">
        <f>MAX(0,Inputs!D$42-Inputs!D$34)*1000*Inputs!D$115</f>
        <v>234239.6220695753</v>
      </c>
      <c r="E13" s="17">
        <f>MAX(0,Inputs!E$42-Inputs!E$34)*1000*Inputs!E$115</f>
        <v>309445.34507588256</v>
      </c>
      <c r="F13" s="17">
        <f>MAX(0,Inputs!F$42-Inputs!F$34)*1000*Inputs!F$115</f>
        <v>695407.79904976673</v>
      </c>
      <c r="G13" s="17">
        <f>MAX(0,Inputs!G$42-Inputs!G$34)*1000*Inputs!G$115</f>
        <v>224103.48988483191</v>
      </c>
      <c r="H13" s="17">
        <f>MAX(0,Inputs!H$42-Inputs!H$34)*1000*Inputs!H$115</f>
        <v>0</v>
      </c>
      <c r="I13" s="17">
        <f>MAX(0,Inputs!I$42-Inputs!I$34)*1000*Inputs!I$115</f>
        <v>99847.20750251686</v>
      </c>
      <c r="J13" s="17">
        <f>MAX(0,Inputs!J$42-Inputs!J$34)*1000*Inputs!J$115</f>
        <v>63679.363371099433</v>
      </c>
      <c r="K13" s="17">
        <f>MAX(0,Inputs!K$42-Inputs!K$34)*1000*Inputs!K$115</f>
        <v>279102.24883329368</v>
      </c>
      <c r="L13" s="17">
        <f>MAX(0,Inputs!L$42-Inputs!L$34)*1000*Inputs!L$115</f>
        <v>1547211.0433166947</v>
      </c>
      <c r="M13" s="17">
        <f>MAX(0,Inputs!M$42-Inputs!M$34)*1000*Inputs!M$115</f>
        <v>1387196.1630972659</v>
      </c>
      <c r="N13" s="17">
        <f>MAX(0,Inputs!N$42-Inputs!N$34)*1000*Inputs!N$115</f>
        <v>947379.95620503044</v>
      </c>
      <c r="P13" s="14"/>
      <c r="R13" s="14"/>
    </row>
    <row r="14" spans="2:18" x14ac:dyDescent="0.25">
      <c r="B14" s="15" t="s">
        <v>84</v>
      </c>
      <c r="C14" s="16">
        <f>MAX(0,Inputs!C$42-Inputs!C$50-Inputs!C$32)*1000*Inputs!C$115</f>
        <v>76203.884675007735</v>
      </c>
      <c r="D14" s="16">
        <f>MAX(0,Inputs!D$42-Inputs!D$50-Inputs!D$32)*1000*Inputs!D$115</f>
        <v>0</v>
      </c>
      <c r="E14" s="16">
        <f>MAX(0,Inputs!E$42-Inputs!E$50-Inputs!E$32)*1000*Inputs!E$115</f>
        <v>0</v>
      </c>
      <c r="F14" s="16">
        <f>MAX(0,Inputs!F$42-Inputs!F$50-Inputs!F$32)*1000*Inputs!F$115</f>
        <v>370762.70904976665</v>
      </c>
      <c r="G14" s="16">
        <f>MAX(0,Inputs!G$42-Inputs!G$50-Inputs!G$32)*1000*Inputs!G$115</f>
        <v>0</v>
      </c>
      <c r="H14" s="16">
        <f>MAX(0,Inputs!H$42-Inputs!H$50-Inputs!H$32)*1000*Inputs!H$115</f>
        <v>0</v>
      </c>
      <c r="I14" s="16">
        <f>MAX(0,Inputs!I$42-Inputs!I$50-Inputs!I$32)*1000*Inputs!I$115</f>
        <v>0</v>
      </c>
      <c r="J14" s="16">
        <f>MAX(0,Inputs!J$42-Inputs!J$50-Inputs!J$32)*1000*Inputs!J$115</f>
        <v>0</v>
      </c>
      <c r="K14" s="16">
        <f>MAX(0,Inputs!K$42-Inputs!K$50-Inputs!K$32)*1000*Inputs!K$115</f>
        <v>105417.51883329371</v>
      </c>
      <c r="L14" s="16">
        <f>MAX(0,Inputs!L$42-Inputs!L$50-Inputs!L$32)*1000*Inputs!L$115</f>
        <v>1030176.3633166944</v>
      </c>
      <c r="M14" s="16">
        <f>MAX(0,Inputs!M$42-Inputs!M$50-Inputs!M$32)*1000*Inputs!M$115</f>
        <v>972546.72309726581</v>
      </c>
      <c r="N14" s="16">
        <f>MAX(0,Inputs!N$42-Inputs!N$50-Inputs!N$32)*1000*Inputs!N$115</f>
        <v>379091.3362050305</v>
      </c>
      <c r="P14" s="14"/>
      <c r="R14" s="14"/>
    </row>
    <row r="15" spans="2:18" x14ac:dyDescent="0.25">
      <c r="B15" s="15" t="s">
        <v>85</v>
      </c>
      <c r="C15" s="16">
        <f>MAX(0,Inputs!C$42-Inputs!C$34)*1000*Inputs!C$119</f>
        <v>123012.2215082709</v>
      </c>
      <c r="D15" s="16">
        <f>MAX(0,Inputs!D$42-Inputs!D$34)*1000*Inputs!D$119</f>
        <v>99965.899317571282</v>
      </c>
      <c r="E15" s="16">
        <f>MAX(0,Inputs!E$42-Inputs!E$34)*1000*Inputs!E$119</f>
        <v>131908.91718818192</v>
      </c>
      <c r="F15" s="16">
        <f>MAX(0,Inputs!F$42-Inputs!F$34)*1000*Inputs!F$119</f>
        <v>296438.16032831918</v>
      </c>
      <c r="G15" s="16">
        <f>MAX(0,Inputs!G$42-Inputs!G$34)*1000*Inputs!G$119</f>
        <v>95551.817665181079</v>
      </c>
      <c r="H15" s="16">
        <f>MAX(0,Inputs!H$42-Inputs!H$34)*1000*Inputs!H$119</f>
        <v>0</v>
      </c>
      <c r="I15" s="16">
        <f>MAX(0,Inputs!I$42-Inputs!I$34)*1000*Inputs!I$119</f>
        <v>42557.826148613742</v>
      </c>
      <c r="J15" s="16">
        <f>MAX(0,Inputs!J$42-Inputs!J$34)*1000*Inputs!J$119</f>
        <v>27150.116165972628</v>
      </c>
      <c r="K15" s="16">
        <f>MAX(0,Inputs!K$42-Inputs!K$34)*1000*Inputs!K$119</f>
        <v>118911.11263758427</v>
      </c>
      <c r="L15" s="16">
        <f>MAX(0,Inputs!L$42-Inputs!L$34)*1000*Inputs!L$119</f>
        <v>659483.55828054936</v>
      </c>
      <c r="M15" s="16">
        <f>MAX(0,Inputs!M$42-Inputs!M$34)*1000*Inputs!M$119</f>
        <v>591446.87894431688</v>
      </c>
      <c r="N15" s="16">
        <f>MAX(0,Inputs!N$42-Inputs!N$34)*1000*Inputs!N$119</f>
        <v>403861.09244163841</v>
      </c>
      <c r="P15" s="14"/>
      <c r="R15" s="14"/>
    </row>
    <row r="16" spans="2:18" x14ac:dyDescent="0.25">
      <c r="B16" s="45" t="s">
        <v>86</v>
      </c>
      <c r="C16" s="17">
        <f>Inputs!C$28*Inputs!C$123</f>
        <v>86922.393522045022</v>
      </c>
      <c r="D16" s="17">
        <f>Inputs!D$28*Inputs!D$123</f>
        <v>85958.998196329543</v>
      </c>
      <c r="E16" s="17">
        <f>Inputs!E$28*Inputs!E$123</f>
        <v>104494.1318948979</v>
      </c>
      <c r="F16" s="17">
        <f>Inputs!F$28*Inputs!F$123</f>
        <v>102504.85172145205</v>
      </c>
      <c r="G16" s="17">
        <f>Inputs!G$28*Inputs!G$123</f>
        <v>86692.083266758884</v>
      </c>
      <c r="H16" s="17">
        <f>Inputs!H$28*Inputs!H$123</f>
        <v>87468.585694283116</v>
      </c>
      <c r="I16" s="17">
        <f>Inputs!I$28*Inputs!I$123</f>
        <v>85206.674671704444</v>
      </c>
      <c r="J16" s="17">
        <f>Inputs!J$28*Inputs!J$123</f>
        <v>96265.15278076625</v>
      </c>
      <c r="K16" s="17">
        <f>Inputs!K$28*Inputs!K$123</f>
        <v>109230.30151146327</v>
      </c>
      <c r="L16" s="17">
        <f>Inputs!L$28*Inputs!L$123</f>
        <v>130529.56101781879</v>
      </c>
      <c r="M16" s="17">
        <f>Inputs!M$28*Inputs!M$123</f>
        <v>124815.6566835914</v>
      </c>
      <c r="N16" s="17">
        <f>Inputs!N$28*Inputs!N$123</f>
        <v>99784.540019212349</v>
      </c>
      <c r="O16" s="27"/>
      <c r="Q16" s="27"/>
    </row>
    <row r="17" spans="2:19" x14ac:dyDescent="0.25">
      <c r="B17" t="s">
        <v>87</v>
      </c>
      <c r="C17" s="17">
        <f t="shared" ref="C17" si="1">+C9+C11+C13+C16</f>
        <v>3894775.881500375</v>
      </c>
      <c r="D17" s="17">
        <f t="shared" ref="D17:N17" si="2">+D9+D11+D13+D16</f>
        <v>2953556.4752950645</v>
      </c>
      <c r="E17" s="17">
        <f t="shared" si="2"/>
        <v>3789852.0402741022</v>
      </c>
      <c r="F17" s="17">
        <f t="shared" si="2"/>
        <v>3788759.2140745404</v>
      </c>
      <c r="G17" s="17">
        <f t="shared" si="2"/>
        <v>3272742.2496836232</v>
      </c>
      <c r="H17" s="17">
        <f t="shared" si="2"/>
        <v>2028752.6616813361</v>
      </c>
      <c r="I17" s="17">
        <f t="shared" si="2"/>
        <v>1487984.7498871125</v>
      </c>
      <c r="J17" s="17">
        <f t="shared" si="2"/>
        <v>306344.27945518639</v>
      </c>
      <c r="K17" s="17">
        <f t="shared" si="2"/>
        <v>951712.21805764793</v>
      </c>
      <c r="L17" s="17">
        <f t="shared" si="2"/>
        <v>5178874.3676378354</v>
      </c>
      <c r="M17" s="17">
        <f t="shared" si="2"/>
        <v>5245077.5830841791</v>
      </c>
      <c r="N17" s="17">
        <f t="shared" si="2"/>
        <v>5280203.3639371339</v>
      </c>
      <c r="P17" s="14">
        <f>+SUM(C17:N17)/SUM(Inputs!$C$37:$N$37)</f>
        <v>37.898188489744022</v>
      </c>
      <c r="R17" s="14"/>
    </row>
    <row r="18" spans="2:19" x14ac:dyDescent="0.25">
      <c r="B18" s="12" t="s">
        <v>17</v>
      </c>
      <c r="C18" s="16">
        <f>+C12+C10+C14</f>
        <v>3644349.544813836</v>
      </c>
      <c r="D18" s="16">
        <f t="shared" ref="D18:N18" si="3">+D12+D10+D14</f>
        <v>2680440.2179571167</v>
      </c>
      <c r="E18" s="16">
        <f t="shared" si="3"/>
        <v>3424496.8601388279</v>
      </c>
      <c r="F18" s="16">
        <f t="shared" si="3"/>
        <v>3410193.5691885948</v>
      </c>
      <c r="G18" s="16">
        <f t="shared" si="3"/>
        <v>3005829.267222167</v>
      </c>
      <c r="H18" s="16">
        <f t="shared" si="3"/>
        <v>1989803.0713483188</v>
      </c>
      <c r="I18" s="16">
        <f t="shared" si="3"/>
        <v>1349947.9291666073</v>
      </c>
      <c r="J18" s="16">
        <f t="shared" si="3"/>
        <v>194984.06013882748</v>
      </c>
      <c r="K18" s="16">
        <f t="shared" si="3"/>
        <v>715814.24799990084</v>
      </c>
      <c r="L18" s="16">
        <f t="shared" si="3"/>
        <v>4579894.4234555224</v>
      </c>
      <c r="M18" s="16">
        <f t="shared" si="3"/>
        <v>4754196.7832360938</v>
      </c>
      <c r="N18" s="16">
        <f t="shared" si="3"/>
        <v>4659147.2653716393</v>
      </c>
      <c r="P18" s="14">
        <f>+SUM(C18:N18)/SUM(Inputs!$C$37:$N$37)</f>
        <v>34.15634032165719</v>
      </c>
      <c r="Q18" s="57"/>
      <c r="R18" s="14"/>
    </row>
    <row r="19" spans="2:19" x14ac:dyDescent="0.25">
      <c r="B19" t="s">
        <v>16</v>
      </c>
      <c r="C19" s="17"/>
      <c r="D19" s="17"/>
      <c r="E19" s="17"/>
      <c r="F19" s="17"/>
      <c r="G19" s="17"/>
      <c r="H19" s="17"/>
      <c r="I19" s="17"/>
      <c r="J19" s="17"/>
      <c r="K19" s="17"/>
      <c r="L19" s="17"/>
      <c r="M19" s="17"/>
      <c r="N19" s="17"/>
      <c r="O19" s="11">
        <f>+SUM(C20:N20)/SUM(Inputs!$C$37:$N$37)</f>
        <v>3.4600126687063386</v>
      </c>
      <c r="P19" s="14"/>
      <c r="Q19" s="11"/>
      <c r="R19" s="14"/>
      <c r="S19" s="14"/>
    </row>
    <row r="20" spans="2:19" x14ac:dyDescent="0.25">
      <c r="B20" s="12" t="s">
        <v>15</v>
      </c>
      <c r="C20" s="16">
        <f>+C13-C15</f>
        <v>165279.90316673688</v>
      </c>
      <c r="D20" s="16">
        <f t="shared" ref="D20:N20" si="4">+D13-D15</f>
        <v>134273.72275200402</v>
      </c>
      <c r="E20" s="16">
        <f t="shared" si="4"/>
        <v>177536.42788770064</v>
      </c>
      <c r="F20" s="16">
        <f t="shared" si="4"/>
        <v>398969.63872144755</v>
      </c>
      <c r="G20" s="16">
        <f t="shared" si="4"/>
        <v>128551.67221965083</v>
      </c>
      <c r="H20" s="16">
        <f t="shared" si="4"/>
        <v>0</v>
      </c>
      <c r="I20" s="16">
        <f t="shared" si="4"/>
        <v>57289.381353903118</v>
      </c>
      <c r="J20" s="16">
        <f t="shared" si="4"/>
        <v>36529.247205126805</v>
      </c>
      <c r="K20" s="16">
        <f t="shared" si="4"/>
        <v>160191.13619570941</v>
      </c>
      <c r="L20" s="16">
        <f t="shared" si="4"/>
        <v>887727.48503614531</v>
      </c>
      <c r="M20" s="16">
        <f t="shared" si="4"/>
        <v>795749.284152949</v>
      </c>
      <c r="N20" s="16">
        <f t="shared" si="4"/>
        <v>543518.86376339197</v>
      </c>
      <c r="O20" s="11"/>
      <c r="P20" s="14"/>
      <c r="Q20" s="11"/>
      <c r="R20" s="14"/>
      <c r="S20" s="14"/>
    </row>
    <row r="21" spans="2:19" x14ac:dyDescent="0.25">
      <c r="B21" t="s">
        <v>88</v>
      </c>
      <c r="C21" s="13"/>
      <c r="D21" s="13"/>
      <c r="E21" s="13"/>
      <c r="F21" s="13"/>
      <c r="G21" s="13"/>
      <c r="H21" s="13"/>
      <c r="I21" s="13"/>
      <c r="J21" s="13"/>
      <c r="K21" s="13"/>
      <c r="L21" s="13"/>
      <c r="M21" s="13"/>
      <c r="N21" s="13"/>
      <c r="O21" s="38">
        <f>+SUM(C17:N17)/SUM(Inputs!$C$37:$N$37)-O19</f>
        <v>34.438175821037682</v>
      </c>
      <c r="P21" s="14"/>
      <c r="Q21" s="38"/>
      <c r="R21" s="14"/>
      <c r="S21" s="14"/>
    </row>
    <row r="22" spans="2:19" x14ac:dyDescent="0.25">
      <c r="B22" s="12" t="s">
        <v>14</v>
      </c>
      <c r="O22" s="38">
        <f>+SUM(C18:N18)/SUM(Inputs!$C$37:$N$37)</f>
        <v>34.15634032165719</v>
      </c>
      <c r="P22" s="14"/>
      <c r="Q22" s="38"/>
      <c r="R22" s="14"/>
      <c r="S22" s="14"/>
    </row>
    <row r="23" spans="2:19" x14ac:dyDescent="0.25">
      <c r="B23" t="s">
        <v>13</v>
      </c>
      <c r="O23" s="11">
        <f>IF(O21&gt;=O22,MAX(0,O21-1.02*O22),MAX(O21-O22,IF(O21&lt;(1-0.017)*O22,RICmCharge!$J$21+((O21-O22)/O22+0.017)*100*RICmCharge!$J$22,0)))</f>
        <v>0</v>
      </c>
      <c r="P23" s="14"/>
      <c r="Q23" s="11"/>
      <c r="R23" s="14"/>
      <c r="S23" s="14"/>
    </row>
    <row r="24" spans="2:19" x14ac:dyDescent="0.25">
      <c r="B24" t="s">
        <v>89</v>
      </c>
      <c r="O24" s="11">
        <f>+O21-O23</f>
        <v>34.438175821037682</v>
      </c>
      <c r="P24" s="14"/>
      <c r="Q24" s="11"/>
      <c r="R24" s="14"/>
      <c r="S24" s="14"/>
    </row>
    <row r="25" spans="2:19" x14ac:dyDescent="0.25">
      <c r="B25" s="12"/>
      <c r="O25" s="39"/>
      <c r="Q25" s="39"/>
    </row>
    <row r="26" spans="2:19" ht="15.75" x14ac:dyDescent="0.25">
      <c r="B26" s="26" t="str">
        <f>"Shaped Block  (Diurnal Shape set to: "&amp;Inputs!G19&amp;")"</f>
        <v>Shaped Block  (Diurnal Shape set to: 60percentHLH)</v>
      </c>
      <c r="C26" s="1">
        <v>47027</v>
      </c>
      <c r="D26" s="1">
        <f t="shared" ref="D26" si="5">+EOMONTH(C26,0)+1</f>
        <v>47058</v>
      </c>
      <c r="E26" s="1">
        <f t="shared" ref="E26" si="6">+EOMONTH(D26,0)+1</f>
        <v>47088</v>
      </c>
      <c r="F26" s="1">
        <f t="shared" ref="F26" si="7">+EOMONTH(E26,0)+1</f>
        <v>47119</v>
      </c>
      <c r="G26" s="1">
        <f t="shared" ref="G26" si="8">+EOMONTH(F26,0)+1</f>
        <v>47150</v>
      </c>
      <c r="H26" s="1">
        <f t="shared" ref="H26" si="9">+EOMONTH(G26,0)+1</f>
        <v>47178</v>
      </c>
      <c r="I26" s="1">
        <f t="shared" ref="I26" si="10">+EOMONTH(H26,0)+1</f>
        <v>47209</v>
      </c>
      <c r="J26" s="1">
        <f t="shared" ref="J26" si="11">+EOMONTH(I26,0)+1</f>
        <v>47239</v>
      </c>
      <c r="K26" s="1">
        <f t="shared" ref="K26" si="12">+EOMONTH(J26,0)+1</f>
        <v>47270</v>
      </c>
      <c r="L26" s="1">
        <f t="shared" ref="L26" si="13">+EOMONTH(K26,0)+1</f>
        <v>47300</v>
      </c>
      <c r="M26" s="1">
        <f t="shared" ref="M26" si="14">+EOMONTH(L26,0)+1</f>
        <v>47331</v>
      </c>
      <c r="N26" s="1">
        <f t="shared" ref="N26" si="15">+EOMONTH(M26,0)+1</f>
        <v>47362</v>
      </c>
      <c r="O26" s="34" t="s">
        <v>19</v>
      </c>
      <c r="Q26" s="34"/>
    </row>
    <row r="27" spans="2:19" outlineLevel="1" x14ac:dyDescent="0.25">
      <c r="B27" s="46" t="s">
        <v>72</v>
      </c>
      <c r="C27" s="35"/>
      <c r="O27" s="39"/>
      <c r="Q27" s="39"/>
    </row>
    <row r="28" spans="2:19" x14ac:dyDescent="0.25">
      <c r="B28" t="s">
        <v>81</v>
      </c>
      <c r="C28" s="17">
        <v>0</v>
      </c>
      <c r="D28" s="17">
        <v>0</v>
      </c>
      <c r="E28" s="17">
        <v>0</v>
      </c>
      <c r="F28" s="17">
        <v>0</v>
      </c>
      <c r="G28" s="17">
        <v>0</v>
      </c>
      <c r="H28" s="17">
        <v>0</v>
      </c>
      <c r="I28" s="17">
        <v>0</v>
      </c>
      <c r="J28" s="17">
        <v>0</v>
      </c>
      <c r="K28" s="17">
        <v>0</v>
      </c>
      <c r="L28" s="17">
        <v>0</v>
      </c>
      <c r="M28" s="17">
        <v>0</v>
      </c>
      <c r="N28" s="17">
        <v>0</v>
      </c>
      <c r="P28" s="14"/>
      <c r="R28" s="14"/>
    </row>
    <row r="29" spans="2:19" x14ac:dyDescent="0.25">
      <c r="B29" s="15" t="s">
        <v>18</v>
      </c>
      <c r="C29" s="16">
        <v>0</v>
      </c>
      <c r="D29" s="16">
        <v>0</v>
      </c>
      <c r="E29" s="16">
        <v>0</v>
      </c>
      <c r="F29" s="16">
        <v>0</v>
      </c>
      <c r="G29" s="16">
        <v>0</v>
      </c>
      <c r="H29" s="16">
        <v>0</v>
      </c>
      <c r="I29" s="16">
        <v>0</v>
      </c>
      <c r="J29" s="16">
        <v>0</v>
      </c>
      <c r="K29" s="16">
        <v>0</v>
      </c>
      <c r="L29" s="16">
        <v>0</v>
      </c>
      <c r="M29" s="16">
        <v>0</v>
      </c>
      <c r="N29" s="16">
        <v>0</v>
      </c>
      <c r="P29" s="14"/>
      <c r="R29" s="14"/>
    </row>
    <row r="30" spans="2:19" x14ac:dyDescent="0.25">
      <c r="B30" t="s">
        <v>82</v>
      </c>
      <c r="C30" s="17">
        <f>Inputs!C$96*Inputs!C$136+Inputs!C$97*Inputs!C$137</f>
        <v>3459438.8408755707</v>
      </c>
      <c r="D30" s="17">
        <f>Inputs!D$96*Inputs!D$136+Inputs!D$97*Inputs!D$137</f>
        <v>2658220.0408755704</v>
      </c>
      <c r="E30" s="17">
        <f>Inputs!E$96*Inputs!E$136+Inputs!E$97*Inputs!E$137</f>
        <v>3306314.0408755708</v>
      </c>
      <c r="F30" s="17">
        <f>Inputs!F$96*Inputs!F$136+Inputs!F$97*Inputs!F$137</f>
        <v>2933743.9408755703</v>
      </c>
      <c r="G30" s="17">
        <f>Inputs!G$96*Inputs!G$136+Inputs!G$97*Inputs!G$137</f>
        <v>3208596.2408755701</v>
      </c>
      <c r="H30" s="17">
        <f>Inputs!H$96*Inputs!H$136+Inputs!H$97*Inputs!H$137</f>
        <v>1898976.2408755701</v>
      </c>
      <c r="I30" s="17">
        <f>Inputs!I$96*Inputs!I$136+Inputs!I$97*Inputs!I$137</f>
        <v>1303267.0408755699</v>
      </c>
      <c r="J30" s="17">
        <f>Inputs!J$96*Inputs!J$136+Inputs!J$97*Inputs!J$137</f>
        <v>129478.14087557004</v>
      </c>
      <c r="K30" s="17">
        <f>Inputs!K$96*Inputs!K$136+Inputs!K$97*Inputs!K$137</f>
        <v>569376.14087556989</v>
      </c>
      <c r="L30" s="17">
        <f>Inputs!L$96*Inputs!L$136+Inputs!L$97*Inputs!L$137</f>
        <v>3450540.1408755705</v>
      </c>
      <c r="M30" s="17">
        <f>Inputs!M$96*Inputs!M$136+Inputs!M$97*Inputs!M$137</f>
        <v>3668474.3408755707</v>
      </c>
      <c r="N30" s="17">
        <f>Inputs!N$96*Inputs!N$136+Inputs!N$97*Inputs!N$137</f>
        <v>4299946.2408755701</v>
      </c>
      <c r="P30" s="14"/>
      <c r="R30" s="14"/>
    </row>
    <row r="31" spans="2:19" x14ac:dyDescent="0.25">
      <c r="B31" s="15" t="s">
        <v>128</v>
      </c>
      <c r="C31" s="16">
        <f>Inputs!C$96*Inputs!C$131+Inputs!C$97*Inputs!C$132</f>
        <v>3507108.9170716992</v>
      </c>
      <c r="D31" s="16">
        <f>Inputs!D$96*Inputs!D$131+Inputs!D$97*Inputs!D$132</f>
        <v>2705890.1170716989</v>
      </c>
      <c r="E31" s="16">
        <f>Inputs!E$96*Inputs!E$131+Inputs!E$97*Inputs!E$132</f>
        <v>3353984.1170716994</v>
      </c>
      <c r="F31" s="16">
        <f>Inputs!F$96*Inputs!F$131+Inputs!F$97*Inputs!F$132</f>
        <v>2981414.0170716988</v>
      </c>
      <c r="G31" s="16">
        <f>Inputs!G$96*Inputs!G$131+Inputs!G$97*Inputs!G$132</f>
        <v>3256266.3170716986</v>
      </c>
      <c r="H31" s="16">
        <f>Inputs!H$96*Inputs!H$131+Inputs!H$97*Inputs!H$132</f>
        <v>1946646.3170716991</v>
      </c>
      <c r="I31" s="16">
        <f>Inputs!I$96*Inputs!I$131+Inputs!I$97*Inputs!I$132</f>
        <v>1350937.1170716989</v>
      </c>
      <c r="J31" s="16">
        <f>Inputs!J$96*Inputs!J$131+Inputs!J$97*Inputs!J$132</f>
        <v>177148.21707169898</v>
      </c>
      <c r="K31" s="16">
        <f>Inputs!K$96*Inputs!K$131+Inputs!K$97*Inputs!K$132</f>
        <v>617046.21707169898</v>
      </c>
      <c r="L31" s="16">
        <f>Inputs!L$96*Inputs!L$131+Inputs!L$97*Inputs!L$132</f>
        <v>3498210.217071699</v>
      </c>
      <c r="M31" s="16">
        <f>Inputs!M$96*Inputs!M$131+Inputs!M$97*Inputs!M$132</f>
        <v>3716144.4170716992</v>
      </c>
      <c r="N31" s="16">
        <f>Inputs!N$96*Inputs!N$131+Inputs!N$97*Inputs!N$132</f>
        <v>4347616.3170716986</v>
      </c>
      <c r="P31" s="14"/>
      <c r="R31" s="14"/>
    </row>
    <row r="32" spans="2:19" x14ac:dyDescent="0.25">
      <c r="B32" t="s">
        <v>83</v>
      </c>
      <c r="C32" s="17">
        <f>MAX(0,Inputs!C$93-Inputs!C$95)*1000*Inputs!C$115</f>
        <v>125417.23790322576</v>
      </c>
      <c r="D32" s="17">
        <f>MAX(0,Inputs!D$93-Inputs!D$95)*1000*Inputs!D$115</f>
        <v>112735.18585298197</v>
      </c>
      <c r="E32" s="17">
        <f>MAX(0,Inputs!E$93-Inputs!E$95)*1000*Inputs!E$115</f>
        <v>187303.2822580644</v>
      </c>
      <c r="F32" s="17">
        <f>MAX(0,Inputs!F$93-Inputs!F$95)*1000*Inputs!F$115</f>
        <v>107936.33426385438</v>
      </c>
      <c r="G32" s="17">
        <f>MAX(0,Inputs!G$93-Inputs!G$95)*1000*Inputs!G$115</f>
        <v>85261.718749999971</v>
      </c>
      <c r="H32" s="17">
        <f>MAX(0,Inputs!H$93-Inputs!H$95)*1000*Inputs!H$115</f>
        <v>31689.963735606496</v>
      </c>
      <c r="I32" s="17">
        <f>MAX(0,Inputs!I$93-Inputs!I$95)*1000*Inputs!I$115</f>
        <v>62589.388888888825</v>
      </c>
      <c r="J32" s="17">
        <f>MAX(0,Inputs!J$93-Inputs!J$95)*1000*Inputs!J$115</f>
        <v>21273.92990074441</v>
      </c>
      <c r="K32" s="17">
        <f>MAX(0,Inputs!K$93-Inputs!K$95)*1000*Inputs!K$115</f>
        <v>20314.823717948711</v>
      </c>
      <c r="L32" s="17">
        <f>MAX(0,Inputs!L$93-Inputs!L$95)*1000*Inputs!L$115</f>
        <v>200523.15053763427</v>
      </c>
      <c r="M32" s="17">
        <f>MAX(0,Inputs!M$93-Inputs!M$95)*1000*Inputs!M$115</f>
        <v>60781.00358422938</v>
      </c>
      <c r="N32" s="17">
        <f>MAX(0,Inputs!N$93-Inputs!N$95)*1000*Inputs!N$115</f>
        <v>264967.18749999988</v>
      </c>
      <c r="P32" s="14"/>
      <c r="R32" s="14"/>
    </row>
    <row r="33" spans="2:18" x14ac:dyDescent="0.25">
      <c r="B33" s="15" t="s">
        <v>84</v>
      </c>
      <c r="C33" s="16">
        <f>MAX(0,Inputs!C$93-Inputs!C$93-Inputs!C$50)*1000*Inputs!C$115</f>
        <v>0</v>
      </c>
      <c r="D33" s="16">
        <f>MAX(0,Inputs!D$93-Inputs!D$93-Inputs!D$50)*1000*Inputs!D$115</f>
        <v>0</v>
      </c>
      <c r="E33" s="16">
        <f>MAX(0,Inputs!E$93-Inputs!E$93-Inputs!E$50)*1000*Inputs!E$115</f>
        <v>0</v>
      </c>
      <c r="F33" s="16">
        <f>MAX(0,Inputs!F$93-Inputs!F$93-Inputs!F$50)*1000*Inputs!F$115</f>
        <v>0</v>
      </c>
      <c r="G33" s="16">
        <f>MAX(0,Inputs!G$93-Inputs!G$93-Inputs!G$50)*1000*Inputs!G$115</f>
        <v>0</v>
      </c>
      <c r="H33" s="16">
        <f>MAX(0,Inputs!H$93-Inputs!H$93-Inputs!H$50)*1000*Inputs!H$115</f>
        <v>0</v>
      </c>
      <c r="I33" s="16">
        <f>MAX(0,Inputs!I$93-Inputs!I$93-Inputs!I$50)*1000*Inputs!I$115</f>
        <v>0</v>
      </c>
      <c r="J33" s="16">
        <f>MAX(0,Inputs!J$93-Inputs!J$93-Inputs!J$50)*1000*Inputs!J$115</f>
        <v>0</v>
      </c>
      <c r="K33" s="16">
        <f>MAX(0,Inputs!K$93-Inputs!K$93-Inputs!K$50)*1000*Inputs!K$115</f>
        <v>0</v>
      </c>
      <c r="L33" s="16">
        <f>MAX(0,Inputs!L$93-Inputs!L$93-Inputs!L$50)*1000*Inputs!L$115</f>
        <v>0</v>
      </c>
      <c r="M33" s="16">
        <f>MAX(0,Inputs!M$93-Inputs!M$93-Inputs!M$50)*1000*Inputs!M$115</f>
        <v>0</v>
      </c>
      <c r="N33" s="16">
        <f>MAX(0,Inputs!N$93-Inputs!N$93-Inputs!N$50)*1000*Inputs!N$115</f>
        <v>0</v>
      </c>
      <c r="P33" s="14"/>
      <c r="R33" s="14"/>
    </row>
    <row r="34" spans="2:18" x14ac:dyDescent="0.25">
      <c r="B34" s="15" t="s">
        <v>85</v>
      </c>
      <c r="C34" s="16">
        <f>MAX(0,(Inputs!C$93-Inputs!C$95)*1000*Inputs!C$119)</f>
        <v>53514.653122415199</v>
      </c>
      <c r="D34" s="16">
        <f>MAX(0,(Inputs!D$93-Inputs!D$95)*1000*Inputs!D$119)</f>
        <v>48111.733356449375</v>
      </c>
      <c r="E34" s="16">
        <f>MAX(0,(Inputs!E$93-Inputs!E$95)*1000*Inputs!E$119)</f>
        <v>79842.76881720424</v>
      </c>
      <c r="F34" s="16">
        <f>MAX(0,(Inputs!F$93-Inputs!F$95)*1000*Inputs!F$119)</f>
        <v>46011.057692307673</v>
      </c>
      <c r="G34" s="16">
        <f>MAX(0,(Inputs!G$93-Inputs!G$95)*1000*Inputs!G$119)</f>
        <v>36353.348214285703</v>
      </c>
      <c r="H34" s="16">
        <f>MAX(0,(Inputs!H$93-Inputs!H$95)*1000*Inputs!H$119)</f>
        <v>13498.913937490695</v>
      </c>
      <c r="I34" s="16">
        <f>MAX(0,(Inputs!I$93-Inputs!I$95)*1000*Inputs!I$119)</f>
        <v>26677.444444444416</v>
      </c>
      <c r="J34" s="16">
        <f>MAX(0,(Inputs!J$93-Inputs!J$95)*1000*Inputs!J$119)</f>
        <v>9070.2801902398642</v>
      </c>
      <c r="K34" s="16">
        <f>MAX(0,(Inputs!K$93-Inputs!K$95)*1000*Inputs!K$119)</f>
        <v>8655.1014957264924</v>
      </c>
      <c r="L34" s="16">
        <f>MAX(0,(Inputs!L$93-Inputs!L$95)*1000*Inputs!L$119)</f>
        <v>85471.029569892416</v>
      </c>
      <c r="M34" s="16">
        <f>MAX(0,(Inputs!M$93-Inputs!M$95)*1000*Inputs!M$119)</f>
        <v>25914.672939068096</v>
      </c>
      <c r="N34" s="16">
        <f>MAX(0,(Inputs!N$93-Inputs!N$95)*1000*Inputs!N$119)</f>
        <v>112953.55902777774</v>
      </c>
      <c r="P34" s="14"/>
      <c r="R34" s="14"/>
    </row>
    <row r="35" spans="2:18" x14ac:dyDescent="0.25">
      <c r="B35" s="45" t="s">
        <v>86</v>
      </c>
      <c r="C35" s="17"/>
      <c r="D35" s="17"/>
      <c r="E35" s="17"/>
      <c r="F35" s="17"/>
      <c r="G35" s="17"/>
      <c r="H35" s="17"/>
      <c r="I35" s="17"/>
      <c r="J35" s="17"/>
      <c r="K35" s="17"/>
      <c r="L35" s="17"/>
      <c r="M35" s="17"/>
      <c r="N35" s="17"/>
      <c r="P35" s="14"/>
      <c r="R35" s="14"/>
    </row>
    <row r="36" spans="2:18" x14ac:dyDescent="0.25">
      <c r="B36" t="s">
        <v>87</v>
      </c>
      <c r="C36" s="17">
        <f t="shared" ref="C36" si="16">+C28+C30+C32+C35</f>
        <v>3584856.0787787964</v>
      </c>
      <c r="D36" s="17">
        <f t="shared" ref="D36:N36" si="17">+D28+D30+D32+D35</f>
        <v>2770955.2267285525</v>
      </c>
      <c r="E36" s="17">
        <f t="shared" si="17"/>
        <v>3493617.3231336353</v>
      </c>
      <c r="F36" s="17">
        <f t="shared" si="17"/>
        <v>3041680.2751394245</v>
      </c>
      <c r="G36" s="17">
        <f t="shared" si="17"/>
        <v>3293857.9596255701</v>
      </c>
      <c r="H36" s="17">
        <f t="shared" si="17"/>
        <v>1930666.2046111766</v>
      </c>
      <c r="I36" s="17">
        <f t="shared" si="17"/>
        <v>1365856.4297644587</v>
      </c>
      <c r="J36" s="17">
        <f t="shared" si="17"/>
        <v>150752.07077631445</v>
      </c>
      <c r="K36" s="17">
        <f t="shared" si="17"/>
        <v>589690.96459351864</v>
      </c>
      <c r="L36" s="17">
        <f t="shared" si="17"/>
        <v>3651063.2914132047</v>
      </c>
      <c r="M36" s="17">
        <f t="shared" si="17"/>
        <v>3729255.3444598</v>
      </c>
      <c r="N36" s="17">
        <f t="shared" si="17"/>
        <v>4564913.4283755701</v>
      </c>
      <c r="P36" s="14">
        <f>+SUM(C36:N36)/SUM(Inputs!$C$37:$N$37)</f>
        <v>31.930876114155271</v>
      </c>
      <c r="R36" s="14"/>
    </row>
    <row r="37" spans="2:18" x14ac:dyDescent="0.25">
      <c r="B37" s="12" t="s">
        <v>17</v>
      </c>
      <c r="C37" s="16">
        <f>+C29+C31+C33</f>
        <v>3507108.9170716992</v>
      </c>
      <c r="D37" s="16">
        <f t="shared" ref="D37:N37" si="18">+D29+D31+D33</f>
        <v>2705890.1170716989</v>
      </c>
      <c r="E37" s="16">
        <f t="shared" si="18"/>
        <v>3353984.1170716994</v>
      </c>
      <c r="F37" s="16">
        <f t="shared" si="18"/>
        <v>2981414.0170716988</v>
      </c>
      <c r="G37" s="16">
        <f t="shared" si="18"/>
        <v>3256266.3170716986</v>
      </c>
      <c r="H37" s="16">
        <f t="shared" si="18"/>
        <v>1946646.3170716991</v>
      </c>
      <c r="I37" s="16">
        <f t="shared" si="18"/>
        <v>1350937.1170716989</v>
      </c>
      <c r="J37" s="16">
        <f t="shared" si="18"/>
        <v>177148.21707169898</v>
      </c>
      <c r="K37" s="16">
        <f t="shared" si="18"/>
        <v>617046.21707169898</v>
      </c>
      <c r="L37" s="16">
        <f t="shared" si="18"/>
        <v>3498210.217071699</v>
      </c>
      <c r="M37" s="16">
        <f t="shared" si="18"/>
        <v>3716144.4170716992</v>
      </c>
      <c r="N37" s="16">
        <f t="shared" si="18"/>
        <v>4347616.3170716986</v>
      </c>
      <c r="P37" s="14">
        <f>+SUM(C37:N37)/SUM(Inputs!$C$37:$N$37)</f>
        <v>31.227330062398629</v>
      </c>
      <c r="R37" s="14"/>
    </row>
    <row r="38" spans="2:18" x14ac:dyDescent="0.25">
      <c r="B38" t="s">
        <v>16</v>
      </c>
      <c r="C38" s="17"/>
      <c r="D38" s="17"/>
      <c r="E38" s="17"/>
      <c r="F38" s="17"/>
      <c r="G38" s="17"/>
      <c r="H38" s="17"/>
      <c r="I38" s="17"/>
      <c r="J38" s="17"/>
      <c r="K38" s="17"/>
      <c r="L38" s="17"/>
      <c r="M38" s="17"/>
      <c r="N38" s="17"/>
      <c r="O38" s="11">
        <f>+SUM(C39:N39)/SUM(Inputs!$C$37:$N$37)</f>
        <v>0.91940639269406399</v>
      </c>
      <c r="P38" s="14"/>
      <c r="Q38" s="11"/>
      <c r="R38" s="14"/>
    </row>
    <row r="39" spans="2:18" x14ac:dyDescent="0.25">
      <c r="B39" s="12" t="s">
        <v>15</v>
      </c>
      <c r="C39" s="16">
        <f>+C58</f>
        <v>100280.00000000001</v>
      </c>
      <c r="D39" s="16">
        <f t="shared" ref="D39:N39" si="19">+D58</f>
        <v>78315.000000000015</v>
      </c>
      <c r="E39" s="16">
        <f t="shared" si="19"/>
        <v>94415.000000000029</v>
      </c>
      <c r="F39" s="16">
        <f t="shared" si="19"/>
        <v>86365.000000000015</v>
      </c>
      <c r="G39" s="16">
        <f t="shared" si="19"/>
        <v>90045.000000000015</v>
      </c>
      <c r="H39" s="16">
        <f t="shared" si="19"/>
        <v>57960.000000000007</v>
      </c>
      <c r="I39" s="16">
        <f t="shared" si="19"/>
        <v>44275.000000000007</v>
      </c>
      <c r="J39" s="16">
        <f t="shared" si="19"/>
        <v>17020.000000000004</v>
      </c>
      <c r="K39" s="16">
        <f t="shared" si="19"/>
        <v>29900.000000000011</v>
      </c>
      <c r="L39" s="16">
        <f t="shared" si="19"/>
        <v>101085.00000000001</v>
      </c>
      <c r="M39" s="16">
        <f t="shared" si="19"/>
        <v>106605.00000000001</v>
      </c>
      <c r="N39" s="16">
        <f t="shared" si="19"/>
        <v>119945.00000000001</v>
      </c>
      <c r="O39" s="11"/>
      <c r="P39" s="14"/>
      <c r="Q39" s="11"/>
      <c r="R39" s="14"/>
    </row>
    <row r="40" spans="2:18" x14ac:dyDescent="0.25">
      <c r="B40" t="s">
        <v>88</v>
      </c>
      <c r="C40" s="13"/>
      <c r="D40" s="13"/>
      <c r="E40" s="13"/>
      <c r="F40" s="13"/>
      <c r="G40" s="13"/>
      <c r="H40" s="13"/>
      <c r="I40" s="13"/>
      <c r="J40" s="13"/>
      <c r="K40" s="13"/>
      <c r="L40" s="13"/>
      <c r="M40" s="13"/>
      <c r="N40" s="13"/>
      <c r="O40" s="11">
        <f>+SUM(C36:N36)/SUM(Inputs!$C$37:$N$37)-O38</f>
        <v>31.011469721461207</v>
      </c>
      <c r="P40" s="14"/>
      <c r="Q40" s="11"/>
      <c r="R40" s="14"/>
    </row>
    <row r="41" spans="2:18" x14ac:dyDescent="0.25">
      <c r="B41" s="12" t="s">
        <v>14</v>
      </c>
      <c r="O41" s="11">
        <f>+SUM(C37:N37)/SUM(Inputs!$C$37:$N$37)</f>
        <v>31.227330062398629</v>
      </c>
      <c r="P41" s="14"/>
      <c r="Q41" s="11"/>
      <c r="R41" s="14"/>
    </row>
    <row r="42" spans="2:18" x14ac:dyDescent="0.25">
      <c r="B42" t="s">
        <v>13</v>
      </c>
      <c r="O42" s="11">
        <f>IF(O40&gt;O41,MAX(0,O40-1.02*O41),MAX(O40-O41,IF(O40&lt;(1-0.017)*O41,RICmCharge!$J$21+((O40-O41)/O41+0.017)*100*RICmCharge!$J$22,0)))</f>
        <v>0</v>
      </c>
      <c r="P42" s="14"/>
      <c r="Q42" s="11"/>
      <c r="R42" s="14"/>
    </row>
    <row r="43" spans="2:18" x14ac:dyDescent="0.25">
      <c r="B43" t="s">
        <v>89</v>
      </c>
      <c r="O43" s="11">
        <f>+O40-O42</f>
        <v>31.011469721461207</v>
      </c>
      <c r="P43" s="14"/>
      <c r="Q43" s="11"/>
      <c r="R43" s="14"/>
    </row>
    <row r="44" spans="2:18" x14ac:dyDescent="0.25">
      <c r="O44" s="11"/>
      <c r="P44" s="14"/>
      <c r="Q44" s="11"/>
      <c r="R44" s="14"/>
    </row>
    <row r="45" spans="2:18" ht="15.75" x14ac:dyDescent="0.25">
      <c r="B45" s="26" t="str">
        <f>"Block 10 ("&amp;Inputs!G19&amp;" block plus 10% Capacity)"</f>
        <v>Block 10 (60percentHLH block plus 10% Capacity)</v>
      </c>
      <c r="C45" s="1">
        <v>47027</v>
      </c>
      <c r="D45" s="1">
        <f t="shared" ref="D45" si="20">+EOMONTH(C45,0)+1</f>
        <v>47058</v>
      </c>
      <c r="E45" s="1">
        <f t="shared" ref="E45" si="21">+EOMONTH(D45,0)+1</f>
        <v>47088</v>
      </c>
      <c r="F45" s="1">
        <f t="shared" ref="F45" si="22">+EOMONTH(E45,0)+1</f>
        <v>47119</v>
      </c>
      <c r="G45" s="1">
        <f t="shared" ref="G45" si="23">+EOMONTH(F45,0)+1</f>
        <v>47150</v>
      </c>
      <c r="H45" s="1">
        <f t="shared" ref="H45" si="24">+EOMONTH(G45,0)+1</f>
        <v>47178</v>
      </c>
      <c r="I45" s="1">
        <f t="shared" ref="I45" si="25">+EOMONTH(H45,0)+1</f>
        <v>47209</v>
      </c>
      <c r="J45" s="1">
        <f t="shared" ref="J45" si="26">+EOMONTH(I45,0)+1</f>
        <v>47239</v>
      </c>
      <c r="K45" s="1">
        <f t="shared" ref="K45" si="27">+EOMONTH(J45,0)+1</f>
        <v>47270</v>
      </c>
      <c r="L45" s="1">
        <f t="shared" ref="L45" si="28">+EOMONTH(K45,0)+1</f>
        <v>47300</v>
      </c>
      <c r="M45" s="1">
        <f t="shared" ref="M45" si="29">+EOMONTH(L45,0)+1</f>
        <v>47331</v>
      </c>
      <c r="N45" s="1">
        <f t="shared" ref="N45" si="30">+EOMONTH(M45,0)+1</f>
        <v>47362</v>
      </c>
      <c r="O45" s="34" t="s">
        <v>19</v>
      </c>
      <c r="P45" s="14"/>
      <c r="Q45" s="34"/>
      <c r="R45" s="14"/>
    </row>
    <row r="46" spans="2:18" ht="15.75" x14ac:dyDescent="0.25">
      <c r="B46" s="26"/>
      <c r="P46" s="14"/>
      <c r="R46" s="14"/>
    </row>
    <row r="47" spans="2:18" x14ac:dyDescent="0.25">
      <c r="B47" t="s">
        <v>81</v>
      </c>
      <c r="C47" s="17">
        <v>0</v>
      </c>
      <c r="D47" s="17">
        <v>0</v>
      </c>
      <c r="E47" s="17">
        <v>0</v>
      </c>
      <c r="F47" s="17">
        <v>0</v>
      </c>
      <c r="G47" s="17">
        <v>0</v>
      </c>
      <c r="H47" s="17">
        <v>0</v>
      </c>
      <c r="I47" s="17">
        <v>0</v>
      </c>
      <c r="J47" s="17">
        <v>0</v>
      </c>
      <c r="K47" s="17">
        <v>0</v>
      </c>
      <c r="L47" s="17">
        <v>0</v>
      </c>
      <c r="M47" s="17">
        <v>0</v>
      </c>
      <c r="N47" s="17">
        <v>0</v>
      </c>
      <c r="P47" s="14"/>
      <c r="R47" s="14"/>
    </row>
    <row r="48" spans="2:18" x14ac:dyDescent="0.25">
      <c r="B48" s="15" t="s">
        <v>18</v>
      </c>
      <c r="C48" s="16">
        <v>0</v>
      </c>
      <c r="D48" s="16">
        <v>0</v>
      </c>
      <c r="E48" s="16">
        <v>0</v>
      </c>
      <c r="F48" s="16">
        <v>0</v>
      </c>
      <c r="G48" s="16">
        <v>0</v>
      </c>
      <c r="H48" s="16">
        <v>0</v>
      </c>
      <c r="I48" s="16">
        <v>0</v>
      </c>
      <c r="J48" s="16">
        <v>0</v>
      </c>
      <c r="K48" s="16">
        <v>0</v>
      </c>
      <c r="L48" s="16">
        <v>0</v>
      </c>
      <c r="M48" s="16">
        <v>0</v>
      </c>
      <c r="N48" s="16">
        <v>0</v>
      </c>
      <c r="P48" s="14"/>
      <c r="R48" s="14"/>
    </row>
    <row r="49" spans="2:18" x14ac:dyDescent="0.25">
      <c r="B49" t="s">
        <v>82</v>
      </c>
      <c r="C49" s="17">
        <f>Inputs!C$87*Inputs!C$136+Inputs!C$88*Inputs!C$137</f>
        <v>3525784.2433033222</v>
      </c>
      <c r="D49" s="17">
        <f>Inputs!D$87*Inputs!D$136+Inputs!D$88*Inputs!D$137</f>
        <v>2625447.4650291596</v>
      </c>
      <c r="E49" s="17">
        <f>Inputs!E$87*Inputs!E$136+Inputs!E$88*Inputs!E$137</f>
        <v>3369722.8033033218</v>
      </c>
      <c r="F49" s="17">
        <f>Inputs!F$87*Inputs!F$136+Inputs!F$88*Inputs!F$137</f>
        <v>2990007.5233033216</v>
      </c>
      <c r="G49" s="17">
        <f>Inputs!G$87*Inputs!G$136+Inputs!G$88*Inputs!G$137</f>
        <v>2953666.6765320324</v>
      </c>
      <c r="H49" s="17">
        <f>Inputs!H$87*Inputs!H$136+Inputs!H$88*Inputs!H$137</f>
        <v>1932793.6259870529</v>
      </c>
      <c r="I49" s="17">
        <f>Inputs!I$87*Inputs!I$136+Inputs!I$88*Inputs!I$137</f>
        <v>1285414.0677128911</v>
      </c>
      <c r="J49" s="17">
        <f>Inputs!J$87*Inputs!J$136+Inputs!J$88*Inputs!J$137</f>
        <v>131961.2833033207</v>
      </c>
      <c r="K49" s="17">
        <f>Inputs!K$87*Inputs!K$136+Inputs!K$88*Inputs!K$137</f>
        <v>561576.46771289094</v>
      </c>
      <c r="L49" s="17">
        <f>Inputs!L$87*Inputs!L$136+Inputs!L$88*Inputs!L$137</f>
        <v>3516714.8833033219</v>
      </c>
      <c r="M49" s="17">
        <f>Inputs!M$87*Inputs!M$136+Inputs!M$88*Inputs!M$137</f>
        <v>3738828.6433033217</v>
      </c>
      <c r="N49" s="17">
        <f>Inputs!N$87*Inputs!N$136+Inputs!N$88*Inputs!N$137</f>
        <v>4241042.8677128926</v>
      </c>
      <c r="P49" s="14"/>
      <c r="R49" s="14"/>
    </row>
    <row r="50" spans="2:18" x14ac:dyDescent="0.25">
      <c r="B50" s="15" t="s">
        <v>128</v>
      </c>
      <c r="C50" s="16">
        <f>Inputs!C$87*Inputs!C$131+Inputs!C$88*Inputs!C$132</f>
        <v>3574368.5401388281</v>
      </c>
      <c r="D50" s="16">
        <f>Inputs!D$87*Inputs!D$131+Inputs!D$88*Inputs!D$132</f>
        <v>2672529.827957117</v>
      </c>
      <c r="E50" s="16">
        <f>Inputs!E$87*Inputs!E$131+Inputs!E$88*Inputs!E$132</f>
        <v>3418307.1001388282</v>
      </c>
      <c r="F50" s="16">
        <f>Inputs!F$87*Inputs!F$131+Inputs!F$88*Inputs!F$132</f>
        <v>3038591.8201388279</v>
      </c>
      <c r="G50" s="16">
        <f>Inputs!G$87*Inputs!G$131+Inputs!G$88*Inputs!G$132</f>
        <v>2997549.2672221675</v>
      </c>
      <c r="H50" s="16">
        <f>Inputs!H$87*Inputs!H$131+Inputs!H$88*Inputs!H$132</f>
        <v>1981312.6213483186</v>
      </c>
      <c r="I50" s="16">
        <f>Inputs!I$87*Inputs!I$131+Inputs!I$88*Inputs!I$132</f>
        <v>1332431.1291666073</v>
      </c>
      <c r="J50" s="16">
        <f>Inputs!J$87*Inputs!J$131+Inputs!J$88*Inputs!J$132</f>
        <v>180545.58013882747</v>
      </c>
      <c r="K50" s="16">
        <f>Inputs!K$87*Inputs!K$131+Inputs!K$88*Inputs!K$132</f>
        <v>608593.52916660719</v>
      </c>
      <c r="L50" s="16">
        <f>Inputs!L$87*Inputs!L$131+Inputs!L$88*Inputs!L$132</f>
        <v>3565299.1801388282</v>
      </c>
      <c r="M50" s="16">
        <f>Inputs!M$87*Inputs!M$131+Inputs!M$88*Inputs!M$132</f>
        <v>3787412.940138828</v>
      </c>
      <c r="N50" s="16">
        <f>Inputs!N$87*Inputs!N$131+Inputs!N$88*Inputs!N$132</f>
        <v>4288059.9291666076</v>
      </c>
      <c r="P50" s="14"/>
      <c r="R50" s="14"/>
    </row>
    <row r="51" spans="2:18" x14ac:dyDescent="0.25">
      <c r="B51" t="s">
        <v>83</v>
      </c>
      <c r="C51" s="17">
        <f>MAX(0,0.1*Inputs!C$86)*1000*Inputs!C$115</f>
        <v>174915.00000000003</v>
      </c>
      <c r="D51" s="17">
        <f>MAX(0,0.1*Inputs!D$86)*1000*Inputs!D$115</f>
        <v>136620.00000000003</v>
      </c>
      <c r="E51" s="17">
        <f>MAX(0,0.1*Inputs!E$86)*1000*Inputs!E$115</f>
        <v>164565.00000000003</v>
      </c>
      <c r="F51" s="17">
        <f>MAX(0,0.1*Inputs!F$86)*1000*Inputs!F$115</f>
        <v>150535.00000000003</v>
      </c>
      <c r="G51" s="17">
        <f>MAX(0,0.1*Inputs!G$86)*1000*Inputs!G$115</f>
        <v>156975.00000000003</v>
      </c>
      <c r="H51" s="17">
        <f>MAX(0,0.1*Inputs!H$86)*1000*Inputs!H$115</f>
        <v>100970.00000000001</v>
      </c>
      <c r="I51" s="17">
        <f>MAX(0,0.1*Inputs!I$86)*1000*Inputs!I$115</f>
        <v>77165.000000000015</v>
      </c>
      <c r="J51" s="17">
        <f>MAX(0,0.1*Inputs!J$86)*1000*Inputs!J$115</f>
        <v>29670.000000000007</v>
      </c>
      <c r="K51" s="17">
        <f>MAX(0,0.1*Inputs!K$86)*1000*Inputs!K$115</f>
        <v>52095.000000000015</v>
      </c>
      <c r="L51" s="17">
        <f>MAX(0,0.1*Inputs!L$86)*1000*Inputs!L$115</f>
        <v>176180.00000000003</v>
      </c>
      <c r="M51" s="17">
        <f>MAX(0,0.1*Inputs!M$86)*1000*Inputs!M$115</f>
        <v>185840.00000000003</v>
      </c>
      <c r="N51" s="17">
        <f>MAX(0,0.1*Inputs!N$86)*1000*Inputs!N$115</f>
        <v>209070.00000000003</v>
      </c>
      <c r="P51" s="14"/>
      <c r="R51" s="14"/>
    </row>
    <row r="52" spans="2:18" x14ac:dyDescent="0.25">
      <c r="B52" s="15" t="s">
        <v>84</v>
      </c>
      <c r="C52" s="16">
        <f>MAX(0,0.1*Inputs!C$86-Inputs!C$50)*1000*Inputs!C$115</f>
        <v>8882.6400000000212</v>
      </c>
      <c r="D52" s="16">
        <f>MAX(0,0.1*Inputs!D$86-Inputs!D$50)*1000*Inputs!D$115</f>
        <v>0</v>
      </c>
      <c r="E52" s="16">
        <f>MAX(0,0.1*Inputs!E$86-Inputs!E$50)*1000*Inputs!E$115</f>
        <v>0</v>
      </c>
      <c r="F52" s="16">
        <f>MAX(0,0.1*Inputs!F$86-Inputs!F$50)*1000*Inputs!F$115</f>
        <v>0</v>
      </c>
      <c r="G52" s="16">
        <f>MAX(0,0.1*Inputs!G$86-Inputs!G$50)*1000*Inputs!G$115</f>
        <v>0</v>
      </c>
      <c r="H52" s="16">
        <f>MAX(0,0.1*Inputs!H$86-Inputs!H$50)*1000*Inputs!H$115</f>
        <v>0</v>
      </c>
      <c r="I52" s="16">
        <f>MAX(0,0.1*Inputs!I$86-Inputs!I$50)*1000*Inputs!I$115</f>
        <v>0</v>
      </c>
      <c r="J52" s="16">
        <f>MAX(0,0.1*Inputs!J$86-Inputs!J$50)*1000*Inputs!J$115</f>
        <v>0</v>
      </c>
      <c r="K52" s="16">
        <f>MAX(0,0.1*Inputs!K$86-Inputs!K$50)*1000*Inputs!K$115</f>
        <v>0</v>
      </c>
      <c r="L52" s="16">
        <f>MAX(0,0.1*Inputs!L$86-Inputs!L$50)*1000*Inputs!L$115</f>
        <v>0</v>
      </c>
      <c r="M52" s="16">
        <f>MAX(0,0.1*Inputs!M$86-Inputs!M$50)*1000*Inputs!M$115</f>
        <v>0</v>
      </c>
      <c r="N52" s="16">
        <f>MAX(0,0.1*Inputs!N$86-Inputs!N$50)*1000*Inputs!N$115</f>
        <v>0</v>
      </c>
      <c r="P52" s="14"/>
      <c r="R52" s="14"/>
    </row>
    <row r="53" spans="2:18" x14ac:dyDescent="0.25">
      <c r="B53" s="15" t="s">
        <v>85</v>
      </c>
      <c r="C53" s="16">
        <f>MAX(0,(0.1*Inputs!C$86)*1000*Inputs!C$119)</f>
        <v>74635.000000000015</v>
      </c>
      <c r="D53" s="16">
        <f>MAX(0,(0.1*Inputs!D$86)*1000*Inputs!D$119)</f>
        <v>58305.000000000015</v>
      </c>
      <c r="E53" s="16">
        <f>MAX(0,(0.1*Inputs!E$86)*1000*Inputs!E$119)</f>
        <v>70150</v>
      </c>
      <c r="F53" s="16">
        <f>MAX(0,(0.1*Inputs!F$86)*1000*Inputs!F$119)</f>
        <v>64170.000000000015</v>
      </c>
      <c r="G53" s="16">
        <f>MAX(0,(0.1*Inputs!G$86)*1000*Inputs!G$119)</f>
        <v>66930.000000000015</v>
      </c>
      <c r="H53" s="16">
        <f>MAX(0,(0.1*Inputs!H$86)*1000*Inputs!H$119)</f>
        <v>43010.000000000007</v>
      </c>
      <c r="I53" s="16">
        <f>MAX(0,(0.1*Inputs!I$86)*1000*Inputs!I$119)</f>
        <v>32890.000000000007</v>
      </c>
      <c r="J53" s="16">
        <f>MAX(0,(0.1*Inputs!J$86)*1000*Inputs!J$119)</f>
        <v>12650.000000000004</v>
      </c>
      <c r="K53" s="16">
        <f>MAX(0,(0.1*Inputs!K$86)*1000*Inputs!K$119)</f>
        <v>22195.000000000004</v>
      </c>
      <c r="L53" s="16">
        <f>MAX(0,(0.1*Inputs!L$86)*1000*Inputs!L$119)</f>
        <v>75095.000000000015</v>
      </c>
      <c r="M53" s="16">
        <f>MAX(0,(0.1*Inputs!M$86)*1000*Inputs!M$119)</f>
        <v>79235.000000000015</v>
      </c>
      <c r="N53" s="16">
        <f>MAX(0,(0.1*Inputs!N$86)*1000*Inputs!N$119)</f>
        <v>89125.000000000015</v>
      </c>
      <c r="P53" s="14"/>
      <c r="R53" s="14"/>
    </row>
    <row r="54" spans="2:18" x14ac:dyDescent="0.25">
      <c r="B54" s="45" t="s">
        <v>86</v>
      </c>
      <c r="C54" s="17"/>
      <c r="D54" s="17"/>
      <c r="E54" s="17"/>
      <c r="F54" s="17"/>
      <c r="G54" s="17"/>
      <c r="H54" s="17"/>
      <c r="I54" s="17"/>
      <c r="J54" s="17"/>
      <c r="K54" s="17"/>
      <c r="L54" s="17"/>
      <c r="M54" s="17"/>
      <c r="N54" s="17"/>
      <c r="P54" s="14"/>
      <c r="R54" s="14"/>
    </row>
    <row r="55" spans="2:18" x14ac:dyDescent="0.25">
      <c r="B55" t="s">
        <v>87</v>
      </c>
      <c r="C55" s="17">
        <f t="shared" ref="C55" si="31">+C47+C49+C51+C54</f>
        <v>3700699.2433033222</v>
      </c>
      <c r="D55" s="17">
        <f t="shared" ref="D55:N55" si="32">+D47+D49+D51+D54</f>
        <v>2762067.4650291596</v>
      </c>
      <c r="E55" s="17">
        <f t="shared" si="32"/>
        <v>3534287.8033033218</v>
      </c>
      <c r="F55" s="17">
        <f t="shared" si="32"/>
        <v>3140542.5233033216</v>
      </c>
      <c r="G55" s="17">
        <f t="shared" si="32"/>
        <v>3110641.6765320324</v>
      </c>
      <c r="H55" s="17">
        <f t="shared" si="32"/>
        <v>2033763.6259870529</v>
      </c>
      <c r="I55" s="17">
        <f t="shared" si="32"/>
        <v>1362579.0677128911</v>
      </c>
      <c r="J55" s="17">
        <f t="shared" si="32"/>
        <v>161631.2833033207</v>
      </c>
      <c r="K55" s="17">
        <f t="shared" si="32"/>
        <v>613671.46771289094</v>
      </c>
      <c r="L55" s="17">
        <f t="shared" si="32"/>
        <v>3692894.8833033219</v>
      </c>
      <c r="M55" s="17">
        <f t="shared" si="32"/>
        <v>3924668.6433033217</v>
      </c>
      <c r="N55" s="17">
        <f t="shared" si="32"/>
        <v>4450112.8677128926</v>
      </c>
      <c r="P55" s="14">
        <f>+SUM(C55:N55)/SUM(Inputs!$C$37:$N$37)</f>
        <v>32.248918553213066</v>
      </c>
      <c r="R55" s="14"/>
    </row>
    <row r="56" spans="2:18" x14ac:dyDescent="0.25">
      <c r="B56" s="12" t="s">
        <v>17</v>
      </c>
      <c r="C56" s="16">
        <f>+C48+C50+C52</f>
        <v>3583251.1801388282</v>
      </c>
      <c r="D56" s="16">
        <f t="shared" ref="D56:N56" si="33">+D48+D50+D52</f>
        <v>2672529.827957117</v>
      </c>
      <c r="E56" s="16">
        <f t="shared" si="33"/>
        <v>3418307.1001388282</v>
      </c>
      <c r="F56" s="16">
        <f t="shared" si="33"/>
        <v>3038591.8201388279</v>
      </c>
      <c r="G56" s="16">
        <f t="shared" si="33"/>
        <v>2997549.2672221675</v>
      </c>
      <c r="H56" s="16">
        <f t="shared" si="33"/>
        <v>1981312.6213483186</v>
      </c>
      <c r="I56" s="16">
        <f t="shared" si="33"/>
        <v>1332431.1291666073</v>
      </c>
      <c r="J56" s="16">
        <f t="shared" si="33"/>
        <v>180545.58013882747</v>
      </c>
      <c r="K56" s="16">
        <f t="shared" si="33"/>
        <v>608593.52916660719</v>
      </c>
      <c r="L56" s="16">
        <f t="shared" si="33"/>
        <v>3565299.1801388282</v>
      </c>
      <c r="M56" s="16">
        <f t="shared" si="33"/>
        <v>3787412.940138828</v>
      </c>
      <c r="N56" s="16">
        <f t="shared" si="33"/>
        <v>4288059.9291666076</v>
      </c>
      <c r="P56" s="14">
        <f>+SUM(C56:N56)/SUM(Inputs!$C$37:$N$37)</f>
        <v>31.222835124935862</v>
      </c>
      <c r="R56" s="14"/>
    </row>
    <row r="57" spans="2:18" x14ac:dyDescent="0.25">
      <c r="B57" t="s">
        <v>16</v>
      </c>
      <c r="C57" s="17"/>
      <c r="D57" s="17"/>
      <c r="E57" s="17"/>
      <c r="F57" s="17"/>
      <c r="G57" s="17"/>
      <c r="H57" s="17"/>
      <c r="I57" s="17"/>
      <c r="J57" s="17"/>
      <c r="K57" s="17"/>
      <c r="L57" s="17"/>
      <c r="M57" s="17"/>
      <c r="N57" s="17"/>
      <c r="O57" s="11">
        <f>+SUM(C58:N58)/SUM(Inputs!$C$37:$N$37)</f>
        <v>0.91940639269406399</v>
      </c>
      <c r="P57" s="14"/>
      <c r="Q57" s="11"/>
      <c r="R57" s="14"/>
    </row>
    <row r="58" spans="2:18" x14ac:dyDescent="0.25">
      <c r="B58" s="12" t="s">
        <v>15</v>
      </c>
      <c r="C58" s="16">
        <f t="shared" ref="C58:N58" si="34">+C51-C53</f>
        <v>100280.00000000001</v>
      </c>
      <c r="D58" s="16">
        <f t="shared" si="34"/>
        <v>78315.000000000015</v>
      </c>
      <c r="E58" s="16">
        <f t="shared" si="34"/>
        <v>94415.000000000029</v>
      </c>
      <c r="F58" s="16">
        <f t="shared" si="34"/>
        <v>86365.000000000015</v>
      </c>
      <c r="G58" s="16">
        <f t="shared" si="34"/>
        <v>90045.000000000015</v>
      </c>
      <c r="H58" s="16">
        <f t="shared" si="34"/>
        <v>57960.000000000007</v>
      </c>
      <c r="I58" s="16">
        <f t="shared" si="34"/>
        <v>44275.000000000007</v>
      </c>
      <c r="J58" s="16">
        <f t="shared" si="34"/>
        <v>17020.000000000004</v>
      </c>
      <c r="K58" s="16">
        <f t="shared" si="34"/>
        <v>29900.000000000011</v>
      </c>
      <c r="L58" s="16">
        <f t="shared" si="34"/>
        <v>101085.00000000001</v>
      </c>
      <c r="M58" s="16">
        <f t="shared" si="34"/>
        <v>106605.00000000001</v>
      </c>
      <c r="N58" s="16">
        <f t="shared" si="34"/>
        <v>119945.00000000001</v>
      </c>
      <c r="O58" s="11"/>
      <c r="P58" s="14"/>
      <c r="Q58" s="11"/>
      <c r="R58" s="14"/>
    </row>
    <row r="59" spans="2:18" x14ac:dyDescent="0.25">
      <c r="B59" t="s">
        <v>88</v>
      </c>
      <c r="C59" s="13"/>
      <c r="D59" s="13"/>
      <c r="E59" s="13"/>
      <c r="F59" s="13"/>
      <c r="G59" s="13"/>
      <c r="H59" s="13"/>
      <c r="I59" s="13"/>
      <c r="J59" s="13"/>
      <c r="K59" s="13"/>
      <c r="L59" s="13"/>
      <c r="M59" s="13"/>
      <c r="N59" s="13"/>
      <c r="O59" s="28">
        <f>+SUM(C55:N55)/SUM(Inputs!$C$37:$N$37)-O57</f>
        <v>31.329512160519002</v>
      </c>
      <c r="P59" s="14"/>
      <c r="Q59" s="28"/>
      <c r="R59" s="14"/>
    </row>
    <row r="60" spans="2:18" x14ac:dyDescent="0.25">
      <c r="B60" s="12" t="s">
        <v>14</v>
      </c>
      <c r="O60" s="28">
        <f>+SUM(C56:N56)/SUM(Inputs!$C$37:$N$37)</f>
        <v>31.222835124935862</v>
      </c>
      <c r="Q60" s="28"/>
    </row>
    <row r="61" spans="2:18" x14ac:dyDescent="0.25">
      <c r="B61" t="s">
        <v>13</v>
      </c>
      <c r="O61" s="11">
        <f>IF(O59&gt;O60,MAX(0,O59-1.02*O60),MAX(O59-O60,IF(O59&lt;(1-0.017)*O60,RICmCharge!$J$21+((O59-O60)/O60+0.017)*100*RICmCharge!$J$22,0)))</f>
        <v>0</v>
      </c>
      <c r="Q61" s="11"/>
    </row>
    <row r="62" spans="2:18" x14ac:dyDescent="0.25">
      <c r="B62" t="s">
        <v>89</v>
      </c>
      <c r="O62" s="11">
        <f>+O59-O61</f>
        <v>31.329512160519002</v>
      </c>
      <c r="Q62" s="11"/>
    </row>
    <row r="64" spans="2:18" ht="15.75" x14ac:dyDescent="0.25">
      <c r="B64" s="26" t="s">
        <v>12</v>
      </c>
    </row>
    <row r="65" spans="2:18" x14ac:dyDescent="0.25">
      <c r="C65" s="1">
        <v>47027</v>
      </c>
      <c r="D65" s="1">
        <f t="shared" ref="D65" si="35">+EOMONTH(C65,0)+1</f>
        <v>47058</v>
      </c>
      <c r="E65" s="1">
        <f t="shared" ref="E65" si="36">+EOMONTH(D65,0)+1</f>
        <v>47088</v>
      </c>
      <c r="F65" s="1">
        <f t="shared" ref="F65" si="37">+EOMONTH(E65,0)+1</f>
        <v>47119</v>
      </c>
      <c r="G65" s="1">
        <f t="shared" ref="G65" si="38">+EOMONTH(F65,0)+1</f>
        <v>47150</v>
      </c>
      <c r="H65" s="1">
        <f t="shared" ref="H65" si="39">+EOMONTH(G65,0)+1</f>
        <v>47178</v>
      </c>
      <c r="I65" s="1">
        <f t="shared" ref="I65" si="40">+EOMONTH(H65,0)+1</f>
        <v>47209</v>
      </c>
      <c r="J65" s="1">
        <f t="shared" ref="J65" si="41">+EOMONTH(I65,0)+1</f>
        <v>47239</v>
      </c>
      <c r="K65" s="1">
        <f t="shared" ref="K65" si="42">+EOMONTH(J65,0)+1</f>
        <v>47270</v>
      </c>
      <c r="L65" s="1">
        <f t="shared" ref="L65" si="43">+EOMONTH(K65,0)+1</f>
        <v>47300</v>
      </c>
      <c r="M65" s="1">
        <f t="shared" ref="M65" si="44">+EOMONTH(L65,0)+1</f>
        <v>47331</v>
      </c>
      <c r="N65" s="1">
        <f t="shared" ref="N65" si="45">+EOMONTH(M65,0)+1</f>
        <v>47362</v>
      </c>
      <c r="O65" s="34" t="s">
        <v>19</v>
      </c>
      <c r="Q65" s="34"/>
    </row>
    <row r="66" spans="2:18" x14ac:dyDescent="0.25">
      <c r="B66" s="46" t="s">
        <v>120</v>
      </c>
      <c r="C66" s="1"/>
      <c r="D66" s="1"/>
      <c r="E66" s="1"/>
      <c r="F66" s="1"/>
      <c r="G66" s="1"/>
      <c r="H66" s="1"/>
      <c r="I66" s="1"/>
      <c r="J66" s="1"/>
      <c r="K66" s="1"/>
      <c r="L66" s="1"/>
      <c r="M66" s="1"/>
      <c r="N66" s="1"/>
      <c r="O66" s="34"/>
      <c r="Q66" s="34"/>
    </row>
    <row r="67" spans="2:18" x14ac:dyDescent="0.25">
      <c r="B67" t="s">
        <v>81</v>
      </c>
      <c r="C67" s="17">
        <v>0</v>
      </c>
      <c r="D67" s="17">
        <v>0</v>
      </c>
      <c r="E67" s="17">
        <v>0</v>
      </c>
      <c r="F67" s="17">
        <v>0</v>
      </c>
      <c r="G67" s="17">
        <v>0</v>
      </c>
      <c r="H67" s="17">
        <v>0</v>
      </c>
      <c r="I67" s="17">
        <v>0</v>
      </c>
      <c r="J67" s="17">
        <v>0</v>
      </c>
      <c r="K67" s="17">
        <v>0</v>
      </c>
      <c r="L67" s="17">
        <v>0</v>
      </c>
      <c r="M67" s="17">
        <v>0</v>
      </c>
      <c r="N67" s="17">
        <v>0</v>
      </c>
    </row>
    <row r="68" spans="2:18" x14ac:dyDescent="0.25">
      <c r="B68" s="15" t="s">
        <v>18</v>
      </c>
      <c r="C68" s="16">
        <v>0</v>
      </c>
      <c r="D68" s="16">
        <v>0</v>
      </c>
      <c r="E68" s="16">
        <v>0</v>
      </c>
      <c r="F68" s="16">
        <v>0</v>
      </c>
      <c r="G68" s="16">
        <v>0</v>
      </c>
      <c r="H68" s="16">
        <v>0</v>
      </c>
      <c r="I68" s="16">
        <v>0</v>
      </c>
      <c r="J68" s="16">
        <v>0</v>
      </c>
      <c r="K68" s="16">
        <v>0</v>
      </c>
      <c r="L68" s="16">
        <v>0</v>
      </c>
      <c r="M68" s="16">
        <v>0</v>
      </c>
      <c r="N68" s="16">
        <v>0</v>
      </c>
    </row>
    <row r="69" spans="2:18" x14ac:dyDescent="0.25">
      <c r="B69" t="s">
        <v>82</v>
      </c>
      <c r="C69" s="17">
        <f>Inputs!C$87*Inputs!C$136+Inputs!C$88*Inputs!C$137</f>
        <v>3525784.2433033222</v>
      </c>
      <c r="D69" s="17">
        <f>Inputs!D$87*Inputs!D$136+Inputs!D$88*Inputs!D$137</f>
        <v>2625447.4650291596</v>
      </c>
      <c r="E69" s="17">
        <f>Inputs!E$87*Inputs!E$136+Inputs!E$88*Inputs!E$137</f>
        <v>3369722.8033033218</v>
      </c>
      <c r="F69" s="17">
        <f>Inputs!F$87*Inputs!F$136+Inputs!F$88*Inputs!F$137</f>
        <v>2990007.5233033216</v>
      </c>
      <c r="G69" s="17">
        <f>Inputs!G$87*Inputs!G$136+Inputs!G$88*Inputs!G$137</f>
        <v>2953666.6765320324</v>
      </c>
      <c r="H69" s="17">
        <f>Inputs!H$87*Inputs!H$136+Inputs!H$88*Inputs!H$137</f>
        <v>1932793.6259870529</v>
      </c>
      <c r="I69" s="17">
        <f>Inputs!I$87*Inputs!I$136+Inputs!I$88*Inputs!I$137</f>
        <v>1285414.0677128911</v>
      </c>
      <c r="J69" s="17">
        <f>Inputs!J$87*Inputs!J$136+Inputs!J$88*Inputs!J$137</f>
        <v>131961.2833033207</v>
      </c>
      <c r="K69" s="17">
        <f>Inputs!K$87*Inputs!K$136+Inputs!K$88*Inputs!K$137</f>
        <v>561576.46771289094</v>
      </c>
      <c r="L69" s="17">
        <f>Inputs!L$87*Inputs!L$136+Inputs!L$88*Inputs!L$137</f>
        <v>3516714.8833033219</v>
      </c>
      <c r="M69" s="17">
        <f>Inputs!M$87*Inputs!M$136+Inputs!M$88*Inputs!M$137</f>
        <v>3738828.6433033217</v>
      </c>
      <c r="N69" s="17">
        <f>Inputs!N$87*Inputs!N$136+Inputs!N$88*Inputs!N$137</f>
        <v>4241042.8677128926</v>
      </c>
    </row>
    <row r="70" spans="2:18" x14ac:dyDescent="0.25">
      <c r="B70" s="15" t="s">
        <v>128</v>
      </c>
      <c r="C70" s="16">
        <f>Inputs!C$87*Inputs!C$131+Inputs!C$88*Inputs!C$132</f>
        <v>3574368.5401388281</v>
      </c>
      <c r="D70" s="16">
        <f>Inputs!D$87*Inputs!D$131+Inputs!D$88*Inputs!D$132</f>
        <v>2672529.827957117</v>
      </c>
      <c r="E70" s="16">
        <f>Inputs!E$87*Inputs!E$131+Inputs!E$88*Inputs!E$132</f>
        <v>3418307.1001388282</v>
      </c>
      <c r="F70" s="16">
        <f>Inputs!F$87*Inputs!F$131+Inputs!F$88*Inputs!F$132</f>
        <v>3038591.8201388279</v>
      </c>
      <c r="G70" s="16">
        <f>Inputs!G$87*Inputs!G$131+Inputs!G$88*Inputs!G$132</f>
        <v>2997549.2672221675</v>
      </c>
      <c r="H70" s="16">
        <f>Inputs!H$87*Inputs!H$131+Inputs!H$88*Inputs!H$132</f>
        <v>1981312.6213483186</v>
      </c>
      <c r="I70" s="16">
        <f>Inputs!I$87*Inputs!I$131+Inputs!I$88*Inputs!I$132</f>
        <v>1332431.1291666073</v>
      </c>
      <c r="J70" s="16">
        <f>Inputs!J$87*Inputs!J$131+Inputs!J$88*Inputs!J$132</f>
        <v>180545.58013882747</v>
      </c>
      <c r="K70" s="16">
        <f>Inputs!K$87*Inputs!K$131+Inputs!K$88*Inputs!K$132</f>
        <v>608593.52916660719</v>
      </c>
      <c r="L70" s="16">
        <f>Inputs!L$87*Inputs!L$131+Inputs!L$88*Inputs!L$132</f>
        <v>3565299.1801388282</v>
      </c>
      <c r="M70" s="16">
        <f>Inputs!M$87*Inputs!M$131+Inputs!M$88*Inputs!M$132</f>
        <v>3787412.940138828</v>
      </c>
      <c r="N70" s="16">
        <f>Inputs!N$87*Inputs!N$131+Inputs!N$88*Inputs!N$132</f>
        <v>4288059.9291666076</v>
      </c>
    </row>
    <row r="71" spans="2:18" x14ac:dyDescent="0.25">
      <c r="B71" t="s">
        <v>83</v>
      </c>
      <c r="C71" s="17">
        <f>+MAX(0,Inputs!C$46-Inputs!C$86)*1000*Inputs!C$115</f>
        <v>288292.12467500777</v>
      </c>
      <c r="D71" s="17">
        <f>+MAX(0,Inputs!D$46-Inputs!D$86)*1000*Inputs!D$115</f>
        <v>234239.6220695753</v>
      </c>
      <c r="E71" s="17">
        <f>+MAX(0,Inputs!E$46-Inputs!E$86)*1000*Inputs!E$115</f>
        <v>309445.34507588256</v>
      </c>
      <c r="F71" s="17">
        <f>+MAX(0,Inputs!F$46-Inputs!F$86)*1000*Inputs!F$115</f>
        <v>695407.79904976673</v>
      </c>
      <c r="G71" s="17">
        <f>+MAX(0,Inputs!G$46-Inputs!G$86)*1000*Inputs!G$115</f>
        <v>224103.48988483191</v>
      </c>
      <c r="H71" s="17">
        <f>+MAX(0,Inputs!H$46-Inputs!H$86)*1000*Inputs!H$115</f>
        <v>0</v>
      </c>
      <c r="I71" s="17">
        <f>+MAX(0,Inputs!I$46-Inputs!I$86)*1000*Inputs!I$115</f>
        <v>99847.20750251686</v>
      </c>
      <c r="J71" s="17">
        <f>+MAX(0,Inputs!J$46-Inputs!J$86)*1000*Inputs!J$115</f>
        <v>63679.363371099433</v>
      </c>
      <c r="K71" s="17">
        <f>+MAX(0,Inputs!K$46-Inputs!K$86)*1000*Inputs!K$115</f>
        <v>279102.24883329368</v>
      </c>
      <c r="L71" s="17">
        <f>+MAX(0,Inputs!L$46-Inputs!L$86)*1000*Inputs!L$115</f>
        <v>1547211.0433166947</v>
      </c>
      <c r="M71" s="17">
        <f>+MAX(0,Inputs!M$46-Inputs!M$86)*1000*Inputs!M$115</f>
        <v>1387196.1630972659</v>
      </c>
      <c r="N71" s="17">
        <f>+MAX(0,Inputs!N$46-Inputs!N$86)*1000*Inputs!N$115</f>
        <v>947379.95620503044</v>
      </c>
    </row>
    <row r="72" spans="2:18" x14ac:dyDescent="0.25">
      <c r="B72" s="15" t="s">
        <v>84</v>
      </c>
      <c r="C72" s="16">
        <f>MAX(0,Inputs!C$46-Inputs!C$84-Inputs!C$50)*1000*Inputs!C$115</f>
        <v>0</v>
      </c>
      <c r="D72" s="16">
        <f>MAX(0,Inputs!D$46-Inputs!D$84-Inputs!D$50)*1000*Inputs!D$115</f>
        <v>0</v>
      </c>
      <c r="E72" s="16">
        <f>MAX(0,Inputs!E$46-Inputs!E$84-Inputs!E$50)*1000*Inputs!E$115</f>
        <v>0</v>
      </c>
      <c r="F72" s="16">
        <f>MAX(0,Inputs!F$46-Inputs!F$84-Inputs!F$50)*1000*Inputs!F$115</f>
        <v>300392.88289592043</v>
      </c>
      <c r="G72" s="16">
        <f>MAX(0,Inputs!G$46-Inputs!G$84-Inputs!G$50)*1000*Inputs!G$115</f>
        <v>0</v>
      </c>
      <c r="H72" s="16">
        <f>MAX(0,Inputs!H$46-Inputs!H$84-Inputs!H$50)*1000*Inputs!H$115</f>
        <v>0</v>
      </c>
      <c r="I72" s="16">
        <f>MAX(0,Inputs!I$46-Inputs!I$84-Inputs!I$50)*1000*Inputs!I$115</f>
        <v>0</v>
      </c>
      <c r="J72" s="16">
        <f>MAX(0,Inputs!J$46-Inputs!J$84-Inputs!J$50)*1000*Inputs!J$115</f>
        <v>0</v>
      </c>
      <c r="K72" s="16">
        <f>MAX(0,Inputs!K$46-Inputs!K$84-Inputs!K$50)*1000*Inputs!K$115</f>
        <v>99097.820371755224</v>
      </c>
      <c r="L72" s="16">
        <f>MAX(0,Inputs!L$46-Inputs!L$84-Inputs!L$50)*1000*Inputs!L$115</f>
        <v>872196.52331669419</v>
      </c>
      <c r="M72" s="16">
        <f>MAX(0,Inputs!M$46-Inputs!M$84-Inputs!M$50)*1000*Inputs!M$115</f>
        <v>959532.53643059917</v>
      </c>
      <c r="N72" s="16">
        <f>MAX(0,Inputs!N$46-Inputs!N$84-Inputs!N$50)*1000*Inputs!N$115</f>
        <v>172802.87620503022</v>
      </c>
    </row>
    <row r="73" spans="2:18" x14ac:dyDescent="0.25">
      <c r="B73" s="15" t="s">
        <v>85</v>
      </c>
      <c r="C73" s="16">
        <f>MAX(0,(Inputs!C$46-Inputs!C$86)*1000*Inputs!C$119)</f>
        <v>123012.2215082709</v>
      </c>
      <c r="D73" s="16">
        <f>MAX(0,(Inputs!D$46-Inputs!D$86)*1000*Inputs!D$119)</f>
        <v>99965.899317571282</v>
      </c>
      <c r="E73" s="16">
        <f>MAX(0,(Inputs!E$46-Inputs!E$86)*1000*Inputs!E$119)</f>
        <v>131908.91718818192</v>
      </c>
      <c r="F73" s="16">
        <f>MAX(0,(Inputs!F$46-Inputs!F$86)*1000*Inputs!F$119)</f>
        <v>296438.16032831918</v>
      </c>
      <c r="G73" s="16">
        <f>MAX(0,(Inputs!G$46-Inputs!G$86)*1000*Inputs!G$119)</f>
        <v>95551.817665181079</v>
      </c>
      <c r="H73" s="16">
        <f>MAX(0,(Inputs!H$46-Inputs!H$86)*1000*Inputs!H$119)</f>
        <v>0</v>
      </c>
      <c r="I73" s="16">
        <f>MAX(0,(Inputs!I$46-Inputs!I$86)*1000*Inputs!I$119)</f>
        <v>42557.826148613742</v>
      </c>
      <c r="J73" s="16">
        <f>MAX(0,(Inputs!J$46-Inputs!J$86)*1000*Inputs!J$119)</f>
        <v>27150.116165972628</v>
      </c>
      <c r="K73" s="16">
        <f>MAX(0,(Inputs!K$46-Inputs!K$86)*1000*Inputs!K$119)</f>
        <v>118911.11263758427</v>
      </c>
      <c r="L73" s="16">
        <f>MAX(0,(Inputs!L$46-Inputs!L$86)*1000*Inputs!L$119)</f>
        <v>659483.55828054936</v>
      </c>
      <c r="M73" s="16">
        <f>MAX(0,(Inputs!M$46-Inputs!M$86)*1000*Inputs!M$119)</f>
        <v>591446.87894431688</v>
      </c>
      <c r="N73" s="16">
        <f>MAX(0,(Inputs!N$46-Inputs!N$86)*1000*Inputs!N$119)</f>
        <v>403861.09244163841</v>
      </c>
    </row>
    <row r="74" spans="2:18" x14ac:dyDescent="0.25">
      <c r="B74" s="45" t="s">
        <v>86</v>
      </c>
      <c r="C74" s="17">
        <f>Inputs!C$89*Inputs!C$123</f>
        <v>80377.408453863449</v>
      </c>
      <c r="D74" s="17">
        <f>Inputs!D$89*Inputs!D$123</f>
        <v>77892.622977467137</v>
      </c>
      <c r="E74" s="17">
        <f>Inputs!E$89*Inputs!E$123</f>
        <v>80377.408453863449</v>
      </c>
      <c r="F74" s="17">
        <f>Inputs!F$89*Inputs!F$123</f>
        <v>80377.408453863449</v>
      </c>
      <c r="G74" s="17">
        <f>Inputs!G$89*Inputs!G$123</f>
        <v>72598.949571231511</v>
      </c>
      <c r="H74" s="17">
        <f>Inputs!H$89*Inputs!H$123</f>
        <v>80269.374302715791</v>
      </c>
      <c r="I74" s="17">
        <f>Inputs!I$89*Inputs!I$123</f>
        <v>77784.588826319479</v>
      </c>
      <c r="J74" s="17">
        <f>Inputs!J$89*Inputs!J$123</f>
        <v>80377.408453863449</v>
      </c>
      <c r="K74" s="17">
        <f>Inputs!K$89*Inputs!K$123</f>
        <v>77784.588826319479</v>
      </c>
      <c r="L74" s="17">
        <f>Inputs!L$89*Inputs!L$123</f>
        <v>80377.408453863449</v>
      </c>
      <c r="M74" s="17">
        <f>Inputs!M$89*Inputs!M$123</f>
        <v>80377.408453863449</v>
      </c>
      <c r="N74" s="17">
        <f>Inputs!N$89*Inputs!N$123</f>
        <v>77784.588826319479</v>
      </c>
    </row>
    <row r="75" spans="2:18" x14ac:dyDescent="0.25">
      <c r="B75" t="s">
        <v>87</v>
      </c>
      <c r="C75" s="17">
        <f t="shared" ref="C75:N75" si="46">+C67+C69+C71+C74</f>
        <v>3894453.7764321934</v>
      </c>
      <c r="D75" s="17">
        <f t="shared" si="46"/>
        <v>2937579.7100762022</v>
      </c>
      <c r="E75" s="17">
        <f t="shared" si="46"/>
        <v>3759545.5568330679</v>
      </c>
      <c r="F75" s="17">
        <f t="shared" si="46"/>
        <v>3765792.7308069519</v>
      </c>
      <c r="G75" s="17">
        <f t="shared" si="46"/>
        <v>3250369.1159880958</v>
      </c>
      <c r="H75" s="17">
        <f t="shared" si="46"/>
        <v>2013063.0002897687</v>
      </c>
      <c r="I75" s="17">
        <f t="shared" si="46"/>
        <v>1463045.8640417275</v>
      </c>
      <c r="J75" s="17">
        <f t="shared" si="46"/>
        <v>276018.05512828357</v>
      </c>
      <c r="K75" s="17">
        <f t="shared" si="46"/>
        <v>918463.30537250405</v>
      </c>
      <c r="L75" s="17">
        <f t="shared" si="46"/>
        <v>5144303.3350738799</v>
      </c>
      <c r="M75" s="17">
        <f t="shared" si="46"/>
        <v>5206402.2148544509</v>
      </c>
      <c r="N75" s="17">
        <f t="shared" si="46"/>
        <v>5266207.4127442427</v>
      </c>
      <c r="P75" s="14">
        <f>+SUM(C75:N75)/SUM(Inputs!$C$37:$N$37)</f>
        <v>37.616879171770265</v>
      </c>
      <c r="R75" s="14"/>
    </row>
    <row r="76" spans="2:18" x14ac:dyDescent="0.25">
      <c r="B76" s="12" t="s">
        <v>17</v>
      </c>
      <c r="C76" s="16">
        <f>+C68+C70+C72</f>
        <v>3574368.5401388281</v>
      </c>
      <c r="D76" s="16">
        <f t="shared" ref="D76:N76" si="47">+D68+D70+D72</f>
        <v>2672529.827957117</v>
      </c>
      <c r="E76" s="16">
        <f t="shared" si="47"/>
        <v>3418307.1001388282</v>
      </c>
      <c r="F76" s="16">
        <f t="shared" si="47"/>
        <v>3338984.7030347483</v>
      </c>
      <c r="G76" s="16">
        <f t="shared" si="47"/>
        <v>2997549.2672221675</v>
      </c>
      <c r="H76" s="16">
        <f t="shared" si="47"/>
        <v>1981312.6213483186</v>
      </c>
      <c r="I76" s="16">
        <f t="shared" si="47"/>
        <v>1332431.1291666073</v>
      </c>
      <c r="J76" s="16">
        <f t="shared" si="47"/>
        <v>180545.58013882747</v>
      </c>
      <c r="K76" s="16">
        <f t="shared" si="47"/>
        <v>707691.34953836235</v>
      </c>
      <c r="L76" s="16">
        <f t="shared" si="47"/>
        <v>4437495.7034555227</v>
      </c>
      <c r="M76" s="16">
        <f t="shared" si="47"/>
        <v>4746945.4765694272</v>
      </c>
      <c r="N76" s="16">
        <f t="shared" si="47"/>
        <v>4460862.8053716375</v>
      </c>
      <c r="P76" s="14">
        <f>+SUM(C76:N76)/SUM(Inputs!$C$37:$N$37)</f>
        <v>33.600381282589233</v>
      </c>
      <c r="R76" s="14"/>
    </row>
    <row r="77" spans="2:18" x14ac:dyDescent="0.25">
      <c r="B77" t="s">
        <v>16</v>
      </c>
      <c r="C77" s="17"/>
      <c r="D77" s="17"/>
      <c r="E77" s="17"/>
      <c r="F77" s="17"/>
      <c r="G77" s="17"/>
      <c r="H77" s="17"/>
      <c r="I77" s="17"/>
      <c r="J77" s="17"/>
      <c r="K77" s="17"/>
      <c r="L77" s="17"/>
      <c r="M77" s="17"/>
      <c r="N77" s="17"/>
      <c r="O77" s="11">
        <f>+SUM(C78:N78)/SUM(Inputs!$C$37:$N$37)</f>
        <v>3.4600126687063386</v>
      </c>
      <c r="Q77" s="11"/>
    </row>
    <row r="78" spans="2:18" x14ac:dyDescent="0.25">
      <c r="B78" s="12" t="s">
        <v>15</v>
      </c>
      <c r="C78" s="16">
        <f t="shared" ref="C78" si="48">+C71-C73</f>
        <v>165279.90316673688</v>
      </c>
      <c r="D78" s="16">
        <f t="shared" ref="D78:N78" si="49">+D71-D73</f>
        <v>134273.72275200402</v>
      </c>
      <c r="E78" s="16">
        <f t="shared" si="49"/>
        <v>177536.42788770064</v>
      </c>
      <c r="F78" s="16">
        <f t="shared" si="49"/>
        <v>398969.63872144755</v>
      </c>
      <c r="G78" s="16">
        <f t="shared" si="49"/>
        <v>128551.67221965083</v>
      </c>
      <c r="H78" s="16">
        <f t="shared" si="49"/>
        <v>0</v>
      </c>
      <c r="I78" s="16">
        <f t="shared" si="49"/>
        <v>57289.381353903118</v>
      </c>
      <c r="J78" s="16">
        <f t="shared" si="49"/>
        <v>36529.247205126805</v>
      </c>
      <c r="K78" s="16">
        <f t="shared" si="49"/>
        <v>160191.13619570941</v>
      </c>
      <c r="L78" s="16">
        <f t="shared" si="49"/>
        <v>887727.48503614531</v>
      </c>
      <c r="M78" s="16">
        <f t="shared" si="49"/>
        <v>795749.284152949</v>
      </c>
      <c r="N78" s="16">
        <f t="shared" si="49"/>
        <v>543518.86376339197</v>
      </c>
      <c r="O78" s="11"/>
      <c r="Q78" s="11"/>
    </row>
    <row r="79" spans="2:18" x14ac:dyDescent="0.25">
      <c r="B79" t="s">
        <v>88</v>
      </c>
      <c r="C79" s="13"/>
      <c r="D79" s="13"/>
      <c r="E79" s="13"/>
      <c r="F79" s="13"/>
      <c r="G79" s="13"/>
      <c r="H79" s="13"/>
      <c r="I79" s="13"/>
      <c r="J79" s="13"/>
      <c r="K79" s="13"/>
      <c r="L79" s="13"/>
      <c r="M79" s="13"/>
      <c r="N79" s="13"/>
      <c r="O79" s="11">
        <f>+SUM(C75:N75)/SUM(Inputs!$C$37:$N$37)-O77</f>
        <v>34.156866503063924</v>
      </c>
      <c r="Q79" s="11"/>
    </row>
    <row r="80" spans="2:18" x14ac:dyDescent="0.25">
      <c r="B80" s="12" t="s">
        <v>14</v>
      </c>
      <c r="O80" s="11">
        <f>+SUM(C76:N76)/SUM(Inputs!$C$37:$N$37)</f>
        <v>33.600381282589233</v>
      </c>
      <c r="Q80" s="11"/>
    </row>
    <row r="81" spans="2:18" x14ac:dyDescent="0.25">
      <c r="B81" t="s">
        <v>13</v>
      </c>
      <c r="O81" s="11">
        <f>IF(O79&gt;O80,MAX(0,O79-1.02*O80),MAX(O79-O80,IF(O79&lt;(1-0.017)*O80,RICmCharge!$J$21+((O79-O80)/O80+0.017)*100*RICmCharge!$J$22,0)))</f>
        <v>0</v>
      </c>
      <c r="Q81" s="11"/>
    </row>
    <row r="82" spans="2:18" x14ac:dyDescent="0.25">
      <c r="B82" t="s">
        <v>89</v>
      </c>
      <c r="O82" s="11">
        <f>+O79-O81</f>
        <v>34.156866503063924</v>
      </c>
      <c r="Q82" s="11"/>
    </row>
    <row r="84" spans="2:18" ht="15.75" x14ac:dyDescent="0.25">
      <c r="B84" s="26" t="s">
        <v>55</v>
      </c>
      <c r="C84" s="1">
        <v>47027</v>
      </c>
      <c r="D84" s="1">
        <f t="shared" ref="D84" si="50">+EOMONTH(C84,0)+1</f>
        <v>47058</v>
      </c>
      <c r="E84" s="1">
        <f t="shared" ref="E84" si="51">+EOMONTH(D84,0)+1</f>
        <v>47088</v>
      </c>
      <c r="F84" s="1">
        <f t="shared" ref="F84" si="52">+EOMONTH(E84,0)+1</f>
        <v>47119</v>
      </c>
      <c r="G84" s="1">
        <f t="shared" ref="G84" si="53">+EOMONTH(F84,0)+1</f>
        <v>47150</v>
      </c>
      <c r="H84" s="1">
        <f t="shared" ref="H84" si="54">+EOMONTH(G84,0)+1</f>
        <v>47178</v>
      </c>
      <c r="I84" s="1">
        <f t="shared" ref="I84" si="55">+EOMONTH(H84,0)+1</f>
        <v>47209</v>
      </c>
      <c r="J84" s="1">
        <f t="shared" ref="J84" si="56">+EOMONTH(I84,0)+1</f>
        <v>47239</v>
      </c>
      <c r="K84" s="1">
        <f t="shared" ref="K84" si="57">+EOMONTH(J84,0)+1</f>
        <v>47270</v>
      </c>
      <c r="L84" s="1">
        <f t="shared" ref="L84" si="58">+EOMONTH(K84,0)+1</f>
        <v>47300</v>
      </c>
      <c r="M84" s="1">
        <f t="shared" ref="M84" si="59">+EOMONTH(L84,0)+1</f>
        <v>47331</v>
      </c>
      <c r="N84" s="1">
        <f t="shared" ref="N84" si="60">+EOMONTH(M84,0)+1</f>
        <v>47362</v>
      </c>
      <c r="O84" s="34" t="s">
        <v>19</v>
      </c>
      <c r="Q84" s="34"/>
    </row>
    <row r="85" spans="2:18" outlineLevel="1" x14ac:dyDescent="0.25">
      <c r="B85" s="42" t="s">
        <v>71</v>
      </c>
      <c r="C85" s="42"/>
      <c r="D85" s="14"/>
      <c r="E85" s="14"/>
      <c r="F85" s="14"/>
      <c r="G85" s="14"/>
      <c r="H85" s="14"/>
      <c r="I85" s="14"/>
      <c r="J85" s="14"/>
      <c r="K85" s="14"/>
      <c r="L85" s="14"/>
      <c r="M85" s="14"/>
      <c r="N85" s="14"/>
    </row>
    <row r="86" spans="2:18" x14ac:dyDescent="0.25">
      <c r="B86" t="s">
        <v>81</v>
      </c>
      <c r="C86" s="17">
        <v>0</v>
      </c>
      <c r="D86" s="17">
        <v>0</v>
      </c>
      <c r="E86" s="17">
        <v>0</v>
      </c>
      <c r="F86" s="17">
        <v>0</v>
      </c>
      <c r="G86" s="17">
        <v>0</v>
      </c>
      <c r="H86" s="17">
        <v>0</v>
      </c>
      <c r="I86" s="17">
        <v>0</v>
      </c>
      <c r="J86" s="17">
        <v>0</v>
      </c>
      <c r="K86" s="17">
        <v>0</v>
      </c>
      <c r="L86" s="17">
        <v>0</v>
      </c>
      <c r="M86" s="17">
        <v>0</v>
      </c>
      <c r="N86" s="17">
        <v>0</v>
      </c>
      <c r="O86" s="17"/>
      <c r="Q86" s="17"/>
    </row>
    <row r="87" spans="2:18" x14ac:dyDescent="0.25">
      <c r="B87" s="15" t="s">
        <v>18</v>
      </c>
      <c r="C87" s="16">
        <v>0</v>
      </c>
      <c r="D87" s="16">
        <v>0</v>
      </c>
      <c r="E87" s="16">
        <v>0</v>
      </c>
      <c r="F87" s="16">
        <v>0</v>
      </c>
      <c r="G87" s="16">
        <v>0</v>
      </c>
      <c r="H87" s="16">
        <v>0</v>
      </c>
      <c r="I87" s="16">
        <v>0</v>
      </c>
      <c r="J87" s="16">
        <v>0</v>
      </c>
      <c r="K87" s="16">
        <v>0</v>
      </c>
      <c r="L87" s="16">
        <v>0</v>
      </c>
      <c r="M87" s="16">
        <v>0</v>
      </c>
      <c r="N87" s="16">
        <v>0</v>
      </c>
      <c r="O87" s="17"/>
      <c r="P87" s="17"/>
      <c r="Q87" s="17"/>
      <c r="R87" s="17"/>
    </row>
    <row r="88" spans="2:18" x14ac:dyDescent="0.25">
      <c r="B88" t="s">
        <v>82</v>
      </c>
      <c r="C88" s="17">
        <f>Inputs!C$79*Inputs!C$136+Inputs!C$80*Inputs!C$137</f>
        <v>1942652.8234203369</v>
      </c>
      <c r="D88" s="17">
        <f>Inputs!D$79*Inputs!D$136+Inputs!D$80*Inputs!D$137</f>
        <v>1108809.9211245761</v>
      </c>
      <c r="E88" s="17">
        <f>Inputs!E$79*Inputs!E$136+Inputs!E$80*Inputs!E$137</f>
        <v>1497279.8160783933</v>
      </c>
      <c r="F88" s="17">
        <f>Inputs!F$79*Inputs!F$136+Inputs!F$80*Inputs!F$137</f>
        <v>1593718.4759086701</v>
      </c>
      <c r="G88" s="17">
        <f>Inputs!G$79*Inputs!G$136+Inputs!G$80*Inputs!G$137</f>
        <v>1503909.4429234988</v>
      </c>
      <c r="H88" s="17">
        <f>Inputs!H$79*Inputs!H$136+Inputs!H$80*Inputs!H$137</f>
        <v>1032025.3758224484</v>
      </c>
      <c r="I88" s="17">
        <f>Inputs!I$79*Inputs!I$136+Inputs!I$80*Inputs!I$137</f>
        <v>826693.8045790547</v>
      </c>
      <c r="J88" s="17">
        <f>Inputs!J$79*Inputs!J$136+Inputs!J$80*Inputs!J$137</f>
        <v>73034.644681144317</v>
      </c>
      <c r="K88" s="17">
        <f>Inputs!K$79*Inputs!K$136+Inputs!K$80*Inputs!K$137</f>
        <v>197249.18155491521</v>
      </c>
      <c r="L88" s="17">
        <f>Inputs!L$79*Inputs!L$136+Inputs!L$80*Inputs!L$137</f>
        <v>1674072.1635454325</v>
      </c>
      <c r="M88" s="17">
        <f>Inputs!M$79*Inputs!M$136+Inputs!M$80*Inputs!M$137</f>
        <v>1933863.8664203635</v>
      </c>
      <c r="N88" s="17">
        <f>Inputs!N$79*Inputs!N$136+Inputs!N$80*Inputs!N$137</f>
        <v>2245210.9432724402</v>
      </c>
    </row>
    <row r="89" spans="2:18" x14ac:dyDescent="0.25">
      <c r="B89" s="15" t="s">
        <v>128</v>
      </c>
      <c r="C89" s="16">
        <f>Inputs!C$79*Inputs!C$131+Inputs!C$80*Inputs!C$132</f>
        <v>1969469.3530042404</v>
      </c>
      <c r="D89" s="16">
        <f>Inputs!D$79*Inputs!D$131+Inputs!D$80*Inputs!D$132</f>
        <v>1128634.5685893351</v>
      </c>
      <c r="E89" s="16">
        <f>Inputs!E$79*Inputs!E$131+Inputs!E$80*Inputs!E$132</f>
        <v>1518827.8525473785</v>
      </c>
      <c r="F89" s="16">
        <f>Inputs!F$79*Inputs!F$131+Inputs!F$80*Inputs!F$132</f>
        <v>1619607.3638428804</v>
      </c>
      <c r="G89" s="16">
        <f>Inputs!G$79*Inputs!G$131+Inputs!G$80*Inputs!G$132</f>
        <v>1526190.5471181602</v>
      </c>
      <c r="H89" s="16">
        <f>Inputs!H$79*Inputs!H$131+Inputs!H$80*Inputs!H$132</f>
        <v>1057819.0425204961</v>
      </c>
      <c r="I89" s="16">
        <f>Inputs!I$79*Inputs!I$131+Inputs!I$80*Inputs!I$132</f>
        <v>856525.5588006184</v>
      </c>
      <c r="J89" s="16">
        <f>Inputs!J$79*Inputs!J$131+Inputs!J$80*Inputs!J$132</f>
        <v>97271.957477291406</v>
      </c>
      <c r="K89" s="16">
        <f>Inputs!K$79*Inputs!K$131+Inputs!K$80*Inputs!K$132</f>
        <v>213710.68597610231</v>
      </c>
      <c r="L89" s="16">
        <f>Inputs!L$79*Inputs!L$131+Inputs!L$80*Inputs!L$132</f>
        <v>1697302.8152189669</v>
      </c>
      <c r="M89" s="16">
        <f>Inputs!M$79*Inputs!M$131+Inputs!M$80*Inputs!M$132</f>
        <v>1959032.2995750173</v>
      </c>
      <c r="N89" s="16">
        <f>Inputs!N$79*Inputs!N$131+Inputs!N$80*Inputs!N$132</f>
        <v>2270148.8718375592</v>
      </c>
    </row>
    <row r="90" spans="2:18" x14ac:dyDescent="0.25">
      <c r="B90" t="s">
        <v>83</v>
      </c>
      <c r="C90" s="17">
        <f>MAX(0,Inputs!C$76-Inputs!C$78)*1000*Inputs!C$115</f>
        <v>0</v>
      </c>
      <c r="D90" s="17">
        <f>MAX(0,Inputs!D$76-Inputs!D$78)*1000*Inputs!D$115</f>
        <v>0</v>
      </c>
      <c r="E90" s="17">
        <f>MAX(0,Inputs!E$76-Inputs!E$78)*1000*Inputs!E$115</f>
        <v>0</v>
      </c>
      <c r="F90" s="17">
        <f>MAX(0,Inputs!F$76-Inputs!F$78)*1000*Inputs!F$115</f>
        <v>0</v>
      </c>
      <c r="G90" s="17">
        <f>MAX(0,Inputs!G$76-Inputs!G$78)*1000*Inputs!G$115</f>
        <v>0</v>
      </c>
      <c r="H90" s="17">
        <f>MAX(0,Inputs!H$76-Inputs!H$78)*1000*Inputs!H$115</f>
        <v>0</v>
      </c>
      <c r="I90" s="17">
        <f>MAX(0,Inputs!I$76-Inputs!I$78)*1000*Inputs!I$115</f>
        <v>0</v>
      </c>
      <c r="J90" s="17">
        <f>MAX(0,Inputs!J$76-Inputs!J$78)*1000*Inputs!J$115</f>
        <v>0</v>
      </c>
      <c r="K90" s="17">
        <f>MAX(0,Inputs!K$76-Inputs!K$78)*1000*Inputs!K$115</f>
        <v>0</v>
      </c>
      <c r="L90" s="17">
        <f>MAX(0,Inputs!L$76-Inputs!L$78)*1000*Inputs!L$115</f>
        <v>0</v>
      </c>
      <c r="M90" s="17">
        <f>MAX(0,Inputs!M$76-Inputs!M$78)*1000*Inputs!M$115</f>
        <v>0</v>
      </c>
      <c r="N90" s="17">
        <f>MAX(0,Inputs!N$76-Inputs!N$78)*1000*Inputs!N$115</f>
        <v>0</v>
      </c>
    </row>
    <row r="91" spans="2:18" x14ac:dyDescent="0.25">
      <c r="B91" s="15" t="s">
        <v>84</v>
      </c>
      <c r="C91" s="16">
        <f>MAX(0,Inputs!C$76-Inputs!C$76-Inputs!C$50)*1000*Inputs!C$115</f>
        <v>0</v>
      </c>
      <c r="D91" s="16">
        <f>MAX(0,Inputs!D$76-Inputs!D$76-Inputs!D$50)*1000*Inputs!D$115</f>
        <v>0</v>
      </c>
      <c r="E91" s="16">
        <f>MAX(0,Inputs!E$76-Inputs!E$76-Inputs!E$50)*1000*Inputs!E$115</f>
        <v>0</v>
      </c>
      <c r="F91" s="16">
        <f>MAX(0,Inputs!F$76-Inputs!F$76-Inputs!F$50)*1000*Inputs!F$115</f>
        <v>0</v>
      </c>
      <c r="G91" s="16">
        <f>MAX(0,Inputs!G$76-Inputs!G$76-Inputs!G$50)*1000*Inputs!G$115</f>
        <v>0</v>
      </c>
      <c r="H91" s="16">
        <f>MAX(0,Inputs!H$76-Inputs!H$76-Inputs!H$50)*1000*Inputs!H$115</f>
        <v>0</v>
      </c>
      <c r="I91" s="16">
        <f>MAX(0,Inputs!I$76-Inputs!I$76-Inputs!I$50)*1000*Inputs!I$115</f>
        <v>0</v>
      </c>
      <c r="J91" s="16">
        <f>MAX(0,Inputs!J$76-Inputs!J$76-Inputs!J$50)*1000*Inputs!J$115</f>
        <v>0</v>
      </c>
      <c r="K91" s="16">
        <f>MAX(0,Inputs!K$76-Inputs!K$76-Inputs!K$50)*1000*Inputs!K$115</f>
        <v>0</v>
      </c>
      <c r="L91" s="16">
        <f>MAX(0,Inputs!L$76-Inputs!L$76-Inputs!L$50)*1000*Inputs!L$115</f>
        <v>0</v>
      </c>
      <c r="M91" s="16">
        <f>MAX(0,Inputs!M$76-Inputs!M$76-Inputs!M$50)*1000*Inputs!M$115</f>
        <v>0</v>
      </c>
      <c r="N91" s="16">
        <f>MAX(0,Inputs!N$76-Inputs!N$76-Inputs!N$50)*1000*Inputs!N$115</f>
        <v>0</v>
      </c>
    </row>
    <row r="92" spans="2:18" x14ac:dyDescent="0.25">
      <c r="B92" s="15" t="s">
        <v>85</v>
      </c>
      <c r="C92" s="16">
        <f>+(Inputs!C$76-Inputs!C$78)*1000*Inputs!C$119</f>
        <v>0</v>
      </c>
      <c r="D92" s="16">
        <f>+(Inputs!D$76-Inputs!D$78)*1000*Inputs!D$119</f>
        <v>0</v>
      </c>
      <c r="E92" s="16">
        <f>+(Inputs!E$76-Inputs!E$78)*1000*Inputs!E$119</f>
        <v>0</v>
      </c>
      <c r="F92" s="16">
        <f>+(Inputs!F$76-Inputs!F$78)*1000*Inputs!F$119</f>
        <v>0</v>
      </c>
      <c r="G92" s="16">
        <f>+(Inputs!G$76-Inputs!G$78)*1000*Inputs!G$119</f>
        <v>0</v>
      </c>
      <c r="H92" s="16">
        <f>+(Inputs!H$76-Inputs!H$78)*1000*Inputs!H$119</f>
        <v>0</v>
      </c>
      <c r="I92" s="16">
        <f>+(Inputs!I$76-Inputs!I$78)*1000*Inputs!I$119</f>
        <v>0</v>
      </c>
      <c r="J92" s="16">
        <f>+(Inputs!J$76-Inputs!J$78)*1000*Inputs!J$119</f>
        <v>0</v>
      </c>
      <c r="K92" s="16">
        <f>+(Inputs!K$76-Inputs!K$78)*1000*Inputs!K$119</f>
        <v>0</v>
      </c>
      <c r="L92" s="16">
        <f>+(Inputs!L$76-Inputs!L$78)*1000*Inputs!L$119</f>
        <v>0</v>
      </c>
      <c r="M92" s="16">
        <f>+(Inputs!M$76-Inputs!M$78)*1000*Inputs!M$119</f>
        <v>0</v>
      </c>
      <c r="N92" s="16">
        <f>+(Inputs!N$76-Inputs!N$78)*1000*Inputs!N$119</f>
        <v>0</v>
      </c>
    </row>
    <row r="93" spans="2:18" x14ac:dyDescent="0.25">
      <c r="B93" s="45" t="s">
        <v>86</v>
      </c>
      <c r="C93" s="17"/>
      <c r="D93" s="17"/>
      <c r="E93" s="17"/>
      <c r="F93" s="17"/>
      <c r="G93" s="17"/>
      <c r="H93" s="17"/>
      <c r="I93" s="17"/>
      <c r="J93" s="17"/>
      <c r="K93" s="17"/>
      <c r="L93" s="17"/>
      <c r="M93" s="17"/>
      <c r="N93" s="17"/>
    </row>
    <row r="94" spans="2:18" x14ac:dyDescent="0.25">
      <c r="B94" t="s">
        <v>87</v>
      </c>
      <c r="C94" s="17">
        <f>+C86+C88+C90+C93</f>
        <v>1942652.8234203369</v>
      </c>
      <c r="D94" s="17">
        <f t="shared" ref="D94:N94" si="61">+D86+D88+D90+D93</f>
        <v>1108809.9211245761</v>
      </c>
      <c r="E94" s="17">
        <f t="shared" si="61"/>
        <v>1497279.8160783933</v>
      </c>
      <c r="F94" s="17">
        <f t="shared" si="61"/>
        <v>1593718.4759086701</v>
      </c>
      <c r="G94" s="17">
        <f t="shared" si="61"/>
        <v>1503909.4429234988</v>
      </c>
      <c r="H94" s="17">
        <f t="shared" si="61"/>
        <v>1032025.3758224484</v>
      </c>
      <c r="I94" s="17">
        <f t="shared" si="61"/>
        <v>826693.8045790547</v>
      </c>
      <c r="J94" s="17">
        <f t="shared" si="61"/>
        <v>73034.644681144317</v>
      </c>
      <c r="K94" s="17">
        <f t="shared" si="61"/>
        <v>197249.18155491521</v>
      </c>
      <c r="L94" s="17">
        <f t="shared" si="61"/>
        <v>1674072.1635454325</v>
      </c>
      <c r="M94" s="17">
        <f t="shared" si="61"/>
        <v>1933863.8664203635</v>
      </c>
      <c r="N94" s="17">
        <f t="shared" si="61"/>
        <v>2245210.9432724402</v>
      </c>
      <c r="O94" s="17"/>
      <c r="P94" s="14">
        <f>+SUM(C94:N94)/SUM(Inputs!$C$81:$N$81)</f>
        <v>31.027437878362672</v>
      </c>
      <c r="Q94" s="17"/>
      <c r="R94" s="14"/>
    </row>
    <row r="95" spans="2:18" x14ac:dyDescent="0.25">
      <c r="B95" s="12" t="s">
        <v>17</v>
      </c>
      <c r="C95" s="16">
        <f>+C87+C89+C91</f>
        <v>1969469.3530042404</v>
      </c>
      <c r="D95" s="16">
        <f t="shared" ref="D95:N95" si="62">+D87+D89+D91</f>
        <v>1128634.5685893351</v>
      </c>
      <c r="E95" s="16">
        <f t="shared" si="62"/>
        <v>1518827.8525473785</v>
      </c>
      <c r="F95" s="16">
        <f t="shared" si="62"/>
        <v>1619607.3638428804</v>
      </c>
      <c r="G95" s="16">
        <f t="shared" si="62"/>
        <v>1526190.5471181602</v>
      </c>
      <c r="H95" s="16">
        <f t="shared" si="62"/>
        <v>1057819.0425204961</v>
      </c>
      <c r="I95" s="16">
        <f t="shared" si="62"/>
        <v>856525.5588006184</v>
      </c>
      <c r="J95" s="16">
        <f t="shared" si="62"/>
        <v>97271.957477291406</v>
      </c>
      <c r="K95" s="16">
        <f t="shared" si="62"/>
        <v>213710.68597610231</v>
      </c>
      <c r="L95" s="16">
        <f t="shared" si="62"/>
        <v>1697302.8152189669</v>
      </c>
      <c r="M95" s="16">
        <f t="shared" si="62"/>
        <v>1959032.2995750173</v>
      </c>
      <c r="N95" s="16">
        <f t="shared" si="62"/>
        <v>2270148.8718375592</v>
      </c>
      <c r="O95" s="17"/>
      <c r="P95" s="14">
        <f>+SUM(C95:N95)/SUM(Inputs!$C$81:$N$81)</f>
        <v>31.595276784808515</v>
      </c>
      <c r="Q95" s="17"/>
      <c r="R95" s="14"/>
    </row>
    <row r="96" spans="2:18" x14ac:dyDescent="0.25">
      <c r="B96" t="s">
        <v>16</v>
      </c>
      <c r="C96" s="17"/>
      <c r="D96" s="17"/>
      <c r="E96" s="17"/>
      <c r="F96" s="17"/>
      <c r="G96" s="17"/>
      <c r="H96" s="17"/>
      <c r="I96" s="17"/>
      <c r="J96" s="17"/>
      <c r="K96" s="17"/>
      <c r="L96" s="17"/>
      <c r="M96" s="17"/>
      <c r="N96" s="17"/>
      <c r="O96" s="11">
        <f>+SUM(C97:N97)/SUM(Inputs!$C$37:$N$37)</f>
        <v>0</v>
      </c>
      <c r="Q96" s="11"/>
    </row>
    <row r="97" spans="2:17" x14ac:dyDescent="0.25">
      <c r="B97" s="12" t="s">
        <v>15</v>
      </c>
      <c r="C97" s="16">
        <v>0</v>
      </c>
      <c r="D97" s="16">
        <v>0</v>
      </c>
      <c r="E97" s="16">
        <v>0</v>
      </c>
      <c r="F97" s="16">
        <v>0</v>
      </c>
      <c r="G97" s="16">
        <v>0</v>
      </c>
      <c r="H97" s="16">
        <v>0</v>
      </c>
      <c r="I97" s="16">
        <v>0</v>
      </c>
      <c r="J97" s="16">
        <v>0</v>
      </c>
      <c r="K97" s="16">
        <v>0</v>
      </c>
      <c r="L97" s="16">
        <v>0</v>
      </c>
      <c r="M97" s="16">
        <v>0</v>
      </c>
      <c r="N97" s="16">
        <v>0</v>
      </c>
      <c r="O97" s="11"/>
      <c r="Q97" s="11"/>
    </row>
    <row r="98" spans="2:17" x14ac:dyDescent="0.25">
      <c r="B98" t="s">
        <v>88</v>
      </c>
      <c r="C98" s="13"/>
      <c r="D98" s="13"/>
      <c r="E98" s="13"/>
      <c r="F98" s="13"/>
      <c r="G98" s="13"/>
      <c r="H98" s="13"/>
      <c r="I98" s="13"/>
      <c r="J98" s="13"/>
      <c r="K98" s="13"/>
      <c r="L98" s="13"/>
      <c r="M98" s="13"/>
      <c r="N98" s="13"/>
      <c r="O98" s="28">
        <f>+SUM(C94:N94)/SUM(Inputs!$C$81:$N$81)-O96</f>
        <v>31.027437878362672</v>
      </c>
      <c r="Q98" s="28"/>
    </row>
    <row r="99" spans="2:17" x14ac:dyDescent="0.25">
      <c r="B99" s="12" t="s">
        <v>14</v>
      </c>
      <c r="O99" s="28">
        <f>+SUM(C95:N95)/SUM(Inputs!$C$81:$N$81)</f>
        <v>31.595276784808515</v>
      </c>
      <c r="Q99" s="28"/>
    </row>
    <row r="100" spans="2:17" x14ac:dyDescent="0.25">
      <c r="B100" t="s">
        <v>13</v>
      </c>
      <c r="O100" s="11">
        <f>IF(O98&gt;O99,MAX(0,O98-1.02*O99),MAX(O98-O99,IF(O98&lt;(1-0.017)*O99,RICmCharge!$J$21+((O98-O99)/O99+0.017)*100*RICmCharge!$J$22,0)))</f>
        <v>-8.1894676496115704E-2</v>
      </c>
      <c r="Q100" s="11"/>
    </row>
    <row r="101" spans="2:17" x14ac:dyDescent="0.25">
      <c r="B101" t="s">
        <v>89</v>
      </c>
      <c r="O101" s="11">
        <f>+O98-O100</f>
        <v>31.109332554858788</v>
      </c>
      <c r="Q101" s="11"/>
    </row>
    <row r="102" spans="2:17" x14ac:dyDescent="0.25">
      <c r="C102" s="14"/>
      <c r="D102" s="14"/>
      <c r="E102" s="14"/>
      <c r="F102" s="14"/>
      <c r="G102" s="14"/>
      <c r="H102" s="14"/>
      <c r="I102" s="14"/>
      <c r="J102" s="14"/>
      <c r="K102" s="14"/>
      <c r="L102" s="14"/>
      <c r="M102" s="14"/>
      <c r="N102" s="1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4C7E5-D170-4B56-9EDC-88588FB1AF02}">
  <sheetPr>
    <tabColor theme="8" tint="0.59999389629810485"/>
  </sheetPr>
  <dimension ref="A4:N33"/>
  <sheetViews>
    <sheetView workbookViewId="0">
      <selection activeCell="E29" sqref="E29"/>
    </sheetView>
  </sheetViews>
  <sheetFormatPr defaultRowHeight="15" x14ac:dyDescent="0.25"/>
  <cols>
    <col min="1" max="1" width="23.85546875" customWidth="1"/>
    <col min="2" max="2" width="3.5703125" customWidth="1"/>
    <col min="3" max="14" width="12" customWidth="1"/>
  </cols>
  <sheetData>
    <row r="4" spans="1:14" x14ac:dyDescent="0.25">
      <c r="A4" s="9" t="s">
        <v>73</v>
      </c>
      <c r="B4" s="9"/>
      <c r="C4" s="43">
        <v>47027</v>
      </c>
      <c r="D4" s="43">
        <f t="shared" ref="D4:N4" si="0">+EOMONTH(C4,0)+1</f>
        <v>47058</v>
      </c>
      <c r="E4" s="43">
        <f t="shared" si="0"/>
        <v>47088</v>
      </c>
      <c r="F4" s="43">
        <f t="shared" si="0"/>
        <v>47119</v>
      </c>
      <c r="G4" s="43">
        <f t="shared" si="0"/>
        <v>47150</v>
      </c>
      <c r="H4" s="43">
        <f t="shared" si="0"/>
        <v>47178</v>
      </c>
      <c r="I4" s="43">
        <f t="shared" si="0"/>
        <v>47209</v>
      </c>
      <c r="J4" s="43">
        <f t="shared" si="0"/>
        <v>47239</v>
      </c>
      <c r="K4" s="43">
        <f t="shared" si="0"/>
        <v>47270</v>
      </c>
      <c r="L4" s="43">
        <f t="shared" si="0"/>
        <v>47300</v>
      </c>
      <c r="M4" s="43">
        <f t="shared" si="0"/>
        <v>47331</v>
      </c>
      <c r="N4" s="43">
        <f t="shared" si="0"/>
        <v>47362</v>
      </c>
    </row>
    <row r="6" spans="1:14" x14ac:dyDescent="0.25">
      <c r="B6" s="37" t="s">
        <v>62</v>
      </c>
    </row>
    <row r="7" spans="1:14" ht="15.75" x14ac:dyDescent="0.25">
      <c r="A7" s="26" t="s">
        <v>63</v>
      </c>
      <c r="C7" s="36">
        <f>'Product Summary'!C9+'Product Summary'!C11</f>
        <v>3519561.3633033219</v>
      </c>
      <c r="D7" s="36">
        <f>'Product Summary'!D9+'Product Summary'!D11</f>
        <v>2633357.8550291597</v>
      </c>
      <c r="E7" s="36">
        <f>'Product Summary'!E9+'Product Summary'!E11</f>
        <v>3375912.5633033216</v>
      </c>
      <c r="F7" s="36">
        <f>'Product Summary'!F9+'Product Summary'!F11</f>
        <v>2990846.5633033216</v>
      </c>
      <c r="G7" s="36">
        <f>'Product Summary'!G9+'Product Summary'!G11</f>
        <v>2961946.6765320324</v>
      </c>
      <c r="H7" s="36">
        <f>'Product Summary'!H9+'Product Summary'!H11</f>
        <v>1941284.0759870531</v>
      </c>
      <c r="I7" s="36">
        <f>'Product Summary'!I9+'Product Summary'!I11</f>
        <v>1302930.8677128912</v>
      </c>
      <c r="J7" s="36">
        <f>'Product Summary'!J9+'Product Summary'!J11</f>
        <v>146399.76330332071</v>
      </c>
      <c r="K7" s="36">
        <f>'Product Summary'!K9+'Product Summary'!K11</f>
        <v>563379.66771289101</v>
      </c>
      <c r="L7" s="36">
        <f>'Product Summary'!L9+'Product Summary'!L11</f>
        <v>3501133.7633033218</v>
      </c>
      <c r="M7" s="36">
        <f>'Product Summary'!M9+'Product Summary'!M11</f>
        <v>3733065.7633033218</v>
      </c>
      <c r="N7" s="36">
        <f>'Product Summary'!N9+'Product Summary'!N11</f>
        <v>4233038.8677128917</v>
      </c>
    </row>
    <row r="8" spans="1:14" ht="15.75" x14ac:dyDescent="0.25">
      <c r="A8" s="26" t="s">
        <v>64</v>
      </c>
      <c r="C8" s="36">
        <f>'Product Summary'!C28+'Product Summary'!C30</f>
        <v>3459438.8408755707</v>
      </c>
      <c r="D8" s="36">
        <f>'Product Summary'!D28+'Product Summary'!D30</f>
        <v>2658220.0408755704</v>
      </c>
      <c r="E8" s="36">
        <f>'Product Summary'!E28+'Product Summary'!E30</f>
        <v>3306314.0408755708</v>
      </c>
      <c r="F8" s="36">
        <f>'Product Summary'!F28+'Product Summary'!F30</f>
        <v>2933743.9408755703</v>
      </c>
      <c r="G8" s="36">
        <f>'Product Summary'!G28+'Product Summary'!G30</f>
        <v>3208596.2408755701</v>
      </c>
      <c r="H8" s="36">
        <f>'Product Summary'!H28+'Product Summary'!H30</f>
        <v>1898976.2408755701</v>
      </c>
      <c r="I8" s="36">
        <f>'Product Summary'!I28+'Product Summary'!I30</f>
        <v>1303267.0408755699</v>
      </c>
      <c r="J8" s="36">
        <f>'Product Summary'!J28+'Product Summary'!J30</f>
        <v>129478.14087557004</v>
      </c>
      <c r="K8" s="36">
        <f>'Product Summary'!K28+'Product Summary'!K30</f>
        <v>569376.14087556989</v>
      </c>
      <c r="L8" s="36">
        <f>'Product Summary'!L28+'Product Summary'!L30</f>
        <v>3450540.1408755705</v>
      </c>
      <c r="M8" s="36">
        <f>'Product Summary'!M28+'Product Summary'!M30</f>
        <v>3668474.3408755707</v>
      </c>
      <c r="N8" s="36">
        <f>'Product Summary'!N28+'Product Summary'!N30</f>
        <v>4299946.2408755701</v>
      </c>
    </row>
    <row r="9" spans="1:14" ht="15.75" x14ac:dyDescent="0.25">
      <c r="A9" s="26" t="s">
        <v>66</v>
      </c>
      <c r="C9" s="36">
        <f>'Product Summary'!C47+'Product Summary'!C49</f>
        <v>3525784.2433033222</v>
      </c>
      <c r="D9" s="36">
        <f>'Product Summary'!D47+'Product Summary'!D49</f>
        <v>2625447.4650291596</v>
      </c>
      <c r="E9" s="36">
        <f>'Product Summary'!E47+'Product Summary'!E49</f>
        <v>3369722.8033033218</v>
      </c>
      <c r="F9" s="36">
        <f>'Product Summary'!F47+'Product Summary'!F49</f>
        <v>2990007.5233033216</v>
      </c>
      <c r="G9" s="36">
        <f>'Product Summary'!G47+'Product Summary'!G49</f>
        <v>2953666.6765320324</v>
      </c>
      <c r="H9" s="36">
        <f>'Product Summary'!H47+'Product Summary'!H49</f>
        <v>1932793.6259870529</v>
      </c>
      <c r="I9" s="36">
        <f>'Product Summary'!I47+'Product Summary'!I49</f>
        <v>1285414.0677128911</v>
      </c>
      <c r="J9" s="36">
        <f>'Product Summary'!J47+'Product Summary'!J49</f>
        <v>131961.2833033207</v>
      </c>
      <c r="K9" s="36">
        <f>'Product Summary'!K47+'Product Summary'!K49</f>
        <v>561576.46771289094</v>
      </c>
      <c r="L9" s="36">
        <f>'Product Summary'!L47+'Product Summary'!L49</f>
        <v>3516714.8833033219</v>
      </c>
      <c r="M9" s="36">
        <f>'Product Summary'!M47+'Product Summary'!M49</f>
        <v>3738828.6433033217</v>
      </c>
      <c r="N9" s="36">
        <f>'Product Summary'!N47+'Product Summary'!N49</f>
        <v>4241042.8677128926</v>
      </c>
    </row>
    <row r="10" spans="1:14" ht="15.75" x14ac:dyDescent="0.25">
      <c r="A10" s="26" t="s">
        <v>65</v>
      </c>
      <c r="C10" s="36">
        <f>'Product Summary'!C67+'Product Summary'!C69</f>
        <v>3525784.2433033222</v>
      </c>
      <c r="D10" s="36">
        <f>'Product Summary'!D67+'Product Summary'!D69</f>
        <v>2625447.4650291596</v>
      </c>
      <c r="E10" s="36">
        <f>'Product Summary'!E67+'Product Summary'!E69</f>
        <v>3369722.8033033218</v>
      </c>
      <c r="F10" s="36">
        <f>'Product Summary'!F67+'Product Summary'!F69</f>
        <v>2990007.5233033216</v>
      </c>
      <c r="G10" s="36">
        <f>'Product Summary'!G67+'Product Summary'!G69</f>
        <v>2953666.6765320324</v>
      </c>
      <c r="H10" s="36">
        <f>'Product Summary'!H67+'Product Summary'!H69</f>
        <v>1932793.6259870529</v>
      </c>
      <c r="I10" s="36">
        <f>'Product Summary'!I67+'Product Summary'!I69</f>
        <v>1285414.0677128911</v>
      </c>
      <c r="J10" s="36">
        <f>'Product Summary'!J67+'Product Summary'!J69</f>
        <v>131961.2833033207</v>
      </c>
      <c r="K10" s="36">
        <f>'Product Summary'!K67+'Product Summary'!K69</f>
        <v>561576.46771289094</v>
      </c>
      <c r="L10" s="36">
        <f>'Product Summary'!L67+'Product Summary'!L69</f>
        <v>3516714.8833033219</v>
      </c>
      <c r="M10" s="36">
        <f>'Product Summary'!M67+'Product Summary'!M69</f>
        <v>3738828.6433033217</v>
      </c>
      <c r="N10" s="36">
        <f>'Product Summary'!N67+'Product Summary'!N69</f>
        <v>4241042.8677128926</v>
      </c>
    </row>
    <row r="11" spans="1:14" ht="15.75" x14ac:dyDescent="0.25">
      <c r="A11" s="26" t="s">
        <v>67</v>
      </c>
      <c r="C11" s="36">
        <f>'Product Summary'!C86+'Product Summary'!C88</f>
        <v>1942652.8234203369</v>
      </c>
      <c r="D11" s="36">
        <f>'Product Summary'!D86+'Product Summary'!D88</f>
        <v>1108809.9211245761</v>
      </c>
      <c r="E11" s="36">
        <f>'Product Summary'!E86+'Product Summary'!E88</f>
        <v>1497279.8160783933</v>
      </c>
      <c r="F11" s="36">
        <f>'Product Summary'!F86+'Product Summary'!F88</f>
        <v>1593718.4759086701</v>
      </c>
      <c r="G11" s="36">
        <f>'Product Summary'!G86+'Product Summary'!G88</f>
        <v>1503909.4429234988</v>
      </c>
      <c r="H11" s="36">
        <f>'Product Summary'!H86+'Product Summary'!H88</f>
        <v>1032025.3758224484</v>
      </c>
      <c r="I11" s="36">
        <f>'Product Summary'!I86+'Product Summary'!I88</f>
        <v>826693.8045790547</v>
      </c>
      <c r="J11" s="36">
        <f>'Product Summary'!J86+'Product Summary'!J88</f>
        <v>73034.644681144317</v>
      </c>
      <c r="K11" s="36">
        <f>'Product Summary'!K86+'Product Summary'!K88</f>
        <v>197249.18155491521</v>
      </c>
      <c r="L11" s="36">
        <f>'Product Summary'!L86+'Product Summary'!L88</f>
        <v>1674072.1635454325</v>
      </c>
      <c r="M11" s="36">
        <f>'Product Summary'!M86+'Product Summary'!M88</f>
        <v>1933863.8664203635</v>
      </c>
      <c r="N11" s="36">
        <f>'Product Summary'!N86+'Product Summary'!N88</f>
        <v>2245210.9432724402</v>
      </c>
    </row>
    <row r="13" spans="1:14" x14ac:dyDescent="0.25">
      <c r="B13" s="37" t="s">
        <v>60</v>
      </c>
    </row>
    <row r="14" spans="1:14" ht="15.75" x14ac:dyDescent="0.25">
      <c r="A14" s="26" t="s">
        <v>63</v>
      </c>
      <c r="C14" s="36">
        <f>'Product Summary'!C13</f>
        <v>288292.12467500777</v>
      </c>
      <c r="D14" s="36">
        <f>'Product Summary'!D13</f>
        <v>234239.6220695753</v>
      </c>
      <c r="E14" s="36">
        <f>'Product Summary'!E13</f>
        <v>309445.34507588256</v>
      </c>
      <c r="F14" s="36">
        <f>'Product Summary'!F13</f>
        <v>695407.79904976673</v>
      </c>
      <c r="G14" s="36">
        <f>'Product Summary'!G13</f>
        <v>224103.48988483191</v>
      </c>
      <c r="H14" s="36">
        <f>'Product Summary'!H13</f>
        <v>0</v>
      </c>
      <c r="I14" s="36">
        <f>'Product Summary'!I13</f>
        <v>99847.20750251686</v>
      </c>
      <c r="J14" s="36">
        <f>'Product Summary'!J13</f>
        <v>63679.363371099433</v>
      </c>
      <c r="K14" s="36">
        <f>'Product Summary'!K13</f>
        <v>279102.24883329368</v>
      </c>
      <c r="L14" s="36">
        <f>'Product Summary'!L13</f>
        <v>1547211.0433166947</v>
      </c>
      <c r="M14" s="36">
        <f>'Product Summary'!M13</f>
        <v>1387196.1630972659</v>
      </c>
      <c r="N14" s="36">
        <f>'Product Summary'!N13</f>
        <v>947379.95620503044</v>
      </c>
    </row>
    <row r="15" spans="1:14" ht="15.75" x14ac:dyDescent="0.25">
      <c r="A15" s="26" t="s">
        <v>64</v>
      </c>
      <c r="C15" s="36">
        <f>'Product Summary'!C32</f>
        <v>125417.23790322576</v>
      </c>
      <c r="D15" s="36">
        <f>'Product Summary'!D32</f>
        <v>112735.18585298197</v>
      </c>
      <c r="E15" s="36">
        <f>'Product Summary'!E32</f>
        <v>187303.2822580644</v>
      </c>
      <c r="F15" s="36">
        <f>'Product Summary'!F32</f>
        <v>107936.33426385438</v>
      </c>
      <c r="G15" s="36">
        <f>'Product Summary'!G32</f>
        <v>85261.718749999971</v>
      </c>
      <c r="H15" s="36">
        <f>'Product Summary'!H32</f>
        <v>31689.963735606496</v>
      </c>
      <c r="I15" s="36">
        <f>'Product Summary'!I32</f>
        <v>62589.388888888825</v>
      </c>
      <c r="J15" s="36">
        <f>'Product Summary'!J32</f>
        <v>21273.92990074441</v>
      </c>
      <c r="K15" s="36">
        <f>'Product Summary'!K32</f>
        <v>20314.823717948711</v>
      </c>
      <c r="L15" s="36">
        <f>'Product Summary'!L32</f>
        <v>200523.15053763427</v>
      </c>
      <c r="M15" s="36">
        <f>'Product Summary'!M32</f>
        <v>60781.00358422938</v>
      </c>
      <c r="N15" s="36">
        <f>'Product Summary'!N32</f>
        <v>264967.18749999988</v>
      </c>
    </row>
    <row r="16" spans="1:14" ht="15.75" x14ac:dyDescent="0.25">
      <c r="A16" s="26" t="s">
        <v>66</v>
      </c>
      <c r="C16" s="36">
        <f>'Product Summary'!C51</f>
        <v>174915.00000000003</v>
      </c>
      <c r="D16" s="36">
        <f>'Product Summary'!D51</f>
        <v>136620.00000000003</v>
      </c>
      <c r="E16" s="36">
        <f>'Product Summary'!E51</f>
        <v>164565.00000000003</v>
      </c>
      <c r="F16" s="36">
        <f>'Product Summary'!F51</f>
        <v>150535.00000000003</v>
      </c>
      <c r="G16" s="36">
        <f>'Product Summary'!G51</f>
        <v>156975.00000000003</v>
      </c>
      <c r="H16" s="36">
        <f>'Product Summary'!H51</f>
        <v>100970.00000000001</v>
      </c>
      <c r="I16" s="36">
        <f>'Product Summary'!I51</f>
        <v>77165.000000000015</v>
      </c>
      <c r="J16" s="36">
        <f>'Product Summary'!J51</f>
        <v>29670.000000000007</v>
      </c>
      <c r="K16" s="36">
        <f>'Product Summary'!K51</f>
        <v>52095.000000000015</v>
      </c>
      <c r="L16" s="36">
        <f>'Product Summary'!L51</f>
        <v>176180.00000000003</v>
      </c>
      <c r="M16" s="36">
        <f>'Product Summary'!M51</f>
        <v>185840.00000000003</v>
      </c>
      <c r="N16" s="36">
        <f>'Product Summary'!N51</f>
        <v>209070.00000000003</v>
      </c>
    </row>
    <row r="17" spans="1:14" ht="15.75" x14ac:dyDescent="0.25">
      <c r="A17" s="26" t="s">
        <v>65</v>
      </c>
      <c r="C17" s="36">
        <f>'Product Summary'!C71</f>
        <v>288292.12467500777</v>
      </c>
      <c r="D17" s="36">
        <f>'Product Summary'!D71</f>
        <v>234239.6220695753</v>
      </c>
      <c r="E17" s="36">
        <f>'Product Summary'!E71</f>
        <v>309445.34507588256</v>
      </c>
      <c r="F17" s="36">
        <f>'Product Summary'!F71</f>
        <v>695407.79904976673</v>
      </c>
      <c r="G17" s="36">
        <f>'Product Summary'!G71</f>
        <v>224103.48988483191</v>
      </c>
      <c r="H17" s="36">
        <f>'Product Summary'!H71</f>
        <v>0</v>
      </c>
      <c r="I17" s="36">
        <f>'Product Summary'!I71</f>
        <v>99847.20750251686</v>
      </c>
      <c r="J17" s="36">
        <f>'Product Summary'!J71</f>
        <v>63679.363371099433</v>
      </c>
      <c r="K17" s="36">
        <f>'Product Summary'!K71</f>
        <v>279102.24883329368</v>
      </c>
      <c r="L17" s="36">
        <f>'Product Summary'!L71</f>
        <v>1547211.0433166947</v>
      </c>
      <c r="M17" s="36">
        <f>'Product Summary'!M71</f>
        <v>1387196.1630972659</v>
      </c>
      <c r="N17" s="36">
        <f>'Product Summary'!N71</f>
        <v>947379.95620503044</v>
      </c>
    </row>
    <row r="18" spans="1:14" ht="15.75" x14ac:dyDescent="0.25">
      <c r="A18" s="26" t="s">
        <v>67</v>
      </c>
      <c r="C18" s="36">
        <f>'Product Summary'!C90</f>
        <v>0</v>
      </c>
      <c r="D18" s="36">
        <f>'Product Summary'!D90</f>
        <v>0</v>
      </c>
      <c r="E18" s="36">
        <f>'Product Summary'!E90</f>
        <v>0</v>
      </c>
      <c r="F18" s="36">
        <f>'Product Summary'!F90</f>
        <v>0</v>
      </c>
      <c r="G18" s="36">
        <f>'Product Summary'!G90</f>
        <v>0</v>
      </c>
      <c r="H18" s="36">
        <f>'Product Summary'!H90</f>
        <v>0</v>
      </c>
      <c r="I18" s="36">
        <f>'Product Summary'!I90</f>
        <v>0</v>
      </c>
      <c r="J18" s="36">
        <f>'Product Summary'!J90</f>
        <v>0</v>
      </c>
      <c r="K18" s="36">
        <f>'Product Summary'!K90</f>
        <v>0</v>
      </c>
      <c r="L18" s="36">
        <f>'Product Summary'!L90</f>
        <v>0</v>
      </c>
      <c r="M18" s="36">
        <f>'Product Summary'!M90</f>
        <v>0</v>
      </c>
      <c r="N18" s="36">
        <f>'Product Summary'!N90</f>
        <v>0</v>
      </c>
    </row>
    <row r="20" spans="1:14" x14ac:dyDescent="0.25">
      <c r="B20" s="37" t="s">
        <v>61</v>
      </c>
    </row>
    <row r="21" spans="1:14" ht="15.75" x14ac:dyDescent="0.25">
      <c r="A21" s="26" t="s">
        <v>63</v>
      </c>
      <c r="C21" s="36">
        <f>'Product Summary'!C16</f>
        <v>86922.393522045022</v>
      </c>
      <c r="D21" s="36">
        <f>'Product Summary'!D16</f>
        <v>85958.998196329543</v>
      </c>
      <c r="E21" s="36">
        <f>'Product Summary'!E16</f>
        <v>104494.1318948979</v>
      </c>
      <c r="F21" s="36">
        <f>'Product Summary'!F16</f>
        <v>102504.85172145205</v>
      </c>
      <c r="G21" s="36">
        <f>'Product Summary'!G16</f>
        <v>86692.083266758884</v>
      </c>
      <c r="H21" s="36">
        <f>'Product Summary'!H16</f>
        <v>87468.585694283116</v>
      </c>
      <c r="I21" s="36">
        <f>'Product Summary'!I16</f>
        <v>85206.674671704444</v>
      </c>
      <c r="J21" s="36">
        <f>'Product Summary'!J16</f>
        <v>96265.15278076625</v>
      </c>
      <c r="K21" s="36">
        <f>'Product Summary'!K16</f>
        <v>109230.30151146327</v>
      </c>
      <c r="L21" s="36">
        <f>'Product Summary'!L16</f>
        <v>130529.56101781879</v>
      </c>
      <c r="M21" s="36">
        <f>'Product Summary'!M16</f>
        <v>124815.6566835914</v>
      </c>
      <c r="N21" s="36">
        <f>'Product Summary'!N16</f>
        <v>99784.540019212349</v>
      </c>
    </row>
    <row r="22" spans="1:14" ht="15.75" x14ac:dyDescent="0.25">
      <c r="A22" s="26" t="s">
        <v>64</v>
      </c>
      <c r="C22" s="36">
        <v>0</v>
      </c>
      <c r="D22" s="36">
        <v>0</v>
      </c>
      <c r="E22" s="36">
        <v>0</v>
      </c>
      <c r="F22" s="36">
        <v>0</v>
      </c>
      <c r="G22" s="36">
        <v>0</v>
      </c>
      <c r="H22" s="36">
        <v>0</v>
      </c>
      <c r="I22" s="36">
        <v>0</v>
      </c>
      <c r="J22" s="36">
        <v>0</v>
      </c>
      <c r="K22" s="36">
        <v>0</v>
      </c>
      <c r="L22" s="36">
        <v>0</v>
      </c>
      <c r="M22" s="36">
        <v>0</v>
      </c>
      <c r="N22" s="36">
        <v>0</v>
      </c>
    </row>
    <row r="23" spans="1:14" ht="15.75" x14ac:dyDescent="0.25">
      <c r="A23" s="26" t="s">
        <v>66</v>
      </c>
      <c r="C23" s="36">
        <v>0</v>
      </c>
      <c r="D23" s="36">
        <v>0</v>
      </c>
      <c r="E23" s="36">
        <v>0</v>
      </c>
      <c r="F23" s="36">
        <v>0</v>
      </c>
      <c r="G23" s="36">
        <v>0</v>
      </c>
      <c r="H23" s="36">
        <v>0</v>
      </c>
      <c r="I23" s="36">
        <v>0</v>
      </c>
      <c r="J23" s="36">
        <v>0</v>
      </c>
      <c r="K23" s="36">
        <v>0</v>
      </c>
      <c r="L23" s="36">
        <v>0</v>
      </c>
      <c r="M23" s="36">
        <v>0</v>
      </c>
      <c r="N23" s="36">
        <v>0</v>
      </c>
    </row>
    <row r="24" spans="1:14" ht="15.75" x14ac:dyDescent="0.25">
      <c r="A24" s="26" t="s">
        <v>65</v>
      </c>
      <c r="C24" s="36">
        <f>'Product Summary'!C74</f>
        <v>80377.408453863449</v>
      </c>
      <c r="D24" s="36">
        <f>'Product Summary'!D74</f>
        <v>77892.622977467137</v>
      </c>
      <c r="E24" s="36">
        <f>'Product Summary'!E74</f>
        <v>80377.408453863449</v>
      </c>
      <c r="F24" s="36">
        <f>'Product Summary'!F74</f>
        <v>80377.408453863449</v>
      </c>
      <c r="G24" s="36">
        <f>'Product Summary'!G74</f>
        <v>72598.949571231511</v>
      </c>
      <c r="H24" s="36">
        <f>'Product Summary'!H74</f>
        <v>80269.374302715791</v>
      </c>
      <c r="I24" s="36">
        <f>'Product Summary'!I74</f>
        <v>77784.588826319479</v>
      </c>
      <c r="J24" s="36">
        <f>'Product Summary'!J74</f>
        <v>80377.408453863449</v>
      </c>
      <c r="K24" s="36">
        <f>'Product Summary'!K74</f>
        <v>77784.588826319479</v>
      </c>
      <c r="L24" s="36">
        <f>'Product Summary'!L74</f>
        <v>80377.408453863449</v>
      </c>
      <c r="M24" s="36">
        <f>'Product Summary'!M74</f>
        <v>80377.408453863449</v>
      </c>
      <c r="N24" s="36">
        <f>'Product Summary'!N74</f>
        <v>77784.588826319479</v>
      </c>
    </row>
    <row r="25" spans="1:14" ht="15.75" x14ac:dyDescent="0.25">
      <c r="A25" s="26" t="s">
        <v>67</v>
      </c>
      <c r="C25" s="36">
        <v>0</v>
      </c>
      <c r="D25" s="36">
        <v>0</v>
      </c>
      <c r="E25" s="36">
        <v>0</v>
      </c>
      <c r="F25" s="36">
        <v>0</v>
      </c>
      <c r="G25" s="36">
        <v>0</v>
      </c>
      <c r="H25" s="36">
        <v>0</v>
      </c>
      <c r="I25" s="36">
        <v>0</v>
      </c>
      <c r="J25" s="36">
        <v>0</v>
      </c>
      <c r="K25" s="36">
        <v>0</v>
      </c>
      <c r="L25" s="36">
        <v>0</v>
      </c>
      <c r="M25" s="36">
        <v>0</v>
      </c>
      <c r="N25" s="36">
        <v>0</v>
      </c>
    </row>
    <row r="27" spans="1:14" x14ac:dyDescent="0.25">
      <c r="G27" s="37" t="s">
        <v>70</v>
      </c>
    </row>
    <row r="28" spans="1:14" x14ac:dyDescent="0.25">
      <c r="C28" s="41" t="s">
        <v>16</v>
      </c>
      <c r="D28" s="41"/>
      <c r="E28" s="41" t="s">
        <v>13</v>
      </c>
      <c r="F28" s="37"/>
      <c r="G28" t="s">
        <v>68</v>
      </c>
      <c r="H28" s="37" t="s">
        <v>69</v>
      </c>
      <c r="I28" s="37"/>
      <c r="J28" s="20"/>
    </row>
    <row r="29" spans="1:14" ht="15.75" x14ac:dyDescent="0.25">
      <c r="A29" s="26" t="s">
        <v>63</v>
      </c>
      <c r="C29" s="40">
        <f>'Product Summary'!O19</f>
        <v>3.4600126687063386</v>
      </c>
      <c r="D29" s="34"/>
      <c r="E29" s="40">
        <f>+'Product Summary'!O23</f>
        <v>0</v>
      </c>
      <c r="F29" s="34"/>
      <c r="G29" s="40">
        <f>+'Product Summary'!O24</f>
        <v>34.438175821037682</v>
      </c>
      <c r="H29" s="40">
        <f>+'Product Summary'!O21</f>
        <v>34.438175821037682</v>
      </c>
    </row>
    <row r="30" spans="1:14" ht="15.75" x14ac:dyDescent="0.25">
      <c r="A30" s="26" t="s">
        <v>64</v>
      </c>
      <c r="C30" s="40">
        <f>'Product Summary'!O38</f>
        <v>0.91940639269406399</v>
      </c>
      <c r="D30" s="34"/>
      <c r="E30" s="40">
        <f>'Product Summary'!O42</f>
        <v>0</v>
      </c>
      <c r="F30" s="34"/>
      <c r="G30" s="40">
        <f>+'Product Summary'!O43</f>
        <v>31.011469721461207</v>
      </c>
      <c r="H30" s="40">
        <f>+'Product Summary'!O40</f>
        <v>31.011469721461207</v>
      </c>
    </row>
    <row r="31" spans="1:14" ht="15.75" x14ac:dyDescent="0.25">
      <c r="A31" s="26" t="s">
        <v>66</v>
      </c>
      <c r="C31" s="40">
        <f>'Product Summary'!O57</f>
        <v>0.91940639269406399</v>
      </c>
      <c r="D31" s="34"/>
      <c r="E31" s="40">
        <f>'Product Summary'!O61</f>
        <v>0</v>
      </c>
      <c r="F31" s="34"/>
      <c r="G31" s="40">
        <f>+'Product Summary'!O62</f>
        <v>31.329512160519002</v>
      </c>
      <c r="H31" s="40">
        <f>+'Product Summary'!O59</f>
        <v>31.329512160519002</v>
      </c>
    </row>
    <row r="32" spans="1:14" ht="15.75" x14ac:dyDescent="0.25">
      <c r="A32" s="26" t="s">
        <v>65</v>
      </c>
      <c r="C32" s="40">
        <f>'Product Summary'!O77</f>
        <v>3.4600126687063386</v>
      </c>
      <c r="D32" s="34"/>
      <c r="E32" s="40">
        <f>'Product Summary'!O81</f>
        <v>0</v>
      </c>
      <c r="F32" s="34"/>
      <c r="G32" s="40">
        <f>+'Product Summary'!O82</f>
        <v>34.156866503063924</v>
      </c>
      <c r="H32" s="40">
        <f>+'Product Summary'!O79</f>
        <v>34.156866503063924</v>
      </c>
    </row>
    <row r="33" spans="1:8" ht="15.75" x14ac:dyDescent="0.25">
      <c r="A33" s="26" t="s">
        <v>67</v>
      </c>
      <c r="C33" s="40">
        <f>'Product Summary'!O96</f>
        <v>0</v>
      </c>
      <c r="D33" s="34"/>
      <c r="E33" s="40">
        <f>'Product Summary'!O100</f>
        <v>-8.1894676496115704E-2</v>
      </c>
      <c r="F33" s="34"/>
      <c r="G33" s="40">
        <f>+'Product Summary'!O101</f>
        <v>31.109332554858788</v>
      </c>
      <c r="H33" s="40">
        <f>+'Product Summary'!O98</f>
        <v>31.027437878362672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27B9A-4557-4648-9CDF-BE01E2D94789}">
  <sheetPr>
    <tabColor theme="5"/>
  </sheetPr>
  <dimension ref="B2:B16"/>
  <sheetViews>
    <sheetView workbookViewId="0">
      <selection activeCell="B14" sqref="B14"/>
    </sheetView>
  </sheetViews>
  <sheetFormatPr defaultRowHeight="15" x14ac:dyDescent="0.25"/>
  <cols>
    <col min="2" max="2" width="198.5703125" customWidth="1"/>
  </cols>
  <sheetData>
    <row r="2" spans="2:2" x14ac:dyDescent="0.25">
      <c r="B2" s="44" t="s">
        <v>75</v>
      </c>
    </row>
    <row r="3" spans="2:2" x14ac:dyDescent="0.25">
      <c r="B3" s="44"/>
    </row>
    <row r="4" spans="2:2" x14ac:dyDescent="0.25">
      <c r="B4" s="44" t="s">
        <v>76</v>
      </c>
    </row>
    <row r="5" spans="2:2" x14ac:dyDescent="0.25">
      <c r="B5" s="44"/>
    </row>
    <row r="6" spans="2:2" ht="45" x14ac:dyDescent="0.25">
      <c r="B6" s="44" t="s">
        <v>78</v>
      </c>
    </row>
    <row r="7" spans="2:2" x14ac:dyDescent="0.25">
      <c r="B7" s="44"/>
    </row>
    <row r="8" spans="2:2" x14ac:dyDescent="0.25">
      <c r="B8" s="44" t="s">
        <v>77</v>
      </c>
    </row>
    <row r="9" spans="2:2" x14ac:dyDescent="0.25">
      <c r="B9" s="44"/>
    </row>
    <row r="10" spans="2:2" x14ac:dyDescent="0.25">
      <c r="B10" s="44" t="s">
        <v>74</v>
      </c>
    </row>
    <row r="11" spans="2:2" x14ac:dyDescent="0.25">
      <c r="B11" s="44"/>
    </row>
    <row r="12" spans="2:2" x14ac:dyDescent="0.25">
      <c r="B12" s="44" t="s">
        <v>79</v>
      </c>
    </row>
    <row r="13" spans="2:2" x14ac:dyDescent="0.25">
      <c r="B13" s="44"/>
    </row>
    <row r="14" spans="2:2" ht="30" x14ac:dyDescent="0.25">
      <c r="B14" s="44" t="s">
        <v>80</v>
      </c>
    </row>
    <row r="15" spans="2:2" x14ac:dyDescent="0.25">
      <c r="B15" s="44"/>
    </row>
    <row r="16" spans="2:2" ht="30" x14ac:dyDescent="0.25">
      <c r="B16" s="44" t="s">
        <v>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38B51-4F25-47F3-869B-660EDC71FE8A}">
  <sheetPr>
    <tabColor theme="1"/>
  </sheetPr>
  <dimension ref="A5:Q31"/>
  <sheetViews>
    <sheetView topLeftCell="B1" workbookViewId="0">
      <selection activeCell="S25" sqref="S25"/>
    </sheetView>
  </sheetViews>
  <sheetFormatPr defaultRowHeight="15" x14ac:dyDescent="0.25"/>
  <cols>
    <col min="26" max="26" width="21.42578125" customWidth="1"/>
  </cols>
  <sheetData>
    <row r="5" spans="1:14" x14ac:dyDescent="0.25">
      <c r="B5" t="s">
        <v>49</v>
      </c>
      <c r="I5" t="s">
        <v>48</v>
      </c>
    </row>
    <row r="6" spans="1:14" ht="15.75" thickBot="1" x14ac:dyDescent="0.3"/>
    <row r="7" spans="1:14" x14ac:dyDescent="0.25">
      <c r="A7" t="s">
        <v>47</v>
      </c>
      <c r="B7" t="s">
        <v>46</v>
      </c>
      <c r="C7" t="s">
        <v>44</v>
      </c>
      <c r="D7" t="s">
        <v>45</v>
      </c>
      <c r="E7" t="s">
        <v>43</v>
      </c>
      <c r="I7" s="62" t="s">
        <v>42</v>
      </c>
      <c r="J7" s="62"/>
    </row>
    <row r="8" spans="1:14" x14ac:dyDescent="0.25">
      <c r="A8" t="str">
        <f t="shared" ref="A8:A21" si="0">+IF(B8&lt;&gt;0,"","x")</f>
        <v/>
      </c>
      <c r="B8">
        <v>-4.7536230738195379E-2</v>
      </c>
      <c r="C8">
        <v>-2.1114500418509659</v>
      </c>
      <c r="D8">
        <f t="shared" ref="D8" si="1">ABS(B8)*100</f>
        <v>4.7536230738195382</v>
      </c>
      <c r="E8">
        <f t="shared" ref="E8" si="2">+ABS(C8)</f>
        <v>2.1114500418509659</v>
      </c>
      <c r="I8" t="s">
        <v>41</v>
      </c>
      <c r="J8">
        <v>0.99051911477405563</v>
      </c>
    </row>
    <row r="9" spans="1:14" x14ac:dyDescent="0.25">
      <c r="A9" t="str">
        <f t="shared" si="0"/>
        <v/>
      </c>
      <c r="B9">
        <v>-4.2897141638818297E-2</v>
      </c>
      <c r="C9">
        <v>-1.7462996538527009</v>
      </c>
      <c r="D9">
        <f t="shared" ref="D9:D31" si="3">ABS(B9)*100</f>
        <v>4.2897141638818299</v>
      </c>
      <c r="E9">
        <f t="shared" ref="E9:E31" si="4">+ABS(C9)</f>
        <v>1.7462996538527009</v>
      </c>
      <c r="I9" t="s">
        <v>40</v>
      </c>
      <c r="J9">
        <v>0.98112811673277889</v>
      </c>
    </row>
    <row r="10" spans="1:14" x14ac:dyDescent="0.25">
      <c r="A10" t="str">
        <f t="shared" si="0"/>
        <v/>
      </c>
      <c r="B10">
        <v>-3.1843550976222094E-2</v>
      </c>
      <c r="C10">
        <v>-1.2035063180414693</v>
      </c>
      <c r="D10">
        <f t="shared" si="3"/>
        <v>3.1843550976222095</v>
      </c>
      <c r="E10">
        <f t="shared" si="4"/>
        <v>1.2035063180414693</v>
      </c>
      <c r="I10" t="s">
        <v>39</v>
      </c>
      <c r="J10">
        <v>0.98027030385699621</v>
      </c>
    </row>
    <row r="11" spans="1:14" x14ac:dyDescent="0.25">
      <c r="A11" t="str">
        <f t="shared" si="0"/>
        <v/>
      </c>
      <c r="B11">
        <v>-2.652644106612758E-2</v>
      </c>
      <c r="C11">
        <v>-1.0087953096846787</v>
      </c>
      <c r="D11">
        <f t="shared" si="3"/>
        <v>2.6526441066127582</v>
      </c>
      <c r="E11">
        <f t="shared" si="4"/>
        <v>1.0087953096846787</v>
      </c>
      <c r="I11" t="s">
        <v>28</v>
      </c>
      <c r="J11">
        <v>7.1215843851945793E-2</v>
      </c>
    </row>
    <row r="12" spans="1:14" ht="15.75" thickBot="1" x14ac:dyDescent="0.3">
      <c r="A12" t="str">
        <f t="shared" si="0"/>
        <v/>
      </c>
      <c r="B12">
        <v>-2.4065617993071102E-2</v>
      </c>
      <c r="C12">
        <v>-0.79011756829772506</v>
      </c>
      <c r="D12">
        <f t="shared" si="3"/>
        <v>2.4065617993071102</v>
      </c>
      <c r="E12">
        <f t="shared" si="4"/>
        <v>0.79011756829772506</v>
      </c>
      <c r="I12" s="60" t="s">
        <v>38</v>
      </c>
      <c r="J12" s="60">
        <v>24</v>
      </c>
    </row>
    <row r="13" spans="1:14" x14ac:dyDescent="0.25">
      <c r="A13" t="str">
        <f t="shared" si="0"/>
        <v/>
      </c>
      <c r="B13">
        <v>-2.332357733037442E-2</v>
      </c>
      <c r="C13">
        <v>-0.76267147353977316</v>
      </c>
      <c r="D13">
        <f t="shared" si="3"/>
        <v>2.3323577330374419</v>
      </c>
      <c r="E13">
        <f t="shared" si="4"/>
        <v>0.76267147353977316</v>
      </c>
    </row>
    <row r="14" spans="1:14" ht="15.75" thickBot="1" x14ac:dyDescent="0.3">
      <c r="A14" t="str">
        <f t="shared" si="0"/>
        <v/>
      </c>
      <c r="B14">
        <v>-2.2154640174960688E-2</v>
      </c>
      <c r="C14">
        <v>-0.83721445548853768</v>
      </c>
      <c r="D14">
        <f t="shared" si="3"/>
        <v>2.2154640174960689</v>
      </c>
      <c r="E14">
        <f t="shared" si="4"/>
        <v>0.83721445548853768</v>
      </c>
      <c r="I14" t="s">
        <v>37</v>
      </c>
    </row>
    <row r="15" spans="1:14" x14ac:dyDescent="0.25">
      <c r="A15" t="str">
        <f t="shared" si="0"/>
        <v/>
      </c>
      <c r="B15">
        <v>-1.9735954968355555E-2</v>
      </c>
      <c r="C15">
        <v>-0.75756419164442634</v>
      </c>
      <c r="D15">
        <f t="shared" si="3"/>
        <v>1.9735954968355556</v>
      </c>
      <c r="E15">
        <f t="shared" si="4"/>
        <v>0.75756419164442634</v>
      </c>
      <c r="I15" s="61"/>
      <c r="J15" s="61" t="s">
        <v>36</v>
      </c>
      <c r="K15" s="61" t="s">
        <v>35</v>
      </c>
      <c r="L15" s="61" t="s">
        <v>34</v>
      </c>
      <c r="M15" s="61" t="s">
        <v>33</v>
      </c>
      <c r="N15" s="61" t="s">
        <v>32</v>
      </c>
    </row>
    <row r="16" spans="1:14" x14ac:dyDescent="0.25">
      <c r="A16" t="str">
        <f t="shared" si="0"/>
        <v/>
      </c>
      <c r="B16">
        <v>-1.9459309669876169E-2</v>
      </c>
      <c r="C16">
        <v>-0.76208489032737659</v>
      </c>
      <c r="D16">
        <f t="shared" si="3"/>
        <v>1.945930966987617</v>
      </c>
      <c r="E16">
        <f t="shared" si="4"/>
        <v>0.76208489032737659</v>
      </c>
      <c r="I16" t="s">
        <v>31</v>
      </c>
      <c r="J16">
        <v>1</v>
      </c>
      <c r="K16">
        <v>5.8007802089506555</v>
      </c>
      <c r="L16">
        <v>5.8007802089506555</v>
      </c>
      <c r="M16">
        <v>1143.7554091706459</v>
      </c>
      <c r="N16">
        <v>1.8346474093600959E-20</v>
      </c>
    </row>
    <row r="17" spans="1:17" x14ac:dyDescent="0.25">
      <c r="A17" t="str">
        <f t="shared" si="0"/>
        <v/>
      </c>
      <c r="B17">
        <v>-1.5604672132752496E-2</v>
      </c>
      <c r="C17">
        <v>-0.63025603713795597</v>
      </c>
      <c r="D17">
        <f t="shared" si="3"/>
        <v>1.5604672132752497</v>
      </c>
      <c r="E17">
        <f t="shared" si="4"/>
        <v>0.63025603713795597</v>
      </c>
      <c r="I17" t="s">
        <v>30</v>
      </c>
      <c r="J17">
        <v>22</v>
      </c>
      <c r="K17">
        <v>0.11157732114198395</v>
      </c>
      <c r="L17">
        <v>5.071696415544725E-3</v>
      </c>
    </row>
    <row r="18" spans="1:17" ht="15.75" thickBot="1" x14ac:dyDescent="0.3">
      <c r="A18" t="str">
        <f t="shared" si="0"/>
        <v/>
      </c>
      <c r="B18">
        <v>-1.3219104487823773E-2</v>
      </c>
      <c r="C18">
        <v>-0.54058174918793311</v>
      </c>
      <c r="D18">
        <f t="shared" si="3"/>
        <v>1.3219104487823774</v>
      </c>
      <c r="E18">
        <f t="shared" si="4"/>
        <v>0.54058174918793311</v>
      </c>
      <c r="I18" s="60" t="s">
        <v>5</v>
      </c>
      <c r="J18" s="60">
        <v>23</v>
      </c>
      <c r="K18" s="60">
        <v>5.9123575300926392</v>
      </c>
      <c r="L18" s="60"/>
      <c r="M18" s="60"/>
      <c r="N18" s="60"/>
    </row>
    <row r="19" spans="1:17" ht="15.75" thickBot="1" x14ac:dyDescent="0.3">
      <c r="A19" t="str">
        <f t="shared" si="0"/>
        <v/>
      </c>
      <c r="B19">
        <v>-1.2806352394018127E-2</v>
      </c>
      <c r="C19">
        <v>-0.41723738680115918</v>
      </c>
      <c r="D19">
        <f t="shared" si="3"/>
        <v>1.2806352394018128</v>
      </c>
      <c r="E19">
        <f t="shared" si="4"/>
        <v>0.41723738680115918</v>
      </c>
    </row>
    <row r="20" spans="1:17" x14ac:dyDescent="0.25">
      <c r="A20" t="str">
        <f t="shared" si="0"/>
        <v/>
      </c>
      <c r="B20">
        <v>-1.2801540939663712E-2</v>
      </c>
      <c r="C20">
        <v>-0.46480831503364661</v>
      </c>
      <c r="D20">
        <f t="shared" si="3"/>
        <v>1.2801540939663711</v>
      </c>
      <c r="E20">
        <f t="shared" si="4"/>
        <v>0.46480831503364661</v>
      </c>
      <c r="I20" s="61"/>
      <c r="J20" s="61" t="s">
        <v>29</v>
      </c>
      <c r="K20" s="61" t="s">
        <v>28</v>
      </c>
      <c r="L20" s="61" t="s">
        <v>27</v>
      </c>
      <c r="M20" s="61" t="s">
        <v>26</v>
      </c>
      <c r="N20" s="61" t="s">
        <v>25</v>
      </c>
      <c r="O20" s="61" t="s">
        <v>24</v>
      </c>
      <c r="P20" s="61" t="s">
        <v>23</v>
      </c>
      <c r="Q20" s="61" t="s">
        <v>22</v>
      </c>
    </row>
    <row r="21" spans="1:17" x14ac:dyDescent="0.25">
      <c r="A21" t="str">
        <f t="shared" si="0"/>
        <v/>
      </c>
      <c r="B21">
        <v>-1.227336252097384E-2</v>
      </c>
      <c r="C21">
        <v>-0.4823338968124824</v>
      </c>
      <c r="D21">
        <f t="shared" si="3"/>
        <v>1.2273362520973841</v>
      </c>
      <c r="E21">
        <f t="shared" si="4"/>
        <v>0.4823338968124824</v>
      </c>
      <c r="I21" t="s">
        <v>21</v>
      </c>
      <c r="J21">
        <v>-4.1860368353709987E-2</v>
      </c>
      <c r="K21">
        <v>2.439853108506089E-2</v>
      </c>
      <c r="L21">
        <v>-1.7156921540797552</v>
      </c>
      <c r="M21">
        <v>0.10027000455206782</v>
      </c>
      <c r="N21">
        <v>-9.2459824867436952E-2</v>
      </c>
      <c r="O21">
        <v>8.7390881600169779E-3</v>
      </c>
      <c r="P21">
        <v>-9.2459824867436952E-2</v>
      </c>
      <c r="Q21">
        <v>8.7390881600169779E-3</v>
      </c>
    </row>
    <row r="22" spans="1:17" ht="15.75" thickBot="1" x14ac:dyDescent="0.3">
      <c r="B22">
        <v>-1.2008051112420016E-2</v>
      </c>
      <c r="C22">
        <v>-0.45839702627832496</v>
      </c>
      <c r="D22">
        <f t="shared" si="3"/>
        <v>1.2008051112420017</v>
      </c>
      <c r="E22">
        <f t="shared" si="4"/>
        <v>0.45839702627832496</v>
      </c>
      <c r="I22" s="60" t="s">
        <v>20</v>
      </c>
      <c r="J22" s="60">
        <v>0.41176039779201162</v>
      </c>
      <c r="K22" s="60">
        <v>1.2175252993025153E-2</v>
      </c>
      <c r="L22" s="60">
        <v>33.81945311755716</v>
      </c>
      <c r="M22" s="60">
        <v>1.8346474093600827E-20</v>
      </c>
      <c r="N22" s="60">
        <v>0.38651046851485887</v>
      </c>
      <c r="O22" s="60">
        <v>0.43701032706916437</v>
      </c>
      <c r="P22" s="60">
        <v>0.38651046851485887</v>
      </c>
      <c r="Q22" s="60">
        <v>0.43701032706916437</v>
      </c>
    </row>
    <row r="23" spans="1:17" x14ac:dyDescent="0.25">
      <c r="B23">
        <v>-1.1106180052405604E-2</v>
      </c>
      <c r="C23">
        <v>-0.44419053581242701</v>
      </c>
      <c r="D23">
        <f t="shared" si="3"/>
        <v>1.1106180052405605</v>
      </c>
      <c r="E23">
        <f t="shared" si="4"/>
        <v>0.44419053581242701</v>
      </c>
    </row>
    <row r="24" spans="1:17" x14ac:dyDescent="0.25">
      <c r="B24">
        <v>-1.0533904140100501E-2</v>
      </c>
      <c r="C24">
        <v>-0.41789151030815797</v>
      </c>
      <c r="D24">
        <f t="shared" si="3"/>
        <v>1.0533904140100501</v>
      </c>
      <c r="E24">
        <f t="shared" si="4"/>
        <v>0.41789151030815797</v>
      </c>
    </row>
    <row r="25" spans="1:17" x14ac:dyDescent="0.25">
      <c r="B25">
        <v>-8.2435205745521531E-3</v>
      </c>
      <c r="C25">
        <v>-0.32319454828508565</v>
      </c>
      <c r="D25">
        <f t="shared" si="3"/>
        <v>0.82435205745521534</v>
      </c>
      <c r="E25">
        <f t="shared" si="4"/>
        <v>0.32319454828508565</v>
      </c>
    </row>
    <row r="26" spans="1:17" x14ac:dyDescent="0.25">
      <c r="B26">
        <v>-6.337312041828868E-3</v>
      </c>
      <c r="C26">
        <v>-0.21334592574692582</v>
      </c>
      <c r="D26">
        <f t="shared" si="3"/>
        <v>0.63373120418288675</v>
      </c>
      <c r="E26">
        <f t="shared" si="4"/>
        <v>0.21334592574692582</v>
      </c>
    </row>
    <row r="27" spans="1:17" x14ac:dyDescent="0.25">
      <c r="B27">
        <v>-5.7384734080625291E-3</v>
      </c>
      <c r="C27">
        <v>-0.22750277662707272</v>
      </c>
      <c r="D27">
        <f t="shared" si="3"/>
        <v>0.57384734080625288</v>
      </c>
      <c r="E27">
        <f t="shared" si="4"/>
        <v>0.22750277662707272</v>
      </c>
    </row>
    <row r="28" spans="1:17" x14ac:dyDescent="0.25">
      <c r="B28">
        <v>-3.8162119293733456E-3</v>
      </c>
      <c r="C28">
        <v>-0.14688438079636931</v>
      </c>
      <c r="D28">
        <f t="shared" si="3"/>
        <v>0.38162119293733454</v>
      </c>
      <c r="E28">
        <f t="shared" si="4"/>
        <v>0.14688438079636931</v>
      </c>
    </row>
    <row r="29" spans="1:17" x14ac:dyDescent="0.25">
      <c r="B29">
        <v>-2.3004941928999045E-3</v>
      </c>
      <c r="C29">
        <v>-8.5433608327005139E-2</v>
      </c>
      <c r="D29">
        <f t="shared" si="3"/>
        <v>0.23004941928999045</v>
      </c>
      <c r="E29">
        <f t="shared" si="4"/>
        <v>8.5433608327005139E-2</v>
      </c>
    </row>
    <row r="30" spans="1:17" x14ac:dyDescent="0.25">
      <c r="B30">
        <v>-1.2833227719938889E-3</v>
      </c>
      <c r="C30">
        <v>-4.28894847477964E-2</v>
      </c>
      <c r="D30">
        <f t="shared" si="3"/>
        <v>0.12833227719938889</v>
      </c>
      <c r="E30">
        <f t="shared" si="4"/>
        <v>4.28894847477964E-2</v>
      </c>
    </row>
    <row r="31" spans="1:17" x14ac:dyDescent="0.25">
      <c r="B31">
        <v>-6.457626950059879E-4</v>
      </c>
      <c r="C31">
        <v>-2.5387256440338984E-2</v>
      </c>
      <c r="D31">
        <f t="shared" si="3"/>
        <v>6.457626950059879E-2</v>
      </c>
      <c r="E31">
        <f t="shared" si="4"/>
        <v>2.5387256440338984E-2</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Inputs</vt:lpstr>
      <vt:lpstr>Product Summary</vt:lpstr>
      <vt:lpstr>Charge Comparison</vt:lpstr>
      <vt:lpstr>Notes</vt:lpstr>
      <vt:lpstr>RICmCharge</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Stiffler,Peter B (BPA) - KSL-4</dc:creator>
  <cp:lastModifiedBy>Stiffler,Peter B (BPA) - KSL-4</cp:lastModifiedBy>
  <dcterms:created xsi:type="dcterms:W3CDTF">2024-12-05T22:50:28Z</dcterms:created>
  <dcterms:modified xsi:type="dcterms:W3CDTF">2025-02-21T19:27:30Z</dcterms:modified>
</cp:coreProperties>
</file>