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32" yWindow="65284" windowWidth="27888" windowHeight="11112" activeTab="0"/>
  </bookViews>
  <sheets>
    <sheet name="Wartsila" sheetId="13" r:id="rId1"/>
    <sheet name="LMS100" sheetId="8" r:id="rId2"/>
  </sheets>
  <definedNames>
    <definedName name="_xlnm.Print_Area" localSheetId="1">'LMS100'!$A$1:$M$31</definedName>
    <definedName name="_xlnm.Print_Area" localSheetId="0">'Wartsila'!$A$1:$M$31</definedName>
  </definedNames>
  <calcPr calcId="162913"/>
</workbook>
</file>

<file path=xl/sharedStrings.xml><?xml version="1.0" encoding="utf-8"?>
<sst xmlns="http://schemas.openxmlformats.org/spreadsheetml/2006/main" count="133" uniqueCount="71">
  <si>
    <t>Fixed O&amp;M</t>
  </si>
  <si>
    <t>Inflation Rate</t>
  </si>
  <si>
    <t>Insurance</t>
  </si>
  <si>
    <t>Calendar Year</t>
  </si>
  <si>
    <t>Chained GDP IPD</t>
  </si>
  <si>
    <t>Plant Lifecycle (years)</t>
  </si>
  <si>
    <t>End of Fiscal Year</t>
  </si>
  <si>
    <t>Average $/kW/mo</t>
  </si>
  <si>
    <t>May</t>
  </si>
  <si>
    <t>Month</t>
  </si>
  <si>
    <t>Demand Shaping Factor</t>
  </si>
  <si>
    <t>Monthly Demand Rate $/kW/mo</t>
  </si>
  <si>
    <t>Insurance Rate</t>
  </si>
  <si>
    <t>Debt Payment</t>
  </si>
  <si>
    <t>Cost of Debt</t>
  </si>
  <si>
    <t>Rate Period Average Expense $/kW/year</t>
  </si>
  <si>
    <t>Midyear Assessed Value</t>
  </si>
  <si>
    <t>Start Year of Operation (FY)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</si>
  <si>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</si>
  <si>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</si>
  <si>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</si>
  <si>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</si>
  <si>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</si>
  <si>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</si>
  <si>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</si>
  <si>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</si>
  <si>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</si>
  <si>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</si>
  <si>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</si>
  <si>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/1</t>
  </si>
  <si>
    <t>Debt Finance Period (years)</t>
  </si>
  <si>
    <t>Cash Expense Each Year</t>
  </si>
  <si>
    <t>/2</t>
  </si>
  <si>
    <t>/3</t>
  </si>
  <si>
    <t>Fixed Fuel</t>
  </si>
  <si>
    <t>Westside Fixed Fuel $/kW/yr with 10000 Heat Rate 2012$</t>
  </si>
  <si>
    <t>Eastside Fixed Fuel $/kW/yr with 10000 Heat Rate 2012$</t>
  </si>
  <si>
    <t>/4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</si>
  <si>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</si>
  <si>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</si>
  <si>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</si>
  <si>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</si>
  <si>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</si>
  <si>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</si>
  <si>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</si>
  <si>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</si>
  <si>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</si>
  <si>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</si>
  <si>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 xml:space="preserve">/2 </t>
    </r>
    <r>
      <rPr>
        <sz val="10"/>
        <rFont val="Times New Roman"/>
        <family val="1"/>
      </rPr>
      <t>Source NWPCC 7th Power Plan Appendix H.</t>
    </r>
  </si>
  <si>
    <t>/5</t>
  </si>
  <si>
    <r>
      <t xml:space="preserve">/3 </t>
    </r>
    <r>
      <rPr>
        <sz val="10"/>
        <rFont val="Times New Roman"/>
        <family val="1"/>
      </rPr>
      <t>Source NWPCC Microfin Model, Version 15.0.5</t>
    </r>
  </si>
  <si>
    <r>
      <t xml:space="preserve">/5 </t>
    </r>
    <r>
      <rPr>
        <sz val="10"/>
        <rFont val="Times New Roman"/>
        <family val="1"/>
      </rPr>
      <t xml:space="preserve">Source NWPCC Microfin Model assumption of $11/kW/yr in 2012$. </t>
    </r>
  </si>
  <si>
    <t>Chained GDP IPD from BEA -- Table 1.1.9. Implicit Price Deflators for Gross Domestic Product (2012 Base year) - Last Revised April 28, 2022</t>
  </si>
  <si>
    <t>5-year Avg.</t>
  </si>
  <si>
    <t>Fixed O&amp;M $/kW/yr 2024$</t>
  </si>
  <si>
    <r>
      <t xml:space="preserve">/1 </t>
    </r>
    <r>
      <rPr>
        <sz val="10"/>
        <rFont val="Times New Roman"/>
        <family val="1"/>
      </rPr>
      <t>Source BPA FY 2022 Third-Party Tax-Exempt Borrowing Rate Forecast 30-year</t>
    </r>
  </si>
  <si>
    <t>BP-22 Load Shaping Rate HLH $/MWh</t>
  </si>
  <si>
    <r>
      <t xml:space="preserve">/4 </t>
    </r>
    <r>
      <rPr>
        <sz val="10"/>
        <rFont val="Times New Roman"/>
        <family val="1"/>
      </rPr>
      <t>Source NWPCC Microfin Model assumption of $1000/kW in 2012$.</t>
    </r>
  </si>
  <si>
    <t>Fixed Fuel $/kW/yr 2024$</t>
  </si>
  <si>
    <t>Eastside Fixed Fuel $/kW/yr with 8541 Heat Rate 2012$</t>
  </si>
  <si>
    <t>Westside Fixed Fuel $/kW/yr with 8541 Heat Rate 2012$</t>
  </si>
  <si>
    <r>
      <t xml:space="preserve">/4 </t>
    </r>
    <r>
      <rPr>
        <sz val="10"/>
        <rFont val="Times New Roman"/>
        <family val="1"/>
      </rPr>
      <t xml:space="preserve">Source NWPCC Microfin Model assumption of $5/kW/yr in 2016$. </t>
    </r>
  </si>
  <si>
    <t>All-in Capital Cost Recip $/kW 2024$</t>
  </si>
  <si>
    <t>All-in Capital Cost LMS100 $/kW 2024$</t>
  </si>
  <si>
    <t>Average Eastside and Westside 2016$</t>
  </si>
  <si>
    <t>Eastside Fixed Fuel $/kW/yr with 8797 Heat Rate 2016$</t>
  </si>
  <si>
    <t>Westside Fixed Fuel $/kW/yr with 8797 Heat Rate 2016$</t>
  </si>
  <si>
    <r>
      <t xml:space="preserve">/3 </t>
    </r>
    <r>
      <rPr>
        <sz val="10"/>
        <rFont val="Times New Roman"/>
        <family val="1"/>
      </rPr>
      <t>Source NWPCC Microfin Model assumption of $1315/kW in 2016$.</t>
    </r>
  </si>
  <si>
    <r>
      <t xml:space="preserve">/2 </t>
    </r>
    <r>
      <rPr>
        <sz val="10"/>
        <rFont val="Times New Roman"/>
        <family val="1"/>
      </rPr>
      <t>Source NWPCC 2021 Power Plan Microfin Model and Fixed Fuel Workbook</t>
    </r>
  </si>
  <si>
    <t>Lifetime Average Heat Rate Btu/kWh</t>
  </si>
  <si>
    <t>Average Eastside and Westside 2012$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</si>
</sst>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  <numFmt numFmtId="167" formatCode="0.000"/>
    <numFmt numFmtId="168" formatCode="0.0000%"/>
  </numFmts>
  <fonts count="11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sz val="10"/>
      <color rgb="FF333333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Protection="0">
      <alignment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1">
      <alignment horizontal="center"/>
      <protection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9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/>
    </xf>
    <xf numFmtId="10" fontId="4" fillId="0" borderId="3" xfId="15" applyNumberFormat="1" applyFont="1" applyFill="1" applyBorder="1" applyAlignment="1">
      <alignment horizontal="center"/>
    </xf>
    <xf numFmtId="44" fontId="4" fillId="0" borderId="3" xfId="16" applyFont="1" applyFill="1" applyBorder="1" applyAlignment="1" applyProtection="1">
      <alignment horizontal="right"/>
      <protection locked="0"/>
    </xf>
    <xf numFmtId="10" fontId="4" fillId="0" borderId="2" xfId="15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/>
    </xf>
    <xf numFmtId="10" fontId="4" fillId="0" borderId="2" xfId="15" applyNumberFormat="1" applyFont="1" applyFill="1" applyBorder="1" applyAlignment="1">
      <alignment horizontal="center"/>
    </xf>
    <xf numFmtId="44" fontId="4" fillId="0" borderId="2" xfId="16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vertical="center" wrapText="1"/>
    </xf>
    <xf numFmtId="10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center"/>
    </xf>
    <xf numFmtId="10" fontId="4" fillId="0" borderId="2" xfId="15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4" fillId="0" borderId="2" xfId="18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4" fontId="5" fillId="0" borderId="2" xfId="16" applyFont="1" applyFill="1" applyBorder="1" applyAlignment="1">
      <alignment horizontal="center"/>
    </xf>
    <xf numFmtId="44" fontId="4" fillId="0" borderId="2" xfId="16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/>
    <xf numFmtId="44" fontId="4" fillId="0" borderId="10" xfId="16" applyFont="1" applyFill="1" applyBorder="1" applyAlignment="1">
      <alignment horizontal="center"/>
    </xf>
    <xf numFmtId="44" fontId="4" fillId="0" borderId="3" xfId="16" applyFont="1" applyFill="1" applyBorder="1" applyAlignment="1">
      <alignment horizontal="center"/>
    </xf>
    <xf numFmtId="0" fontId="4" fillId="0" borderId="2" xfId="0" applyFont="1" applyFill="1" applyBorder="1" applyAlignment="1">
      <alignment horizontal="right" indent="1"/>
    </xf>
    <xf numFmtId="44" fontId="4" fillId="0" borderId="2" xfId="0" applyNumberFormat="1" applyFont="1" applyFill="1" applyBorder="1"/>
    <xf numFmtId="44" fontId="4" fillId="0" borderId="2" xfId="16" applyNumberFormat="1" applyFont="1" applyFill="1" applyBorder="1" applyAlignment="1">
      <alignment horizontal="center"/>
    </xf>
    <xf numFmtId="8" fontId="4" fillId="0" borderId="2" xfId="16" applyNumberFormat="1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8" fontId="7" fillId="0" borderId="0" xfId="0" applyNumberFormat="1" applyFont="1"/>
    <xf numFmtId="0" fontId="7" fillId="0" borderId="0" xfId="0" applyFont="1" applyAlignment="1">
      <alignment horizontal="right" wrapText="1"/>
    </xf>
    <xf numFmtId="44" fontId="7" fillId="0" borderId="0" xfId="0" applyNumberFormat="1" applyFont="1"/>
    <xf numFmtId="2" fontId="7" fillId="0" borderId="0" xfId="0" applyNumberFormat="1" applyFont="1"/>
    <xf numFmtId="168" fontId="7" fillId="0" borderId="0" xfId="0" applyNumberFormat="1" applyFont="1"/>
    <xf numFmtId="0" fontId="9" fillId="0" borderId="0" xfId="0" applyFont="1" applyAlignment="1">
      <alignment horizontal="left" vertical="center" wrapText="1" indent="2"/>
    </xf>
    <xf numFmtId="6" fontId="7" fillId="0" borderId="0" xfId="0" applyNumberFormat="1" applyFont="1"/>
    <xf numFmtId="10" fontId="7" fillId="0" borderId="0" xfId="0" applyNumberFormat="1" applyFont="1"/>
    <xf numFmtId="10" fontId="7" fillId="0" borderId="0" xfId="15" applyNumberFormat="1" applyFo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166" fontId="7" fillId="0" borderId="0" xfId="15" applyNumberFormat="1" applyFont="1"/>
    <xf numFmtId="0" fontId="7" fillId="0" borderId="0" xfId="0" applyFont="1" applyBorder="1" applyAlignment="1">
      <alignment horizontal="center"/>
    </xf>
    <xf numFmtId="44" fontId="7" fillId="0" borderId="0" xfId="16" applyFont="1" applyBorder="1" applyAlignment="1">
      <alignment horizontal="right"/>
    </xf>
    <xf numFmtId="44" fontId="7" fillId="0" borderId="0" xfId="16" applyFont="1" applyBorder="1" applyAlignment="1">
      <alignment horizontal="center"/>
    </xf>
    <xf numFmtId="44" fontId="7" fillId="0" borderId="0" xfId="0" applyNumberFormat="1" applyFont="1" applyAlignment="1">
      <alignment horizontal="center"/>
    </xf>
    <xf numFmtId="44" fontId="7" fillId="0" borderId="0" xfId="0" applyNumberFormat="1" applyFont="1" applyBorder="1" applyAlignment="1">
      <alignment horizontal="center"/>
    </xf>
    <xf numFmtId="9" fontId="7" fillId="0" borderId="0" xfId="15" applyFont="1"/>
    <xf numFmtId="167" fontId="4" fillId="0" borderId="3" xfId="0" applyNumberFormat="1" applyFont="1" applyFill="1" applyBorder="1" applyAlignment="1">
      <alignment horizontal="center"/>
    </xf>
    <xf numFmtId="44" fontId="4" fillId="0" borderId="5" xfId="16" applyFont="1" applyFill="1" applyBorder="1" applyAlignment="1">
      <alignment horizontal="right"/>
    </xf>
    <xf numFmtId="44" fontId="4" fillId="0" borderId="2" xfId="16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4" fontId="4" fillId="0" borderId="0" xfId="16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right"/>
    </xf>
    <xf numFmtId="44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SChar" xfId="21"/>
    <cellStyle name="PSDate" xfId="22"/>
    <cellStyle name="PSDec" xfId="23"/>
    <cellStyle name="PSHeading" xfId="24"/>
    <cellStyle name="PSInt" xfId="25"/>
    <cellStyle name="PSSpacer" xfId="26"/>
  </cellStyles>
  <dxfs count="2"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2:X43"/>
  <sheetViews>
    <sheetView tabSelected="1" workbookViewId="0" topLeftCell="A1">
      <selection activeCell="B2" sqref="B2"/>
    </sheetView>
  </sheetViews>
  <sheetFormatPr defaultColWidth="9.28125" defaultRowHeight="12.75"/>
  <cols>
    <col min="1" max="1" width="2.7109375" style="61" customWidth="1"/>
    <col min="2" max="2" width="5.421875" style="73" customWidth="1"/>
    <col min="3" max="3" width="47.57421875" style="73" customWidth="1"/>
    <col min="4" max="4" width="11.421875" style="73" bestFit="1" customWidth="1"/>
    <col min="5" max="5" width="3.7109375" style="73" customWidth="1"/>
    <col min="6" max="7" width="11.7109375" style="73" customWidth="1"/>
    <col min="8" max="8" width="10.7109375" style="73" customWidth="1"/>
    <col min="9" max="9" width="10.28125" style="73" customWidth="1"/>
    <col min="10" max="10" width="13.7109375" style="73" customWidth="1"/>
    <col min="11" max="11" width="11.57421875" style="73" customWidth="1"/>
    <col min="12" max="12" width="14.421875" style="73" customWidth="1"/>
    <col min="13" max="13" width="2.8515625" style="60" customWidth="1"/>
    <col min="14" max="14" width="10.00390625" style="60" customWidth="1"/>
    <col min="15" max="16" width="9.28125" style="60" customWidth="1"/>
    <col min="17" max="17" width="24.28125" style="60" customWidth="1"/>
    <col min="18" max="18" width="9.28125" style="60" customWidth="1"/>
    <col min="19" max="16384" width="9.28125" style="60" customWidth="1"/>
  </cols>
  <sheetData>
    <row r="2" spans="2:12" ht="18" customHeight="1">
      <c r="B2" s="3"/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47</v>
      </c>
    </row>
    <row r="3" spans="2:22" s="61" customFormat="1" ht="41.4">
      <c r="B3" s="2">
        <v>1</v>
      </c>
      <c r="C3" s="4"/>
      <c r="D3" s="5"/>
      <c r="E3" s="4"/>
      <c r="F3" s="6" t="s">
        <v>3</v>
      </c>
      <c r="G3" s="6" t="s">
        <v>4</v>
      </c>
      <c r="H3" s="7"/>
      <c r="I3" s="8" t="s">
        <v>9</v>
      </c>
      <c r="J3" s="6" t="s">
        <v>56</v>
      </c>
      <c r="K3" s="6" t="s">
        <v>10</v>
      </c>
      <c r="L3" s="6" t="s">
        <v>11</v>
      </c>
      <c r="N3"/>
      <c r="O3"/>
      <c r="P3"/>
      <c r="Q3"/>
      <c r="R3"/>
      <c r="S3"/>
      <c r="T3"/>
      <c r="U3"/>
      <c r="V3"/>
    </row>
    <row r="4" spans="1:22" ht="18" customHeight="1">
      <c r="A4" s="63"/>
      <c r="B4" s="2">
        <v>2</v>
      </c>
      <c r="C4" s="9" t="s">
        <v>17</v>
      </c>
      <c r="D4" s="10">
        <v>2024</v>
      </c>
      <c r="E4" s="11"/>
      <c r="F4" s="12">
        <v>2016</v>
      </c>
      <c r="G4" s="81">
        <v>105.74</v>
      </c>
      <c r="H4" s="12"/>
      <c r="I4" s="13" t="s">
        <v>18</v>
      </c>
      <c r="J4" s="14">
        <v>29.92</v>
      </c>
      <c r="K4" s="15">
        <f>ROUND((J4/SUM($J$4:$J$15)),4)</f>
        <v>0.085</v>
      </c>
      <c r="L4" s="16">
        <f aca="true" t="shared" si="0" ref="L4:L15">ROUND(K4*$L$22,2)</f>
        <v>9.74</v>
      </c>
      <c r="N4"/>
      <c r="O4"/>
      <c r="P4"/>
      <c r="Q4"/>
      <c r="R4"/>
      <c r="S4"/>
      <c r="T4"/>
      <c r="U4"/>
      <c r="V4"/>
    </row>
    <row r="5" spans="1:24" ht="18" customHeight="1">
      <c r="A5" s="63"/>
      <c r="B5" s="2">
        <v>3</v>
      </c>
      <c r="C5" s="9" t="s">
        <v>14</v>
      </c>
      <c r="D5" s="17">
        <v>0.0306</v>
      </c>
      <c r="E5" s="18" t="s">
        <v>29</v>
      </c>
      <c r="F5" s="19">
        <v>2017</v>
      </c>
      <c r="G5" s="29">
        <v>107.747</v>
      </c>
      <c r="H5" s="19"/>
      <c r="I5" s="9" t="s">
        <v>19</v>
      </c>
      <c r="J5" s="20">
        <v>31.71</v>
      </c>
      <c r="K5" s="21">
        <f aca="true" t="shared" si="1" ref="K5:K15">ROUND((J5/SUM($J$4:$J$15)),4)</f>
        <v>0.0901</v>
      </c>
      <c r="L5" s="22">
        <f t="shared" si="0"/>
        <v>10.32</v>
      </c>
      <c r="M5" s="62"/>
      <c r="N5"/>
      <c r="O5"/>
      <c r="P5"/>
      <c r="Q5"/>
      <c r="R5"/>
      <c r="S5"/>
      <c r="T5"/>
      <c r="U5"/>
      <c r="V5"/>
      <c r="W5" s="67"/>
      <c r="X5" s="67"/>
    </row>
    <row r="6" spans="1:22" ht="18" customHeight="1">
      <c r="A6" s="63"/>
      <c r="B6" s="2">
        <v>4</v>
      </c>
      <c r="C6" s="23"/>
      <c r="D6" s="24"/>
      <c r="E6" s="25"/>
      <c r="F6" s="12">
        <v>2018</v>
      </c>
      <c r="G6" s="29">
        <v>110.321</v>
      </c>
      <c r="H6" s="19"/>
      <c r="I6" s="9" t="s">
        <v>20</v>
      </c>
      <c r="J6" s="20">
        <v>38.76</v>
      </c>
      <c r="K6" s="21">
        <f t="shared" si="1"/>
        <v>0.1101</v>
      </c>
      <c r="L6" s="22">
        <f t="shared" si="0"/>
        <v>12.61</v>
      </c>
      <c r="N6"/>
      <c r="O6"/>
      <c r="P6"/>
      <c r="Q6"/>
      <c r="R6"/>
      <c r="S6"/>
      <c r="T6"/>
      <c r="U6"/>
      <c r="V6"/>
    </row>
    <row r="7" spans="1:22" ht="18" customHeight="1">
      <c r="A7" s="63"/>
      <c r="B7" s="2">
        <v>5</v>
      </c>
      <c r="C7" s="9" t="s">
        <v>1</v>
      </c>
      <c r="D7" s="26">
        <f>G11-1</f>
        <v>0.02282295986427041</v>
      </c>
      <c r="E7" s="25"/>
      <c r="F7" s="19">
        <v>2019</v>
      </c>
      <c r="G7" s="29">
        <v>112.294</v>
      </c>
      <c r="H7" s="19"/>
      <c r="I7" s="9" t="s">
        <v>21</v>
      </c>
      <c r="J7" s="20">
        <v>34.29</v>
      </c>
      <c r="K7" s="21">
        <f t="shared" si="1"/>
        <v>0.0974</v>
      </c>
      <c r="L7" s="22">
        <f t="shared" si="0"/>
        <v>11.16</v>
      </c>
      <c r="N7"/>
      <c r="O7"/>
      <c r="P7"/>
      <c r="Q7"/>
      <c r="R7"/>
      <c r="S7"/>
      <c r="T7"/>
      <c r="U7"/>
      <c r="V7"/>
    </row>
    <row r="8" spans="1:22" ht="18" customHeight="1">
      <c r="A8" s="63"/>
      <c r="B8" s="2">
        <v>6</v>
      </c>
      <c r="C8" s="9" t="s">
        <v>12</v>
      </c>
      <c r="D8" s="26">
        <v>0.0025</v>
      </c>
      <c r="E8" s="18" t="s">
        <v>32</v>
      </c>
      <c r="F8" s="19">
        <v>2020</v>
      </c>
      <c r="G8" s="29">
        <v>113.648</v>
      </c>
      <c r="H8" s="19"/>
      <c r="I8" s="9" t="s">
        <v>22</v>
      </c>
      <c r="J8" s="20">
        <v>34.79</v>
      </c>
      <c r="K8" s="21">
        <f t="shared" si="1"/>
        <v>0.0988</v>
      </c>
      <c r="L8" s="22">
        <f t="shared" si="0"/>
        <v>11.32</v>
      </c>
      <c r="N8"/>
      <c r="O8"/>
      <c r="P8"/>
      <c r="Q8"/>
      <c r="R8"/>
      <c r="S8"/>
      <c r="T8"/>
      <c r="U8"/>
      <c r="V8"/>
    </row>
    <row r="9" spans="2:19" ht="18" customHeight="1">
      <c r="B9" s="2">
        <v>7</v>
      </c>
      <c r="C9" s="23"/>
      <c r="D9" s="27"/>
      <c r="E9" s="25"/>
      <c r="F9" s="12">
        <v>2021</v>
      </c>
      <c r="G9" s="29">
        <v>118.37</v>
      </c>
      <c r="H9" s="19"/>
      <c r="I9" s="9" t="s">
        <v>23</v>
      </c>
      <c r="J9" s="20">
        <v>27.57</v>
      </c>
      <c r="K9" s="21">
        <f t="shared" si="1"/>
        <v>0.0783</v>
      </c>
      <c r="L9" s="22">
        <f t="shared" si="0"/>
        <v>8.97</v>
      </c>
      <c r="N9" s="64"/>
      <c r="O9" s="65"/>
      <c r="P9" s="65"/>
      <c r="Q9" s="66"/>
      <c r="R9" s="65"/>
      <c r="S9" s="65"/>
    </row>
    <row r="10" spans="1:19" ht="18" customHeight="1">
      <c r="A10" s="63"/>
      <c r="B10" s="2">
        <v>8</v>
      </c>
      <c r="C10" s="9" t="s">
        <v>30</v>
      </c>
      <c r="D10" s="28">
        <v>30</v>
      </c>
      <c r="E10" s="18" t="s">
        <v>32</v>
      </c>
      <c r="F10" s="12"/>
      <c r="G10" s="29"/>
      <c r="H10" s="19"/>
      <c r="I10" s="9" t="s">
        <v>24</v>
      </c>
      <c r="J10" s="20">
        <v>20.71</v>
      </c>
      <c r="K10" s="21">
        <f t="shared" si="1"/>
        <v>0.0588</v>
      </c>
      <c r="L10" s="22">
        <f t="shared" si="0"/>
        <v>6.73</v>
      </c>
      <c r="N10" s="64"/>
      <c r="O10" s="65"/>
      <c r="P10" s="65"/>
      <c r="Q10" s="66"/>
      <c r="R10" s="65"/>
      <c r="S10" s="68"/>
    </row>
    <row r="11" spans="1:18" ht="18" customHeight="1">
      <c r="A11" s="63"/>
      <c r="B11" s="2">
        <v>9</v>
      </c>
      <c r="C11" s="9" t="s">
        <v>5</v>
      </c>
      <c r="D11" s="9">
        <v>30</v>
      </c>
      <c r="E11" s="18" t="s">
        <v>32</v>
      </c>
      <c r="F11" s="19"/>
      <c r="G11" s="30">
        <f>((G9/G4)^(1/5))</f>
        <v>1.0228229598642704</v>
      </c>
      <c r="H11" s="31" t="s">
        <v>53</v>
      </c>
      <c r="I11" s="9" t="s">
        <v>8</v>
      </c>
      <c r="J11" s="20">
        <v>16.28</v>
      </c>
      <c r="K11" s="21">
        <f t="shared" si="1"/>
        <v>0.0462</v>
      </c>
      <c r="L11" s="22">
        <f t="shared" si="0"/>
        <v>5.29</v>
      </c>
      <c r="N11" s="64"/>
      <c r="O11" s="65"/>
      <c r="P11" s="65"/>
      <c r="Q11" s="65"/>
      <c r="R11" s="65"/>
    </row>
    <row r="12" spans="1:18" ht="18" customHeight="1">
      <c r="A12" s="63"/>
      <c r="B12" s="2">
        <v>10</v>
      </c>
      <c r="C12" s="23"/>
      <c r="D12" s="32"/>
      <c r="E12" s="33"/>
      <c r="F12" s="34"/>
      <c r="G12" s="35"/>
      <c r="H12" s="36"/>
      <c r="I12" s="9" t="s">
        <v>25</v>
      </c>
      <c r="J12" s="20">
        <v>17.15</v>
      </c>
      <c r="K12" s="21">
        <f t="shared" si="1"/>
        <v>0.0487</v>
      </c>
      <c r="L12" s="22">
        <f t="shared" si="0"/>
        <v>5.58</v>
      </c>
      <c r="N12" s="64"/>
      <c r="O12" s="65"/>
      <c r="P12" s="65"/>
      <c r="Q12" s="65"/>
      <c r="R12" s="66"/>
    </row>
    <row r="13" spans="1:18" ht="18" customHeight="1">
      <c r="A13" s="63"/>
      <c r="B13" s="2">
        <v>11</v>
      </c>
      <c r="C13" s="9" t="s">
        <v>69</v>
      </c>
      <c r="D13" s="37">
        <v>8797</v>
      </c>
      <c r="E13" s="38" t="s">
        <v>32</v>
      </c>
      <c r="F13" s="88" t="s">
        <v>52</v>
      </c>
      <c r="G13" s="89"/>
      <c r="H13" s="90"/>
      <c r="I13" s="9" t="s">
        <v>26</v>
      </c>
      <c r="J13" s="20">
        <v>36.83</v>
      </c>
      <c r="K13" s="21">
        <f t="shared" si="1"/>
        <v>0.1046</v>
      </c>
      <c r="L13" s="22">
        <f t="shared" si="0"/>
        <v>11.98</v>
      </c>
      <c r="N13" s="64"/>
      <c r="O13" s="65"/>
      <c r="P13" s="65"/>
      <c r="Q13" s="65"/>
      <c r="R13" s="65"/>
    </row>
    <row r="14" spans="1:18" ht="18" customHeight="1">
      <c r="A14" s="63"/>
      <c r="B14" s="2">
        <v>12</v>
      </c>
      <c r="F14" s="91"/>
      <c r="G14" s="92"/>
      <c r="H14" s="93"/>
      <c r="I14" s="9" t="s">
        <v>27</v>
      </c>
      <c r="J14" s="20">
        <v>35.87</v>
      </c>
      <c r="K14" s="21">
        <f t="shared" si="1"/>
        <v>0.1019</v>
      </c>
      <c r="L14" s="22">
        <f t="shared" si="0"/>
        <v>11.67</v>
      </c>
      <c r="N14" s="64"/>
      <c r="O14" s="65"/>
      <c r="P14" s="65"/>
      <c r="Q14" s="65"/>
      <c r="R14" s="65"/>
    </row>
    <row r="15" spans="2:16" ht="18" customHeight="1">
      <c r="B15" s="2">
        <v>13</v>
      </c>
      <c r="C15" s="9" t="s">
        <v>65</v>
      </c>
      <c r="D15" s="44">
        <v>16.57</v>
      </c>
      <c r="E15" s="38" t="s">
        <v>32</v>
      </c>
      <c r="F15" s="91"/>
      <c r="G15" s="92"/>
      <c r="H15" s="93"/>
      <c r="I15" s="9" t="s">
        <v>28</v>
      </c>
      <c r="J15" s="20">
        <v>28.15</v>
      </c>
      <c r="K15" s="21">
        <f t="shared" si="1"/>
        <v>0.08</v>
      </c>
      <c r="L15" s="22">
        <f t="shared" si="0"/>
        <v>9.16</v>
      </c>
      <c r="N15" s="64"/>
      <c r="O15" s="65"/>
      <c r="P15" s="65"/>
    </row>
    <row r="16" spans="1:19" ht="18" customHeight="1" thickBot="1">
      <c r="A16" s="63"/>
      <c r="B16" s="2">
        <v>14</v>
      </c>
      <c r="C16" s="9" t="s">
        <v>66</v>
      </c>
      <c r="D16" s="50">
        <v>22.54</v>
      </c>
      <c r="E16" s="38" t="s">
        <v>32</v>
      </c>
      <c r="F16" s="91"/>
      <c r="G16" s="92"/>
      <c r="H16" s="93"/>
      <c r="I16" s="40"/>
      <c r="J16" s="41"/>
      <c r="K16" s="42" t="s">
        <v>7</v>
      </c>
      <c r="L16" s="43">
        <f>AVERAGE(L4:L15)</f>
        <v>9.544166666666667</v>
      </c>
      <c r="N16" s="65"/>
      <c r="O16" s="69"/>
      <c r="P16" s="65"/>
      <c r="Q16" s="69"/>
      <c r="S16" s="80"/>
    </row>
    <row r="17" spans="1:19" ht="18" customHeight="1" thickTop="1">
      <c r="A17" s="63"/>
      <c r="B17" s="2">
        <v>15</v>
      </c>
      <c r="C17" s="9" t="s">
        <v>64</v>
      </c>
      <c r="D17" s="51">
        <f>AVERAGE(D15:D16)</f>
        <v>19.555</v>
      </c>
      <c r="E17" s="45"/>
      <c r="F17" s="94"/>
      <c r="G17" s="95"/>
      <c r="H17" s="96"/>
      <c r="I17" s="46"/>
      <c r="J17" s="47"/>
      <c r="K17" s="47"/>
      <c r="L17" s="48"/>
      <c r="N17" s="65"/>
      <c r="P17" s="65"/>
      <c r="R17" s="64"/>
      <c r="S17" s="69"/>
    </row>
    <row r="18" spans="2:19" ht="18" customHeight="1">
      <c r="B18" s="2">
        <v>16</v>
      </c>
      <c r="E18" s="45"/>
      <c r="F18" s="27"/>
      <c r="G18" s="27"/>
      <c r="H18" s="27"/>
      <c r="I18" s="27"/>
      <c r="J18" s="49"/>
      <c r="K18" s="49"/>
      <c r="L18" s="27"/>
      <c r="N18" s="65"/>
      <c r="P18" s="65"/>
      <c r="R18" s="64"/>
      <c r="S18" s="69"/>
    </row>
    <row r="19" spans="2:19" ht="41.4">
      <c r="B19" s="2">
        <v>17</v>
      </c>
      <c r="C19" s="52" t="s">
        <v>62</v>
      </c>
      <c r="D19" s="53">
        <f>ROUND(1315*(1+D7)^(8),2)</f>
        <v>1575.18</v>
      </c>
      <c r="E19" s="38" t="s">
        <v>33</v>
      </c>
      <c r="F19" s="6" t="s">
        <v>6</v>
      </c>
      <c r="G19" s="6" t="s">
        <v>16</v>
      </c>
      <c r="H19" s="6" t="s">
        <v>13</v>
      </c>
      <c r="I19" s="6" t="s">
        <v>0</v>
      </c>
      <c r="J19" s="6" t="s">
        <v>2</v>
      </c>
      <c r="K19" s="8" t="s">
        <v>34</v>
      </c>
      <c r="L19" s="6" t="s">
        <v>31</v>
      </c>
      <c r="M19" s="27"/>
      <c r="N19" s="27"/>
      <c r="P19" s="65"/>
      <c r="R19" s="64"/>
      <c r="S19" s="69"/>
    </row>
    <row r="20" spans="2:14" ht="18" customHeight="1">
      <c r="B20" s="2">
        <v>18</v>
      </c>
      <c r="C20" s="52" t="s">
        <v>54</v>
      </c>
      <c r="D20" s="9">
        <f>ROUND(5*(1+D7)^(8),2)</f>
        <v>5.99</v>
      </c>
      <c r="E20" s="38" t="s">
        <v>37</v>
      </c>
      <c r="F20" s="19">
        <f>D4</f>
        <v>2024</v>
      </c>
      <c r="G20" s="54">
        <f>D19-$D$19/$D$11/2</f>
        <v>1548.9270000000001</v>
      </c>
      <c r="H20" s="55">
        <f>-PMT($D$5,$D$10,$D$19)</f>
        <v>80.98905704624669</v>
      </c>
      <c r="I20" s="44">
        <f>D20</f>
        <v>5.99</v>
      </c>
      <c r="J20" s="44">
        <f>G20*$D$8</f>
        <v>3.8723175000000003</v>
      </c>
      <c r="K20" s="56">
        <f>D21</f>
        <v>23.42</v>
      </c>
      <c r="L20" s="54">
        <f>SUM(H20:K20)</f>
        <v>114.27137454624668</v>
      </c>
      <c r="N20" s="65"/>
    </row>
    <row r="21" spans="2:14" ht="18" customHeight="1">
      <c r="B21" s="2">
        <v>19</v>
      </c>
      <c r="C21" s="52" t="s">
        <v>58</v>
      </c>
      <c r="D21" s="86">
        <f>ROUND(D17*(1+D7)^(8),2)</f>
        <v>23.42</v>
      </c>
      <c r="E21" s="45"/>
      <c r="F21" s="19">
        <f>F20+1</f>
        <v>2025</v>
      </c>
      <c r="G21" s="54">
        <f>G20-$D$19/$D$11</f>
        <v>1496.421</v>
      </c>
      <c r="H21" s="55">
        <f>-PMT($D$5,$D$10,$D$19)</f>
        <v>80.98905704624669</v>
      </c>
      <c r="I21" s="44">
        <f>I20*(1+$D$7)</f>
        <v>6.12670952958698</v>
      </c>
      <c r="J21" s="44">
        <f>IF(I21="","",G21*$D$8)</f>
        <v>3.7410525000000003</v>
      </c>
      <c r="K21" s="44">
        <f>K20*(1+$D$7)</f>
        <v>23.954513720021215</v>
      </c>
      <c r="L21" s="54">
        <f>SUM(H21:K21)</f>
        <v>114.81133279585487</v>
      </c>
      <c r="N21" s="65"/>
    </row>
    <row r="22" spans="2:12" ht="13.8">
      <c r="B22" s="2">
        <v>20</v>
      </c>
      <c r="C22" s="23"/>
      <c r="D22" s="23"/>
      <c r="E22" s="45"/>
      <c r="F22" s="19"/>
      <c r="G22" s="19"/>
      <c r="H22" s="19"/>
      <c r="I22" s="19"/>
      <c r="J22" s="19"/>
      <c r="K22" s="57" t="s">
        <v>15</v>
      </c>
      <c r="L22" s="43">
        <f>ROUND(AVERAGE(L20:L21),2)</f>
        <v>114.54</v>
      </c>
    </row>
    <row r="23" ht="18" customHeight="1">
      <c r="B23" s="2">
        <v>21</v>
      </c>
    </row>
    <row r="24" spans="2:15" ht="18" customHeight="1">
      <c r="B24" s="2">
        <v>22</v>
      </c>
      <c r="C24" s="59" t="s">
        <v>55</v>
      </c>
      <c r="G24" s="78"/>
      <c r="H24" s="78"/>
      <c r="I24" s="78"/>
      <c r="J24" s="78"/>
      <c r="K24" s="78"/>
      <c r="L24" s="78"/>
      <c r="O24" s="64"/>
    </row>
    <row r="25" spans="2:15" ht="18" customHeight="1">
      <c r="B25" s="2">
        <v>23</v>
      </c>
      <c r="C25" s="59" t="s">
        <v>68</v>
      </c>
      <c r="N25" s="64"/>
      <c r="O25" s="70"/>
    </row>
    <row r="26" spans="2:15" ht="18" customHeight="1">
      <c r="B26" s="2">
        <v>24</v>
      </c>
      <c r="C26" s="59" t="s">
        <v>67</v>
      </c>
      <c r="D26" s="23"/>
      <c r="E26" s="45"/>
      <c r="F26" s="27"/>
      <c r="G26" s="27"/>
      <c r="H26" s="27"/>
      <c r="I26" s="27"/>
      <c r="J26" s="27"/>
      <c r="K26" s="58"/>
      <c r="L26" s="23"/>
      <c r="O26" s="64"/>
    </row>
    <row r="27" spans="2:15" ht="18" customHeight="1">
      <c r="B27" s="2">
        <v>25</v>
      </c>
      <c r="C27" s="59" t="s">
        <v>61</v>
      </c>
      <c r="D27" s="59"/>
      <c r="E27" s="59"/>
      <c r="F27" s="59"/>
      <c r="G27" s="59"/>
      <c r="H27" s="59"/>
      <c r="I27" s="59"/>
      <c r="J27" s="59"/>
      <c r="K27" s="59"/>
      <c r="L27" s="59"/>
      <c r="O27" s="64"/>
    </row>
    <row r="28" spans="2:15" ht="18" customHeight="1">
      <c r="B28" s="2">
        <v>26</v>
      </c>
      <c r="D28" s="59"/>
      <c r="E28" s="59"/>
      <c r="F28" s="59"/>
      <c r="G28" s="59"/>
      <c r="H28" s="59"/>
      <c r="I28" s="59"/>
      <c r="J28" s="59"/>
      <c r="K28" s="59"/>
      <c r="L28" s="59"/>
      <c r="O28" s="64"/>
    </row>
    <row r="29" spans="2:15" ht="18" customHeight="1">
      <c r="B29" s="2">
        <v>27</v>
      </c>
      <c r="D29" s="59"/>
      <c r="E29" s="59"/>
      <c r="F29" s="59"/>
      <c r="G29" s="59"/>
      <c r="H29" s="59"/>
      <c r="I29" s="59"/>
      <c r="J29" s="59"/>
      <c r="K29" s="59"/>
      <c r="L29" s="59"/>
      <c r="O29" s="64"/>
    </row>
    <row r="30" spans="2:15" ht="18" customHeight="1">
      <c r="B30" s="2">
        <v>28</v>
      </c>
      <c r="D30" s="59"/>
      <c r="E30" s="59"/>
      <c r="F30" s="59"/>
      <c r="G30" s="59"/>
      <c r="H30" s="59"/>
      <c r="I30" s="59"/>
      <c r="J30" s="59"/>
      <c r="K30" s="59"/>
      <c r="L30" s="59"/>
      <c r="O30" s="64"/>
    </row>
    <row r="31" spans="2:15" ht="18" customHeight="1">
      <c r="B31" s="2">
        <v>29</v>
      </c>
      <c r="D31" s="71"/>
      <c r="E31" s="72"/>
      <c r="F31" s="72"/>
      <c r="G31" s="59"/>
      <c r="H31" s="59"/>
      <c r="I31" s="59"/>
      <c r="J31" s="59"/>
      <c r="K31" s="59"/>
      <c r="L31" s="59"/>
      <c r="O31" s="64"/>
    </row>
    <row r="32" spans="1:18" ht="15.6">
      <c r="A32" s="63"/>
      <c r="C32" s="72"/>
      <c r="D32" s="72"/>
      <c r="E32" s="71"/>
      <c r="F32" s="71"/>
      <c r="G32" s="72"/>
      <c r="H32" s="72"/>
      <c r="I32" s="72"/>
      <c r="J32" s="72"/>
      <c r="K32" s="72"/>
      <c r="L32" s="72"/>
      <c r="R32" s="74"/>
    </row>
    <row r="33" spans="3:12" ht="15" customHeight="1">
      <c r="C33" s="72"/>
      <c r="D33" s="72"/>
      <c r="E33" s="72"/>
      <c r="F33" s="72"/>
      <c r="G33" s="71"/>
      <c r="H33" s="71"/>
      <c r="I33" s="71"/>
      <c r="J33" s="71"/>
      <c r="K33" s="71"/>
      <c r="L33" s="71"/>
    </row>
    <row r="34" spans="3:12" ht="15.6">
      <c r="C34" s="75"/>
      <c r="D34" s="76"/>
      <c r="E34" s="72"/>
      <c r="F34" s="72"/>
      <c r="G34" s="72"/>
      <c r="H34" s="72"/>
      <c r="I34" s="72"/>
      <c r="J34" s="72"/>
      <c r="K34" s="72"/>
      <c r="L34" s="72"/>
    </row>
    <row r="35" spans="3:12" ht="15.6">
      <c r="C35" s="75"/>
      <c r="D35" s="77"/>
      <c r="E35" s="75"/>
      <c r="F35" s="75"/>
      <c r="G35" s="72"/>
      <c r="H35" s="72"/>
      <c r="I35" s="72"/>
      <c r="J35" s="72"/>
      <c r="K35" s="72"/>
      <c r="L35" s="72"/>
    </row>
    <row r="36" spans="3:11" ht="12.75">
      <c r="C36" s="75"/>
      <c r="D36" s="77"/>
      <c r="E36" s="75"/>
      <c r="F36" s="75"/>
      <c r="G36" s="75"/>
      <c r="K36" s="78"/>
    </row>
    <row r="37" spans="3:11" ht="12.75">
      <c r="C37" s="75"/>
      <c r="D37" s="77"/>
      <c r="E37" s="75"/>
      <c r="F37" s="75"/>
      <c r="G37" s="75"/>
      <c r="K37" s="78"/>
    </row>
    <row r="38" spans="3:8" ht="12.75">
      <c r="C38" s="75"/>
      <c r="D38" s="77"/>
      <c r="E38" s="75"/>
      <c r="F38" s="75"/>
      <c r="G38" s="75"/>
      <c r="H38" s="78"/>
    </row>
    <row r="39" spans="3:7" ht="12.75">
      <c r="C39" s="75"/>
      <c r="D39" s="77"/>
      <c r="E39" s="75"/>
      <c r="F39" s="75"/>
      <c r="G39" s="75"/>
    </row>
    <row r="40" spans="3:9" ht="12.75">
      <c r="C40" s="75"/>
      <c r="D40" s="79"/>
      <c r="E40" s="75"/>
      <c r="F40" s="75"/>
      <c r="G40" s="75"/>
      <c r="I40" s="60"/>
    </row>
    <row r="41" spans="3:7" ht="12.75">
      <c r="C41" s="75"/>
      <c r="D41" s="75"/>
      <c r="E41" s="75"/>
      <c r="F41" s="75"/>
      <c r="G41" s="75"/>
    </row>
    <row r="42" spans="5:7" ht="12.75">
      <c r="E42" s="75"/>
      <c r="F42" s="75"/>
      <c r="G42" s="75"/>
    </row>
    <row r="43" ht="12.75">
      <c r="G43" s="75"/>
    </row>
  </sheetData>
  <mergeCells count="1">
    <mergeCell ref="F13:H17"/>
  </mergeCells>
  <conditionalFormatting sqref="F20:J21 K21">
    <cfRule type="cellIs" priority="1" dxfId="0" operator="equal" stopIfTrue="1">
      <formula>""</formula>
    </cfRule>
  </conditionalFormatting>
  <printOptions/>
  <pageMargins left="0.7" right="0.7" top="0.75" bottom="0.75" header="0.3" footer="0.3"/>
  <pageSetup fitToHeight="1" fitToWidth="1" horizontalDpi="600" verticalDpi="600" orientation="landscape" scale="72" r:id="rId1"/>
  <headerFooter alignWithMargins="0">
    <oddHeader>&amp;C&amp;"Times New Roman,Regular"&amp;12Table 4.1
Demand Rates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2:X43"/>
  <sheetViews>
    <sheetView workbookViewId="0" topLeftCell="A1">
      <selection activeCell="C28" sqref="C28"/>
    </sheetView>
  </sheetViews>
  <sheetFormatPr defaultColWidth="9.28125" defaultRowHeight="12.75"/>
  <cols>
    <col min="1" max="1" width="2.7109375" style="61" customWidth="1"/>
    <col min="2" max="2" width="5.421875" style="73" customWidth="1"/>
    <col min="3" max="3" width="55.7109375" style="73" customWidth="1"/>
    <col min="4" max="4" width="10.28125" style="73" customWidth="1"/>
    <col min="5" max="5" width="3.7109375" style="73" customWidth="1"/>
    <col min="6" max="6" width="10.7109375" style="73" customWidth="1"/>
    <col min="7" max="7" width="10.8515625" style="73" customWidth="1"/>
    <col min="8" max="8" width="9.57421875" style="73" customWidth="1"/>
    <col min="9" max="9" width="9.7109375" style="73" customWidth="1"/>
    <col min="10" max="10" width="13.7109375" style="73" customWidth="1"/>
    <col min="11" max="11" width="11.57421875" style="73" customWidth="1"/>
    <col min="12" max="12" width="13.28125" style="73" customWidth="1"/>
    <col min="13" max="13" width="2.8515625" style="60" customWidth="1"/>
    <col min="14" max="14" width="10.00390625" style="60" customWidth="1"/>
    <col min="15" max="16" width="9.28125" style="60" customWidth="1"/>
    <col min="17" max="17" width="24.28125" style="60" customWidth="1"/>
    <col min="18" max="18" width="9.28125" style="60" customWidth="1"/>
    <col min="19" max="16384" width="9.28125" style="60" customWidth="1"/>
  </cols>
  <sheetData>
    <row r="2" spans="2:12" ht="18" customHeight="1">
      <c r="B2" s="3"/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47</v>
      </c>
    </row>
    <row r="3" spans="2:22" s="61" customFormat="1" ht="41.4">
      <c r="B3" s="2">
        <v>1</v>
      </c>
      <c r="C3" s="4"/>
      <c r="D3" s="5"/>
      <c r="E3" s="4"/>
      <c r="F3" s="6" t="s">
        <v>3</v>
      </c>
      <c r="G3" s="6" t="s">
        <v>4</v>
      </c>
      <c r="H3" s="7"/>
      <c r="I3" s="8" t="s">
        <v>9</v>
      </c>
      <c r="J3" s="6" t="s">
        <v>56</v>
      </c>
      <c r="K3" s="6" t="s">
        <v>10</v>
      </c>
      <c r="L3" s="6" t="s">
        <v>11</v>
      </c>
      <c r="N3"/>
      <c r="O3"/>
      <c r="P3"/>
      <c r="Q3"/>
      <c r="R3"/>
      <c r="S3"/>
      <c r="T3"/>
      <c r="U3"/>
      <c r="V3"/>
    </row>
    <row r="4" spans="1:22" ht="18" customHeight="1">
      <c r="A4" s="63"/>
      <c r="B4" s="2">
        <v>2</v>
      </c>
      <c r="C4" s="9" t="s">
        <v>17</v>
      </c>
      <c r="D4" s="10">
        <v>2024</v>
      </c>
      <c r="E4" s="11"/>
      <c r="F4" s="12">
        <v>2016</v>
      </c>
      <c r="G4" s="81">
        <v>105.74</v>
      </c>
      <c r="H4" s="12"/>
      <c r="I4" s="13" t="s">
        <v>18</v>
      </c>
      <c r="J4" s="14">
        <v>29.92</v>
      </c>
      <c r="K4" s="15">
        <f>ROUND((J4/SUM($J$4:$J$15)),4)</f>
        <v>0.085</v>
      </c>
      <c r="L4" s="16">
        <f aca="true" t="shared" si="0" ref="L4:L15">ROUND(K4*$L$23,2)</f>
        <v>11.47</v>
      </c>
      <c r="N4"/>
      <c r="O4"/>
      <c r="P4"/>
      <c r="Q4"/>
      <c r="R4"/>
      <c r="S4"/>
      <c r="T4"/>
      <c r="U4"/>
      <c r="V4"/>
    </row>
    <row r="5" spans="1:24" ht="18" customHeight="1">
      <c r="A5" s="63"/>
      <c r="B5" s="2">
        <v>3</v>
      </c>
      <c r="C5" s="9" t="s">
        <v>14</v>
      </c>
      <c r="D5" s="17">
        <v>0.0306</v>
      </c>
      <c r="E5" s="18" t="s">
        <v>29</v>
      </c>
      <c r="F5" s="19">
        <v>2017</v>
      </c>
      <c r="G5" s="29">
        <v>107.747</v>
      </c>
      <c r="H5" s="19"/>
      <c r="I5" s="9" t="s">
        <v>19</v>
      </c>
      <c r="J5" s="20">
        <v>31.71</v>
      </c>
      <c r="K5" s="21">
        <f aca="true" t="shared" si="1" ref="K5:K15">ROUND((J5/SUM($J$4:$J$15)),4)</f>
        <v>0.0901</v>
      </c>
      <c r="L5" s="22">
        <f t="shared" si="0"/>
        <v>12.16</v>
      </c>
      <c r="M5" s="62"/>
      <c r="N5"/>
      <c r="O5"/>
      <c r="P5"/>
      <c r="Q5"/>
      <c r="R5"/>
      <c r="S5"/>
      <c r="T5"/>
      <c r="U5"/>
      <c r="V5"/>
      <c r="W5" s="67"/>
      <c r="X5" s="67"/>
    </row>
    <row r="6" spans="1:22" ht="18" customHeight="1">
      <c r="A6" s="63"/>
      <c r="B6" s="2">
        <v>4</v>
      </c>
      <c r="C6" s="23"/>
      <c r="D6" s="24"/>
      <c r="E6" s="25"/>
      <c r="F6" s="12">
        <v>2018</v>
      </c>
      <c r="G6" s="29">
        <v>110.321</v>
      </c>
      <c r="H6" s="19"/>
      <c r="I6" s="9" t="s">
        <v>20</v>
      </c>
      <c r="J6" s="20">
        <v>38.76</v>
      </c>
      <c r="K6" s="21">
        <f t="shared" si="1"/>
        <v>0.1101</v>
      </c>
      <c r="L6" s="22">
        <f t="shared" si="0"/>
        <v>14.86</v>
      </c>
      <c r="N6"/>
      <c r="O6"/>
      <c r="P6"/>
      <c r="Q6"/>
      <c r="R6"/>
      <c r="S6"/>
      <c r="T6"/>
      <c r="U6"/>
      <c r="V6"/>
    </row>
    <row r="7" spans="1:22" ht="18" customHeight="1">
      <c r="A7" s="63"/>
      <c r="B7" s="2">
        <v>5</v>
      </c>
      <c r="C7" s="9" t="s">
        <v>1</v>
      </c>
      <c r="D7" s="26">
        <f>G11-1</f>
        <v>0.02282295986427041</v>
      </c>
      <c r="E7" s="25"/>
      <c r="F7" s="19">
        <v>2019</v>
      </c>
      <c r="G7" s="29">
        <v>112.294</v>
      </c>
      <c r="H7" s="19"/>
      <c r="I7" s="9" t="s">
        <v>21</v>
      </c>
      <c r="J7" s="20">
        <v>34.29</v>
      </c>
      <c r="K7" s="21">
        <f t="shared" si="1"/>
        <v>0.0974</v>
      </c>
      <c r="L7" s="22">
        <f t="shared" si="0"/>
        <v>13.15</v>
      </c>
      <c r="N7"/>
      <c r="O7"/>
      <c r="P7"/>
      <c r="Q7"/>
      <c r="R7"/>
      <c r="S7"/>
      <c r="T7"/>
      <c r="U7"/>
      <c r="V7"/>
    </row>
    <row r="8" spans="1:22" ht="18" customHeight="1">
      <c r="A8" s="63"/>
      <c r="B8" s="2">
        <v>6</v>
      </c>
      <c r="C8" s="9" t="s">
        <v>12</v>
      </c>
      <c r="D8" s="26">
        <v>0.0025</v>
      </c>
      <c r="E8" s="18" t="s">
        <v>32</v>
      </c>
      <c r="F8" s="19">
        <v>2020</v>
      </c>
      <c r="G8" s="29">
        <v>113.648</v>
      </c>
      <c r="H8" s="19"/>
      <c r="I8" s="9" t="s">
        <v>22</v>
      </c>
      <c r="J8" s="20">
        <v>34.79</v>
      </c>
      <c r="K8" s="21">
        <f t="shared" si="1"/>
        <v>0.0988</v>
      </c>
      <c r="L8" s="22">
        <f t="shared" si="0"/>
        <v>13.34</v>
      </c>
      <c r="N8"/>
      <c r="O8"/>
      <c r="P8"/>
      <c r="Q8"/>
      <c r="R8"/>
      <c r="S8"/>
      <c r="T8"/>
      <c r="U8"/>
      <c r="V8"/>
    </row>
    <row r="9" spans="2:19" ht="18" customHeight="1">
      <c r="B9" s="2">
        <v>7</v>
      </c>
      <c r="C9" s="23"/>
      <c r="D9" s="27"/>
      <c r="E9" s="25"/>
      <c r="F9" s="12">
        <v>2021</v>
      </c>
      <c r="G9" s="29">
        <v>118.37</v>
      </c>
      <c r="H9" s="19"/>
      <c r="I9" s="9" t="s">
        <v>23</v>
      </c>
      <c r="J9" s="20">
        <v>27.57</v>
      </c>
      <c r="K9" s="21">
        <f t="shared" si="1"/>
        <v>0.0783</v>
      </c>
      <c r="L9" s="22">
        <f t="shared" si="0"/>
        <v>10.57</v>
      </c>
      <c r="N9" s="64"/>
      <c r="O9" s="65"/>
      <c r="P9" s="65"/>
      <c r="Q9" s="66"/>
      <c r="R9" s="65"/>
      <c r="S9" s="65"/>
    </row>
    <row r="10" spans="1:19" ht="18" customHeight="1">
      <c r="A10" s="63"/>
      <c r="B10" s="2">
        <v>8</v>
      </c>
      <c r="C10" s="9" t="s">
        <v>30</v>
      </c>
      <c r="D10" s="28">
        <v>30</v>
      </c>
      <c r="E10" s="18" t="s">
        <v>32</v>
      </c>
      <c r="F10" s="12"/>
      <c r="G10" s="29"/>
      <c r="H10" s="19"/>
      <c r="I10" s="9" t="s">
        <v>24</v>
      </c>
      <c r="J10" s="20">
        <v>20.71</v>
      </c>
      <c r="K10" s="21">
        <f t="shared" si="1"/>
        <v>0.0588</v>
      </c>
      <c r="L10" s="22">
        <f t="shared" si="0"/>
        <v>7.94</v>
      </c>
      <c r="N10" s="64"/>
      <c r="O10" s="65"/>
      <c r="P10" s="65"/>
      <c r="Q10" s="66"/>
      <c r="R10" s="65"/>
      <c r="S10" s="68"/>
    </row>
    <row r="11" spans="1:18" ht="18" customHeight="1">
      <c r="A11" s="63"/>
      <c r="B11" s="2">
        <v>9</v>
      </c>
      <c r="C11" s="9" t="s">
        <v>5</v>
      </c>
      <c r="D11" s="9">
        <v>30</v>
      </c>
      <c r="E11" s="18" t="s">
        <v>32</v>
      </c>
      <c r="F11" s="19"/>
      <c r="G11" s="30">
        <f>((G9/G4)^(1/5))</f>
        <v>1.0228229598642704</v>
      </c>
      <c r="H11" s="31" t="s">
        <v>53</v>
      </c>
      <c r="I11" s="9" t="s">
        <v>8</v>
      </c>
      <c r="J11" s="20">
        <v>16.28</v>
      </c>
      <c r="K11" s="21">
        <f t="shared" si="1"/>
        <v>0.0462</v>
      </c>
      <c r="L11" s="22">
        <f t="shared" si="0"/>
        <v>6.24</v>
      </c>
      <c r="N11" s="64"/>
      <c r="O11" s="65"/>
      <c r="P11" s="65"/>
      <c r="Q11" s="65"/>
      <c r="R11" s="65"/>
    </row>
    <row r="12" spans="1:20" ht="18" customHeight="1">
      <c r="A12" s="63"/>
      <c r="B12" s="2">
        <v>10</v>
      </c>
      <c r="C12" s="23"/>
      <c r="D12" s="32"/>
      <c r="E12" s="33"/>
      <c r="F12" s="34"/>
      <c r="G12" s="35"/>
      <c r="H12" s="36"/>
      <c r="I12" s="9" t="s">
        <v>25</v>
      </c>
      <c r="J12" s="20">
        <v>17.15</v>
      </c>
      <c r="K12" s="21">
        <f t="shared" si="1"/>
        <v>0.0487</v>
      </c>
      <c r="L12" s="22">
        <f t="shared" si="0"/>
        <v>6.57</v>
      </c>
      <c r="N12" s="64"/>
      <c r="O12"/>
      <c r="P12"/>
      <c r="Q12"/>
      <c r="R12"/>
      <c r="S12"/>
      <c r="T12"/>
    </row>
    <row r="13" spans="1:20" ht="18" customHeight="1">
      <c r="A13" s="63"/>
      <c r="B13" s="2">
        <v>11</v>
      </c>
      <c r="C13" s="9" t="s">
        <v>69</v>
      </c>
      <c r="D13" s="37">
        <v>8541</v>
      </c>
      <c r="E13" s="38" t="s">
        <v>33</v>
      </c>
      <c r="F13" s="88" t="s">
        <v>52</v>
      </c>
      <c r="G13" s="89"/>
      <c r="H13" s="90"/>
      <c r="I13" s="9" t="s">
        <v>26</v>
      </c>
      <c r="J13" s="20">
        <v>36.83</v>
      </c>
      <c r="K13" s="21">
        <f t="shared" si="1"/>
        <v>0.1046</v>
      </c>
      <c r="L13" s="22">
        <f t="shared" si="0"/>
        <v>14.12</v>
      </c>
      <c r="N13" s="64"/>
      <c r="O13"/>
      <c r="P13"/>
      <c r="Q13"/>
      <c r="R13"/>
      <c r="S13"/>
      <c r="T13"/>
    </row>
    <row r="14" spans="1:20" ht="18" customHeight="1">
      <c r="A14" s="63"/>
      <c r="B14" s="2">
        <v>12</v>
      </c>
      <c r="C14" s="23"/>
      <c r="D14" s="27"/>
      <c r="E14" s="38"/>
      <c r="F14" s="91"/>
      <c r="G14" s="92"/>
      <c r="H14" s="93"/>
      <c r="I14" s="9" t="s">
        <v>27</v>
      </c>
      <c r="J14" s="20">
        <v>35.87</v>
      </c>
      <c r="K14" s="21">
        <f t="shared" si="1"/>
        <v>0.1019</v>
      </c>
      <c r="L14" s="22">
        <f t="shared" si="0"/>
        <v>13.75</v>
      </c>
      <c r="N14" s="64"/>
      <c r="O14"/>
      <c r="P14"/>
      <c r="Q14"/>
      <c r="R14"/>
      <c r="S14"/>
      <c r="T14"/>
    </row>
    <row r="15" spans="2:20" ht="18" customHeight="1">
      <c r="B15" s="2">
        <v>13</v>
      </c>
      <c r="C15" s="9" t="s">
        <v>36</v>
      </c>
      <c r="D15" s="82">
        <v>41.67</v>
      </c>
      <c r="E15" s="38" t="s">
        <v>33</v>
      </c>
      <c r="F15" s="91"/>
      <c r="G15" s="92"/>
      <c r="H15" s="93"/>
      <c r="I15" s="9" t="s">
        <v>28</v>
      </c>
      <c r="J15" s="20">
        <v>28.15</v>
      </c>
      <c r="K15" s="21">
        <f t="shared" si="1"/>
        <v>0.08</v>
      </c>
      <c r="L15" s="22">
        <f t="shared" si="0"/>
        <v>10.8</v>
      </c>
      <c r="N15" s="64"/>
      <c r="O15"/>
      <c r="P15"/>
      <c r="Q15"/>
      <c r="R15"/>
      <c r="S15"/>
      <c r="T15"/>
    </row>
    <row r="16" spans="1:20" ht="18" customHeight="1">
      <c r="A16" s="63"/>
      <c r="B16" s="2">
        <v>14</v>
      </c>
      <c r="C16" s="39" t="s">
        <v>35</v>
      </c>
      <c r="D16" s="83">
        <v>46.31</v>
      </c>
      <c r="E16" s="38" t="s">
        <v>33</v>
      </c>
      <c r="F16" s="91"/>
      <c r="G16" s="92"/>
      <c r="H16" s="93"/>
      <c r="I16" s="40"/>
      <c r="J16" s="41"/>
      <c r="K16" s="42" t="s">
        <v>7</v>
      </c>
      <c r="L16" s="43">
        <f>AVERAGE(L4:L15)</f>
        <v>11.247500000000002</v>
      </c>
      <c r="N16" s="65"/>
      <c r="O16"/>
      <c r="P16"/>
      <c r="Q16"/>
      <c r="R16"/>
      <c r="S16"/>
      <c r="T16"/>
    </row>
    <row r="17" spans="1:20" ht="18" customHeight="1">
      <c r="A17" s="63"/>
      <c r="B17" s="2">
        <v>15</v>
      </c>
      <c r="C17" s="9" t="s">
        <v>59</v>
      </c>
      <c r="D17" s="44">
        <f>D15*(D13/10000)</f>
        <v>35.590347</v>
      </c>
      <c r="E17" s="45"/>
      <c r="F17" s="94"/>
      <c r="G17" s="95"/>
      <c r="H17" s="96"/>
      <c r="I17" s="46"/>
      <c r="J17" s="47"/>
      <c r="K17" s="47"/>
      <c r="L17" s="48"/>
      <c r="N17" s="65"/>
      <c r="O17"/>
      <c r="P17"/>
      <c r="Q17"/>
      <c r="R17"/>
      <c r="S17"/>
      <c r="T17"/>
    </row>
    <row r="18" spans="2:20" ht="18" customHeight="1">
      <c r="B18" s="2">
        <v>16</v>
      </c>
      <c r="C18" s="9" t="s">
        <v>60</v>
      </c>
      <c r="D18" s="44">
        <f>D16*(D13/10000)</f>
        <v>39.553371</v>
      </c>
      <c r="E18" s="45"/>
      <c r="F18" s="27"/>
      <c r="G18" s="27"/>
      <c r="H18" s="27"/>
      <c r="I18" s="27"/>
      <c r="J18" s="49"/>
      <c r="K18" s="49"/>
      <c r="L18" s="27"/>
      <c r="N18" s="65"/>
      <c r="O18"/>
      <c r="P18"/>
      <c r="Q18"/>
      <c r="R18"/>
      <c r="S18"/>
      <c r="T18"/>
    </row>
    <row r="19" spans="2:20" ht="18" customHeight="1">
      <c r="B19" s="2">
        <v>17</v>
      </c>
      <c r="C19" s="9" t="s">
        <v>70</v>
      </c>
      <c r="D19" s="51">
        <f>AVERAGE(D17:D18)</f>
        <v>37.571859</v>
      </c>
      <c r="E19" s="45"/>
      <c r="F19" s="27"/>
      <c r="G19" s="27"/>
      <c r="H19" s="27"/>
      <c r="I19" s="27"/>
      <c r="J19" s="27"/>
      <c r="K19" s="27"/>
      <c r="L19" s="27"/>
      <c r="M19" s="27"/>
      <c r="N19" s="27"/>
      <c r="O19"/>
      <c r="P19"/>
      <c r="Q19"/>
      <c r="R19"/>
      <c r="S19"/>
      <c r="T19"/>
    </row>
    <row r="20" spans="2:20" ht="41.4">
      <c r="B20" s="2">
        <v>18</v>
      </c>
      <c r="C20" s="32"/>
      <c r="D20" s="85"/>
      <c r="E20" s="45"/>
      <c r="F20" s="6" t="s">
        <v>6</v>
      </c>
      <c r="G20" s="6" t="s">
        <v>16</v>
      </c>
      <c r="H20" s="6" t="s">
        <v>13</v>
      </c>
      <c r="I20" s="6" t="s">
        <v>0</v>
      </c>
      <c r="J20" s="6" t="s">
        <v>2</v>
      </c>
      <c r="K20" s="8" t="s">
        <v>34</v>
      </c>
      <c r="L20" s="6" t="s">
        <v>31</v>
      </c>
      <c r="N20" s="65"/>
      <c r="O20"/>
      <c r="P20"/>
      <c r="Q20"/>
      <c r="R20"/>
      <c r="S20"/>
      <c r="T20"/>
    </row>
    <row r="21" spans="2:14" ht="16.8">
      <c r="B21" s="84">
        <v>19</v>
      </c>
      <c r="C21" s="52" t="s">
        <v>63</v>
      </c>
      <c r="D21" s="53">
        <f>ROUND(1000*(1+D7)^(12),2)</f>
        <v>1311.01</v>
      </c>
      <c r="E21" s="38" t="s">
        <v>37</v>
      </c>
      <c r="F21" s="19">
        <f>D4</f>
        <v>2024</v>
      </c>
      <c r="G21" s="54">
        <f>D21-$D$21/$D$11/2</f>
        <v>1289.1598333333334</v>
      </c>
      <c r="H21" s="55">
        <f>-PMT($D$5,$D$10,$D$21)</f>
        <v>67.40655904607718</v>
      </c>
      <c r="I21" s="44">
        <f>D22</f>
        <v>14.42</v>
      </c>
      <c r="J21" s="44">
        <f>G21*$D$8</f>
        <v>3.2228995833333336</v>
      </c>
      <c r="K21" s="56">
        <f>D23</f>
        <v>49.26</v>
      </c>
      <c r="L21" s="54">
        <f>SUM(H21:K21)</f>
        <v>134.3094586294105</v>
      </c>
      <c r="N21" s="65"/>
    </row>
    <row r="22" spans="2:12" ht="16.8">
      <c r="B22" s="2">
        <v>20</v>
      </c>
      <c r="C22" s="52" t="s">
        <v>54</v>
      </c>
      <c r="D22" s="9">
        <f>ROUND(11*(1+D7)^(12),2)</f>
        <v>14.42</v>
      </c>
      <c r="E22" s="38" t="s">
        <v>49</v>
      </c>
      <c r="F22" s="19">
        <f>F21+1</f>
        <v>2025</v>
      </c>
      <c r="G22" s="54">
        <f>G21-$D$21/$D$11</f>
        <v>1245.4595</v>
      </c>
      <c r="H22" s="55">
        <f>-PMT($D$5,$D$10,$D$21)</f>
        <v>67.40655904607718</v>
      </c>
      <c r="I22" s="44">
        <f>I21*(1+$D$7)</f>
        <v>14.74910708124278</v>
      </c>
      <c r="J22" s="44">
        <f>IF(I22="","",G22*$D$8)</f>
        <v>3.11364875</v>
      </c>
      <c r="K22" s="44">
        <f>K21*(1+$D$7)</f>
        <v>50.38425900291396</v>
      </c>
      <c r="L22" s="54">
        <f>SUM(H22:K22)</f>
        <v>135.65357388023392</v>
      </c>
    </row>
    <row r="23" spans="2:12" ht="18" customHeight="1">
      <c r="B23" s="2">
        <v>21</v>
      </c>
      <c r="C23" s="52" t="s">
        <v>58</v>
      </c>
      <c r="D23" s="9">
        <f>ROUND(D19*(1+D7)^(12),2)</f>
        <v>49.26</v>
      </c>
      <c r="F23" s="19"/>
      <c r="G23" s="19"/>
      <c r="H23" s="19"/>
      <c r="I23" s="19"/>
      <c r="J23" s="19"/>
      <c r="K23" s="57" t="s">
        <v>15</v>
      </c>
      <c r="L23" s="43">
        <f>ROUND(AVERAGE(L21:L22),2)</f>
        <v>134.98</v>
      </c>
    </row>
    <row r="24" spans="2:15" ht="18" customHeight="1">
      <c r="B24" s="2">
        <v>22</v>
      </c>
      <c r="E24" s="45"/>
      <c r="N24" s="64"/>
      <c r="O24" s="64"/>
    </row>
    <row r="25" spans="2:15" ht="18" customHeight="1">
      <c r="B25" s="2">
        <v>23</v>
      </c>
      <c r="C25" s="23"/>
      <c r="D25" s="23"/>
      <c r="E25" s="45"/>
      <c r="N25" s="64"/>
      <c r="O25" s="70"/>
    </row>
    <row r="26" spans="2:15" ht="18" customHeight="1">
      <c r="B26" s="2">
        <v>24</v>
      </c>
      <c r="C26" s="23"/>
      <c r="D26" s="23"/>
      <c r="E26" s="45"/>
      <c r="F26" s="27"/>
      <c r="G26" s="87"/>
      <c r="H26" s="87"/>
      <c r="I26" s="87"/>
      <c r="J26" s="87"/>
      <c r="K26" s="87"/>
      <c r="L26" s="87"/>
      <c r="O26" s="64"/>
    </row>
    <row r="27" spans="2:15" ht="18" customHeight="1">
      <c r="B27" s="2">
        <v>25</v>
      </c>
      <c r="C27" s="59" t="s">
        <v>55</v>
      </c>
      <c r="D27" s="59"/>
      <c r="E27" s="59"/>
      <c r="F27" s="59"/>
      <c r="G27" s="59"/>
      <c r="H27" s="59"/>
      <c r="I27" s="59"/>
      <c r="J27" s="59"/>
      <c r="K27" s="59"/>
      <c r="L27" s="59"/>
      <c r="O27" s="64"/>
    </row>
    <row r="28" spans="2:15" ht="18" customHeight="1">
      <c r="B28" s="2">
        <v>26</v>
      </c>
      <c r="C28" s="59" t="s">
        <v>48</v>
      </c>
      <c r="D28" s="59"/>
      <c r="E28" s="59"/>
      <c r="F28" s="59"/>
      <c r="G28" s="59"/>
      <c r="H28" s="59"/>
      <c r="I28" s="59"/>
      <c r="J28" s="59"/>
      <c r="K28" s="59"/>
      <c r="L28" s="59"/>
      <c r="O28" s="64"/>
    </row>
    <row r="29" spans="2:15" ht="18" customHeight="1">
      <c r="B29" s="2">
        <v>27</v>
      </c>
      <c r="C29" s="59" t="s">
        <v>50</v>
      </c>
      <c r="D29" s="59"/>
      <c r="E29" s="59"/>
      <c r="F29" s="59"/>
      <c r="G29" s="59"/>
      <c r="H29" s="59"/>
      <c r="I29" s="59"/>
      <c r="J29" s="59"/>
      <c r="K29" s="59"/>
      <c r="L29" s="59"/>
      <c r="O29" s="64"/>
    </row>
    <row r="30" spans="2:15" ht="18" customHeight="1">
      <c r="B30" s="2">
        <v>28</v>
      </c>
      <c r="C30" s="59" t="s">
        <v>57</v>
      </c>
      <c r="D30" s="59"/>
      <c r="E30" s="59"/>
      <c r="F30" s="59"/>
      <c r="G30" s="59"/>
      <c r="H30" s="59"/>
      <c r="I30" s="59"/>
      <c r="J30" s="59"/>
      <c r="K30" s="59"/>
      <c r="L30" s="59"/>
      <c r="O30" s="64"/>
    </row>
    <row r="31" spans="2:15" ht="18" customHeight="1">
      <c r="B31" s="2">
        <v>29</v>
      </c>
      <c r="C31" s="59" t="s">
        <v>51</v>
      </c>
      <c r="D31" s="71"/>
      <c r="E31" s="72"/>
      <c r="F31" s="72"/>
      <c r="G31" s="59"/>
      <c r="H31" s="59"/>
      <c r="I31" s="59"/>
      <c r="J31" s="59"/>
      <c r="K31" s="59"/>
      <c r="L31" s="59"/>
      <c r="O31" s="64"/>
    </row>
    <row r="32" spans="1:18" ht="15.6">
      <c r="A32" s="63"/>
      <c r="C32" s="72"/>
      <c r="D32" s="72"/>
      <c r="E32" s="71"/>
      <c r="F32" s="71"/>
      <c r="G32" s="72"/>
      <c r="H32" s="72"/>
      <c r="I32" s="72"/>
      <c r="J32" s="72"/>
      <c r="K32" s="72"/>
      <c r="L32" s="72"/>
      <c r="R32" s="74"/>
    </row>
    <row r="33" spans="3:12" ht="15" customHeight="1">
      <c r="C33" s="72"/>
      <c r="D33" s="72"/>
      <c r="E33" s="72"/>
      <c r="F33" s="72"/>
      <c r="G33" s="71"/>
      <c r="H33" s="71"/>
      <c r="I33" s="71"/>
      <c r="J33" s="71"/>
      <c r="K33" s="71"/>
      <c r="L33" s="71"/>
    </row>
    <row r="34" spans="3:12" ht="15.6">
      <c r="C34" s="75"/>
      <c r="D34" s="76"/>
      <c r="E34" s="72"/>
      <c r="F34" s="72"/>
      <c r="G34" s="72"/>
      <c r="H34" s="72"/>
      <c r="I34" s="72"/>
      <c r="J34" s="72"/>
      <c r="K34" s="72"/>
      <c r="L34" s="72"/>
    </row>
    <row r="35" spans="3:12" ht="15.6">
      <c r="C35" s="75"/>
      <c r="D35" s="77"/>
      <c r="E35" s="75"/>
      <c r="F35" s="75"/>
      <c r="G35" s="72"/>
      <c r="H35" s="72"/>
      <c r="I35" s="72"/>
      <c r="J35" s="72"/>
      <c r="K35" s="72"/>
      <c r="L35" s="72"/>
    </row>
    <row r="36" spans="3:11" ht="12.75">
      <c r="C36" s="75"/>
      <c r="D36" s="77"/>
      <c r="E36" s="75"/>
      <c r="F36" s="75"/>
      <c r="G36" s="75"/>
      <c r="K36" s="78"/>
    </row>
    <row r="37" spans="3:11" ht="12.75">
      <c r="C37" s="75"/>
      <c r="D37" s="77"/>
      <c r="E37" s="75"/>
      <c r="F37" s="75"/>
      <c r="G37" s="75"/>
      <c r="K37" s="78"/>
    </row>
    <row r="38" spans="3:8" ht="12.75">
      <c r="C38" s="75"/>
      <c r="D38" s="77"/>
      <c r="E38" s="75"/>
      <c r="F38" s="75"/>
      <c r="G38" s="75"/>
      <c r="H38" s="78"/>
    </row>
    <row r="39" spans="3:7" ht="12.75">
      <c r="C39" s="75"/>
      <c r="D39" s="77"/>
      <c r="E39" s="75"/>
      <c r="F39" s="75"/>
      <c r="G39" s="75"/>
    </row>
    <row r="40" spans="3:9" ht="12.75">
      <c r="C40" s="75"/>
      <c r="D40" s="79"/>
      <c r="E40" s="75"/>
      <c r="F40" s="75"/>
      <c r="G40" s="75"/>
      <c r="I40" s="60"/>
    </row>
    <row r="41" spans="3:7" ht="12.75">
      <c r="C41" s="75"/>
      <c r="D41" s="75"/>
      <c r="E41" s="75"/>
      <c r="F41" s="75"/>
      <c r="G41" s="75"/>
    </row>
    <row r="42" spans="5:7" ht="12.75">
      <c r="E42" s="75"/>
      <c r="F42" s="75"/>
      <c r="G42" s="75"/>
    </row>
    <row r="43" ht="12.75">
      <c r="G43" s="75"/>
    </row>
  </sheetData>
  <mergeCells count="1">
    <mergeCell ref="F13:H17"/>
  </mergeCells>
  <conditionalFormatting sqref="F21:J22 K22">
    <cfRule type="cellIs" priority="1" dxfId="0" operator="equal" stopIfTrue="1">
      <formula>""</formula>
    </cfRule>
  </conditionalFormatting>
  <printOptions/>
  <pageMargins left="0.7" right="0.7" top="0.75" bottom="0.75" header="0.3" footer="0.3"/>
  <pageSetup fitToHeight="1" fitToWidth="1" horizontalDpi="600" verticalDpi="600" orientation="landscape" scale="72" r:id="rId1"/>
  <headerFooter alignWithMargins="0">
    <oddHeader>&amp;C&amp;"Times New Roman,Regular"&amp;12Table 4.1
Demand Rates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2F17692829E44881E139238C93A885" ma:contentTypeVersion="0" ma:contentTypeDescription="Create a new document." ma:contentTypeScope="" ma:versionID="769ad67bd600ef949d1046d0c817f45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F05406-40FE-4F37-8741-81D3948C4A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7F3BC8-E96B-40C4-97EF-823C99D9BB2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FEDFD5-005B-499C-87D1-9ED33DA4E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</dc:creator>
  <cp:keywords/>
  <dc:description/>
  <cp:lastModifiedBy>Bonneville Power Administration</cp:lastModifiedBy>
  <cp:lastPrinted>2021-07-01T23:16:49Z</cp:lastPrinted>
  <dcterms:created xsi:type="dcterms:W3CDTF">2010-02-17T03:48:35Z</dcterms:created>
  <dcterms:modified xsi:type="dcterms:W3CDTF">2022-07-27T22:17:07Z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 Type">
    <vt:lpwstr>WorkInProgress</vt:lpwstr>
  </property>
  <property fmtid="{D5CDD505-2E9C-101B-9397-08002B2CF9AE}" pid="3" name="ContentType">
    <vt:lpwstr>Excel WorkBook</vt:lpwstr>
  </property>
  <property fmtid="{D5CDD505-2E9C-101B-9397-08002B2CF9AE}" pid="4" name="Purpose">
    <vt:lpwstr>Workshop BP-14</vt:lpwstr>
  </property>
  <property fmtid="{D5CDD505-2E9C-101B-9397-08002B2CF9AE}" pid="5" name="ContentTypeId">
    <vt:lpwstr>0x0101008B2F17692829E44881E139238C93A885</vt:lpwstr>
  </property>
</Properties>
</file>