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2.xml" ContentType="application/vnd.openxmlformats-officedocument.drawingml.chart+xml"/>
  <Override PartName="/xl/drawings/drawing1.xml" ContentType="application/vnd.openxmlformats-officedocument.drawing+xml"/>
  <Override PartName="/xl/charts/chart1.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comments11.xml" ContentType="application/vnd.openxmlformats-officedocument.spreadsheetml.comments+xml"/>
  <Override PartName="/xl/comments1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omments12.xml" ContentType="application/vnd.openxmlformats-officedocument.spreadsheetml.comments+xml"/>
  <Override PartName="/xl/comments16.xml" ContentType="application/vnd.openxmlformats-officedocument.spreadsheetml.comments+xml"/>
  <Override PartName="/xl/comments17.xml" ContentType="application/vnd.openxmlformats-officedocument.spreadsheetml.comments+xml"/>
  <Override PartName="/xl/comments18.xml" ContentType="application/vnd.openxmlformats-officedocument.spreadsheetml.comments+xml"/>
  <Override PartName="/xl/comments19.xml" ContentType="application/vnd.openxmlformats-officedocument.spreadsheetml.comments+xml"/>
  <Override PartName="/xl/comments20.xml" ContentType="application/vnd.openxmlformats-officedocument.spreadsheetml.comments+xml"/>
  <Override PartName="/xl/comments21.xml" ContentType="application/vnd.openxmlformats-officedocument.spreadsheetml.comments+xml"/>
  <Override PartName="/xl/comments13.xml" ContentType="application/vnd.openxmlformats-officedocument.spreadsheetml.comments+xml"/>
  <Override PartName="/xl/comments14.xml" ContentType="application/vnd.openxmlformats-officedocument.spreadsheetml.comment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defaultThemeVersion="124226"/>
  <mc:AlternateContent xmlns:mc="http://schemas.openxmlformats.org/markup-compatibility/2006">
    <mc:Choice Requires="x15">
      <x15ac:absPath xmlns:x15ac="http://schemas.microsoft.com/office/spreadsheetml/2010/11/ac" url="W:\KGS\Revenue Requirements\Rate Case\BP-26\Initial Proposal\model for posting\"/>
    </mc:Choice>
  </mc:AlternateContent>
  <xr:revisionPtr revIDLastSave="0" documentId="14_{E389B258-6251-46C5-8F17-A2953B18B019}" xr6:coauthVersionLast="47" xr6:coauthVersionMax="47" xr10:uidLastSave="{00000000-0000-0000-0000-000000000000}"/>
  <bookViews>
    <workbookView xWindow="28680" yWindow="-120" windowWidth="29040" windowHeight="15720" tabRatio="917" firstSheet="3" activeTab="3" xr2:uid="{00000000-000D-0000-FFFF-FFFF00000000}"/>
  </bookViews>
  <sheets>
    <sheet name="Long-Term Debt Mng RR" sheetId="2" state="hidden" r:id="rId1"/>
    <sheet name="Crosswalk" sheetId="3" state="hidden" r:id="rId2"/>
    <sheet name="Rates Crosswalk" sheetId="5" state="hidden" r:id="rId3"/>
    <sheet name="Revenue Requirement" sheetId="6" r:id="rId4"/>
    <sheet name="AFUDC" sheetId="11" state="hidden" r:id="rId5"/>
    <sheet name="Leverage" sheetId="42" r:id="rId6"/>
    <sheet name="Capital Input File" sheetId="9" state="hidden" r:id="rId7"/>
    <sheet name="Repayment Inputs" sheetId="10" r:id="rId8"/>
    <sheet name="GI Forecast(Tbls 4 &amp; 9)" sheetId="39" r:id="rId9"/>
    <sheet name="Interest Income" sheetId="12" r:id="rId10"/>
    <sheet name="18 Seg Dev" sheetId="37" state="hidden" r:id="rId11"/>
    <sheet name="20 Seg Dev" sheetId="38" state="hidden" r:id="rId12"/>
    <sheet name="21 Seg Dev" sheetId="17" state="hidden" r:id="rId13"/>
    <sheet name="Expense Input File" sheetId="8" r:id="rId14"/>
    <sheet name="Ancillary Services" sheetId="13" r:id="rId15"/>
    <sheet name="Segmented Rev Req." sheetId="7" r:id="rId16"/>
    <sheet name="24 Seg Dev" sheetId="18" state="hidden" r:id="rId17"/>
    <sheet name="25 Seg Dev" sheetId="19" state="hidden" r:id="rId18"/>
    <sheet name="26 Seg Dev" sheetId="20" r:id="rId19"/>
    <sheet name="27 Seg Dev" sheetId="21" r:id="rId20"/>
    <sheet name="28 Seg Dev" sheetId="22" r:id="rId21"/>
    <sheet name="29 Seg Dev" sheetId="23" state="hidden" r:id="rId22"/>
    <sheet name="30 Seg Dev" sheetId="24" state="hidden" r:id="rId23"/>
    <sheet name="31 Seg Dev" sheetId="25" state="hidden" r:id="rId24"/>
    <sheet name="32 Seg Dev" sheetId="26" state="hidden" r:id="rId25"/>
    <sheet name="33 Seg Dev" sheetId="27" state="hidden" r:id="rId26"/>
    <sheet name="34 Seg Dev" sheetId="28" state="hidden" r:id="rId27"/>
    <sheet name="Segmented Rev Req.Roll In" sheetId="43" r:id="rId28"/>
    <sheet name="26 Seg Dev rollin" sheetId="44" r:id="rId29"/>
    <sheet name="27 Seg Dev rollin" sheetId="45" r:id="rId30"/>
    <sheet name="28 Seg Dev rollin" sheetId="53" r:id="rId31"/>
    <sheet name="xx Seg Dev" sheetId="29" state="hidden" r:id="rId32"/>
    <sheet name="xy Seg Dev" sheetId="34" state="hidden" r:id="rId33"/>
    <sheet name="Graphs" sheetId="4" state="hidden" r:id="rId34"/>
  </sheets>
  <definedNames>
    <definedName name="_AtRisk_SimSetting_AutomaticallyGenerateReports" hidden="1">FALSE</definedName>
    <definedName name="_AtRisk_SimSetting_AutomaticResultsDisplayMode" hidden="1">2</definedName>
    <definedName name="_AtRisk_SimSetting_ConvergenceConfidenceLevel" hidden="1">0.95</definedName>
    <definedName name="_AtRisk_SimSetting_ConvergencePercentileToTest" hidden="1">0.9</definedName>
    <definedName name="_AtRisk_SimSetting_ConvergencePerformMeanTest" hidden="1">TRUE</definedName>
    <definedName name="_AtRisk_SimSetting_ConvergencePerformPercentileTest" hidden="1">FALSE</definedName>
    <definedName name="_AtRisk_SimSetting_ConvergencePerformStdDeviationTest" hidden="1">FALSE</definedName>
    <definedName name="_AtRisk_SimSetting_ConvergenceTestAllOutputs" hidden="1">TRUE</definedName>
    <definedName name="_AtRisk_SimSetting_ConvergenceTestingPeriod" hidden="1">100</definedName>
    <definedName name="_AtRisk_SimSetting_ConvergenceTolerance" hidden="1">0.03</definedName>
    <definedName name="_AtRisk_SimSetting_LiveUpdate" hidden="1">FALSE</definedName>
    <definedName name="_AtRisk_SimSetting_LiveUpdatePeriod" hidden="1">-1</definedName>
    <definedName name="_AtRisk_SimSetting_RandomNumberGenerator" hidden="1">0</definedName>
    <definedName name="_AtRisk_SimSetting_ReportsList" hidden="1">0</definedName>
    <definedName name="_AtRisk_SimSetting_SimNameCount" hidden="1">0</definedName>
    <definedName name="_AtRisk_SimSetting_SmartSensitivityAnalysisEnabled" hidden="1">FALSE</definedName>
    <definedName name="_AtRisk_SimSetting_StatisticFunctionUpdating" hidden="1">1</definedName>
    <definedName name="_AtRisk_SimSetting_StdRecalcBehavior" hidden="1">1</definedName>
    <definedName name="_AtRisk_SimSetting_StdRecalcWithoutRiskStatic" hidden="1">0</definedName>
    <definedName name="_AtRisk_SimSetting_StdRecalcWithoutRiskStaticPercentile" hidden="1">0.5</definedName>
    <definedName name="_xlnm._FilterDatabase" localSheetId="7" hidden="1">'Repayment Inputs'!$D$14:$J$21</definedName>
    <definedName name="_xlnm._FilterDatabase" localSheetId="3" hidden="1">'Revenue Requirement'!$A$1:$B$74</definedName>
    <definedName name="_xlnm.Print_Area" localSheetId="1">Crosswalk!$A$1:$V$29,Crosswalk!$A$32:$T$66</definedName>
    <definedName name="_xlnm.Print_Area" localSheetId="13">'Expense Input File'!$A$1:$L$92</definedName>
    <definedName name="RiskAfterRecalcMacro" hidden="1">""</definedName>
    <definedName name="RiskAfterSimMacro" hidden="1">""</definedName>
    <definedName name="RiskBeforeRecalcMacro" hidden="1">""</definedName>
    <definedName name="RiskBeforeSimMacro" hidden="1">""</definedName>
    <definedName name="RiskCollectDistributionSamples" hidden="1">0</definedName>
    <definedName name="RiskFixedSeed" hidden="1">1</definedName>
    <definedName name="RiskHasSettings" hidden="1">6</definedName>
    <definedName name="RiskMinimizeOnStart" hidden="1">FALSE</definedName>
    <definedName name="RiskMonitorConvergence" hidden="1">FALSE</definedName>
    <definedName name="RiskMultipleCPUSupportEnabled" hidden="1">TRUE</definedName>
    <definedName name="RiskNumIterations" hidden="1">1000</definedName>
    <definedName name="RiskNumSimulations" hidden="1">1</definedName>
    <definedName name="RiskPauseOnError" hidden="1">FALSE</definedName>
    <definedName name="RiskRunAfterRecalcMacro" hidden="1">FALSE</definedName>
    <definedName name="RiskRunAfterSimMacro" hidden="1">FALSE</definedName>
    <definedName name="RiskRunBeforeRecalcMacro" hidden="1">FALSE</definedName>
    <definedName name="RiskRunBeforeSimMacro" hidden="1">FALSE</definedName>
    <definedName name="RiskSamplingType" hidden="1">3</definedName>
    <definedName name="RiskStandardRecalc" hidden="1">2</definedName>
    <definedName name="RiskUpdateDisplay" hidden="1">FALSE</definedName>
    <definedName name="RiskUseDifferentSeedForEachSim" hidden="1">FALSE</definedName>
    <definedName name="RiskUseFixedSeed" hidden="1">TRUE</definedName>
    <definedName name="RiskUseMultipleCPUs" hidden="1">TRUE</definedName>
    <definedName name="Z_2226E858_00AE_4A92_8CF6_5B54D2FA62D4_.wvu.PrintArea" localSheetId="1" hidden="1">Crosswalk!$A$1:$V$29,Crosswalk!$A$32:$T$66</definedName>
    <definedName name="Z_2226E858_00AE_4A92_8CF6_5B54D2FA62D4_.wvu.PrintArea" localSheetId="13" hidden="1">'Expense Input File'!$A$1:$L$92</definedName>
    <definedName name="Z_2226E858_00AE_4A92_8CF6_5B54D2FA62D4_.wvu.Rows" localSheetId="1" hidden="1">Crosswalk!$22:$24</definedName>
  </definedNames>
  <calcPr calcId="191029"/>
  <customWorkbookViews>
    <customWorkbookView name="BPA User - Personal View" guid="{2226E858-00AE-4A92-8CF6-5B54D2FA62D4}" mergeInterval="0" personalView="1" xWindow="9" yWindow="348" windowWidth="1422" windowHeight="278" tabRatio="644" activeSheetId="8"/>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1" i="45" l="1"/>
  <c r="E21" i="44"/>
  <c r="L21" i="44" l="1"/>
  <c r="C2" i="12" l="1"/>
  <c r="B25" i="12"/>
  <c r="B10" i="12" s="1"/>
  <c r="B16" i="12"/>
  <c r="E26" i="42" l="1"/>
  <c r="E29" i="42"/>
  <c r="C14" i="42" l="1"/>
  <c r="C21" i="42"/>
  <c r="J71" i="53" l="1"/>
  <c r="H71" i="53"/>
  <c r="G71" i="53"/>
  <c r="F71" i="53"/>
  <c r="E71" i="53"/>
  <c r="K69" i="53"/>
  <c r="J69" i="53"/>
  <c r="H69" i="53"/>
  <c r="G69" i="53"/>
  <c r="E69" i="53"/>
  <c r="J65" i="53"/>
  <c r="H65" i="53"/>
  <c r="G65" i="53"/>
  <c r="F65" i="53"/>
  <c r="E65" i="53"/>
  <c r="J64" i="53"/>
  <c r="H64" i="53"/>
  <c r="G64" i="53"/>
  <c r="F64" i="53"/>
  <c r="E64" i="53"/>
  <c r="K63" i="53"/>
  <c r="K62" i="53"/>
  <c r="J62" i="53"/>
  <c r="H62" i="53"/>
  <c r="E62" i="53"/>
  <c r="K61" i="53"/>
  <c r="J61" i="53"/>
  <c r="H61" i="53"/>
  <c r="G61" i="53"/>
  <c r="E61" i="53"/>
  <c r="K60" i="53"/>
  <c r="J60" i="53"/>
  <c r="H60" i="53"/>
  <c r="F60" i="53"/>
  <c r="E60" i="53"/>
  <c r="K59" i="53"/>
  <c r="J59" i="53"/>
  <c r="H59" i="53"/>
  <c r="G59" i="53"/>
  <c r="E59" i="53"/>
  <c r="J48" i="53"/>
  <c r="H48" i="53"/>
  <c r="G48" i="53"/>
  <c r="F48" i="53"/>
  <c r="E48" i="53"/>
  <c r="K47" i="53"/>
  <c r="K46" i="53"/>
  <c r="K45" i="53"/>
  <c r="K44" i="53"/>
  <c r="J44" i="53"/>
  <c r="H44" i="53"/>
  <c r="G44" i="53"/>
  <c r="F44" i="53"/>
  <c r="E44" i="53"/>
  <c r="K43" i="53"/>
  <c r="J43" i="53"/>
  <c r="H43" i="53"/>
  <c r="G43" i="53"/>
  <c r="F43" i="53"/>
  <c r="E43" i="53"/>
  <c r="K42" i="53"/>
  <c r="J42" i="53"/>
  <c r="H42" i="53"/>
  <c r="G42" i="53"/>
  <c r="F42" i="53"/>
  <c r="E42" i="53"/>
  <c r="J41" i="53"/>
  <c r="H41" i="53"/>
  <c r="G41" i="53"/>
  <c r="E41" i="53"/>
  <c r="K40" i="53"/>
  <c r="J40" i="53"/>
  <c r="H40" i="53"/>
  <c r="G40" i="53"/>
  <c r="F40" i="53"/>
  <c r="E40" i="53"/>
  <c r="K39" i="53"/>
  <c r="J39" i="53"/>
  <c r="H39" i="53"/>
  <c r="G39" i="53"/>
  <c r="F39" i="53"/>
  <c r="E39" i="53"/>
  <c r="K38" i="53"/>
  <c r="K37" i="53"/>
  <c r="K26" i="53"/>
  <c r="J26" i="53"/>
  <c r="H26" i="53"/>
  <c r="G26" i="53"/>
  <c r="E26" i="53"/>
  <c r="K25" i="53"/>
  <c r="J25" i="53"/>
  <c r="H25" i="53"/>
  <c r="G25" i="53"/>
  <c r="E25" i="53"/>
  <c r="K24" i="53"/>
  <c r="J24" i="53"/>
  <c r="H24" i="53"/>
  <c r="G24" i="53"/>
  <c r="E24" i="53"/>
  <c r="K23" i="53"/>
  <c r="J23" i="53"/>
  <c r="H23" i="53"/>
  <c r="G23" i="53"/>
  <c r="E23" i="53"/>
  <c r="K19" i="53"/>
  <c r="J19" i="53"/>
  <c r="H19" i="53"/>
  <c r="G19" i="53"/>
  <c r="E19" i="53"/>
  <c r="K18" i="53"/>
  <c r="J18" i="53"/>
  <c r="H18" i="53"/>
  <c r="G18" i="53"/>
  <c r="E18" i="53"/>
  <c r="K17" i="53"/>
  <c r="J17" i="53"/>
  <c r="H17" i="53"/>
  <c r="G17" i="53"/>
  <c r="E17" i="53"/>
  <c r="K16" i="53"/>
  <c r="J16" i="53"/>
  <c r="H16" i="53"/>
  <c r="G16" i="53"/>
  <c r="F16" i="53"/>
  <c r="E16" i="53"/>
  <c r="J71" i="45"/>
  <c r="H71" i="45"/>
  <c r="G71" i="45"/>
  <c r="F71" i="45"/>
  <c r="E71" i="45"/>
  <c r="K69" i="45"/>
  <c r="J69" i="45"/>
  <c r="H69" i="45"/>
  <c r="G69" i="45"/>
  <c r="E69" i="45"/>
  <c r="J65" i="45"/>
  <c r="H65" i="45"/>
  <c r="G65" i="45"/>
  <c r="F65" i="45"/>
  <c r="E65" i="45"/>
  <c r="J64" i="45"/>
  <c r="H64" i="45"/>
  <c r="G64" i="45"/>
  <c r="F64" i="45"/>
  <c r="E64" i="45"/>
  <c r="K63" i="45"/>
  <c r="K62" i="45"/>
  <c r="J62" i="45"/>
  <c r="H62" i="45"/>
  <c r="E62" i="45"/>
  <c r="K61" i="45"/>
  <c r="J61" i="45"/>
  <c r="H61" i="45"/>
  <c r="G61" i="45"/>
  <c r="E61" i="45"/>
  <c r="K60" i="45"/>
  <c r="J60" i="45"/>
  <c r="H60" i="45"/>
  <c r="F60" i="45"/>
  <c r="E60" i="45"/>
  <c r="K59" i="45"/>
  <c r="J59" i="45"/>
  <c r="H59" i="45"/>
  <c r="G59" i="45"/>
  <c r="E59" i="45"/>
  <c r="J48" i="45"/>
  <c r="H48" i="45"/>
  <c r="G48" i="45"/>
  <c r="F48" i="45"/>
  <c r="E48" i="45"/>
  <c r="K47" i="45"/>
  <c r="K46" i="45"/>
  <c r="K45" i="45"/>
  <c r="K44" i="45"/>
  <c r="J44" i="45"/>
  <c r="H44" i="45"/>
  <c r="G44" i="45"/>
  <c r="F44" i="45"/>
  <c r="E44" i="45"/>
  <c r="K43" i="45"/>
  <c r="J43" i="45"/>
  <c r="H43" i="45"/>
  <c r="G43" i="45"/>
  <c r="F43" i="45"/>
  <c r="E43" i="45"/>
  <c r="K42" i="45"/>
  <c r="J42" i="45"/>
  <c r="H42" i="45"/>
  <c r="G42" i="45"/>
  <c r="F42" i="45"/>
  <c r="E42" i="45"/>
  <c r="J41" i="45"/>
  <c r="H41" i="45"/>
  <c r="G41" i="45"/>
  <c r="E41" i="45"/>
  <c r="K40" i="45"/>
  <c r="J40" i="45"/>
  <c r="H40" i="45"/>
  <c r="G40" i="45"/>
  <c r="F40" i="45"/>
  <c r="E40" i="45"/>
  <c r="K39" i="45"/>
  <c r="J39" i="45"/>
  <c r="H39" i="45"/>
  <c r="G39" i="45"/>
  <c r="F39" i="45"/>
  <c r="E39" i="45"/>
  <c r="K38" i="45"/>
  <c r="K37" i="45"/>
  <c r="K26" i="45"/>
  <c r="J26" i="45"/>
  <c r="H26" i="45"/>
  <c r="G26" i="45"/>
  <c r="E26" i="45"/>
  <c r="K25" i="45"/>
  <c r="J25" i="45"/>
  <c r="H25" i="45"/>
  <c r="G25" i="45"/>
  <c r="E25" i="45"/>
  <c r="K24" i="45"/>
  <c r="J24" i="45"/>
  <c r="H24" i="45"/>
  <c r="G24" i="45"/>
  <c r="E24" i="45"/>
  <c r="K23" i="45"/>
  <c r="J23" i="45"/>
  <c r="H23" i="45"/>
  <c r="G23" i="45"/>
  <c r="E23" i="45"/>
  <c r="K19" i="45"/>
  <c r="J19" i="45"/>
  <c r="H19" i="45"/>
  <c r="G19" i="45"/>
  <c r="E19" i="45"/>
  <c r="K18" i="45"/>
  <c r="J18" i="45"/>
  <c r="H18" i="45"/>
  <c r="G18" i="45"/>
  <c r="E18" i="45"/>
  <c r="K17" i="45"/>
  <c r="J17" i="45"/>
  <c r="H17" i="45"/>
  <c r="G17" i="45"/>
  <c r="E17" i="45"/>
  <c r="M16" i="45"/>
  <c r="M22" i="45"/>
  <c r="M23" i="45"/>
  <c r="M24" i="45"/>
  <c r="M25" i="45"/>
  <c r="M29" i="45"/>
  <c r="M34" i="45"/>
  <c r="M35" i="45"/>
  <c r="M36" i="45"/>
  <c r="M40" i="45"/>
  <c r="M43" i="45"/>
  <c r="M50" i="45"/>
  <c r="M57" i="45"/>
  <c r="M58" i="45"/>
  <c r="M67" i="45"/>
  <c r="M74" i="45"/>
  <c r="M16" i="53"/>
  <c r="M22" i="53"/>
  <c r="M23" i="53"/>
  <c r="M24" i="53"/>
  <c r="M25" i="53"/>
  <c r="M29" i="53"/>
  <c r="M34" i="53"/>
  <c r="M35" i="53"/>
  <c r="M36" i="53"/>
  <c r="M40" i="53"/>
  <c r="M43" i="53"/>
  <c r="M50" i="53"/>
  <c r="M57" i="53"/>
  <c r="M58" i="53"/>
  <c r="M67" i="53"/>
  <c r="M74" i="53"/>
  <c r="K72" i="8" l="1"/>
  <c r="L72" i="8" s="1"/>
  <c r="K75" i="45" l="1"/>
  <c r="J75" i="45"/>
  <c r="E75" i="45"/>
  <c r="J71" i="44"/>
  <c r="H71" i="44"/>
  <c r="G71" i="44"/>
  <c r="F71" i="44"/>
  <c r="E71" i="44"/>
  <c r="K69" i="44"/>
  <c r="J69" i="44"/>
  <c r="H69" i="44"/>
  <c r="G69" i="44"/>
  <c r="E69" i="44"/>
  <c r="J65" i="44"/>
  <c r="H65" i="44"/>
  <c r="G65" i="44"/>
  <c r="F65" i="44"/>
  <c r="E65" i="44"/>
  <c r="J64" i="44"/>
  <c r="H64" i="44"/>
  <c r="G64" i="44"/>
  <c r="F64" i="44"/>
  <c r="E64" i="44"/>
  <c r="K63" i="44"/>
  <c r="K62" i="44"/>
  <c r="J62" i="44"/>
  <c r="H62" i="44"/>
  <c r="E62" i="44"/>
  <c r="K61" i="44"/>
  <c r="J61" i="44"/>
  <c r="H61" i="44"/>
  <c r="G61" i="44"/>
  <c r="E61" i="44"/>
  <c r="K60" i="44"/>
  <c r="J60" i="44"/>
  <c r="H60" i="44"/>
  <c r="F60" i="44"/>
  <c r="E60" i="44"/>
  <c r="K59" i="44"/>
  <c r="J59" i="44"/>
  <c r="H59" i="44"/>
  <c r="G59" i="44"/>
  <c r="E59" i="44"/>
  <c r="L22" i="44"/>
  <c r="L29" i="44"/>
  <c r="L34" i="44"/>
  <c r="L35" i="44"/>
  <c r="L36" i="44"/>
  <c r="L40" i="44"/>
  <c r="L50" i="44"/>
  <c r="L34" i="45"/>
  <c r="L35" i="45"/>
  <c r="L36" i="45"/>
  <c r="L40" i="45"/>
  <c r="L43" i="45"/>
  <c r="L16" i="45"/>
  <c r="I49" i="53"/>
  <c r="A12" i="53"/>
  <c r="K47" i="44"/>
  <c r="K46" i="44"/>
  <c r="K45" i="44"/>
  <c r="I56" i="53" l="1"/>
  <c r="D16" i="44"/>
  <c r="L16" i="44" s="1"/>
  <c r="J77" i="8" l="1"/>
  <c r="J73" i="8"/>
  <c r="F44" i="10"/>
  <c r="K41" i="20" l="1"/>
  <c r="I49" i="45"/>
  <c r="I12" i="10"/>
  <c r="F12" i="10"/>
  <c r="J12" i="10"/>
  <c r="G12" i="10"/>
  <c r="H12" i="10"/>
  <c r="D41" i="27"/>
  <c r="A12" i="45" l="1"/>
  <c r="M16" i="44"/>
  <c r="M22" i="44"/>
  <c r="M23" i="44"/>
  <c r="M24" i="44"/>
  <c r="M25" i="44"/>
  <c r="M29" i="44"/>
  <c r="M34" i="44"/>
  <c r="M35" i="44"/>
  <c r="M36" i="44"/>
  <c r="M40" i="44"/>
  <c r="M43" i="44"/>
  <c r="M50" i="44"/>
  <c r="M57" i="44"/>
  <c r="M58" i="44"/>
  <c r="M67" i="44"/>
  <c r="M74" i="44"/>
  <c r="A12" i="44"/>
  <c r="A33" i="43"/>
  <c r="A26" i="43"/>
  <c r="A24" i="43"/>
  <c r="A32" i="43" s="1"/>
  <c r="A23" i="43"/>
  <c r="A22" i="43"/>
  <c r="A21" i="43"/>
  <c r="A20" i="43"/>
  <c r="A28" i="43" s="1"/>
  <c r="A19" i="43"/>
  <c r="J16" i="43"/>
  <c r="B10" i="43"/>
  <c r="G46" i="6"/>
  <c r="G50" i="6"/>
  <c r="I50" i="6"/>
  <c r="I46" i="6"/>
  <c r="F24" i="10"/>
  <c r="H46" i="6" l="1"/>
  <c r="I56" i="45"/>
  <c r="H50" i="6"/>
  <c r="B18" i="43"/>
  <c r="A31" i="43"/>
  <c r="A29" i="43"/>
  <c r="A27" i="43"/>
  <c r="A30" i="43"/>
  <c r="B26" i="43" l="1"/>
  <c r="J24" i="43" l="1"/>
  <c r="D15" i="42"/>
  <c r="J32" i="43" l="1"/>
  <c r="I33" i="44" l="1"/>
  <c r="K41" i="44" l="1"/>
  <c r="K74" i="8" l="1"/>
  <c r="L74" i="8" l="1"/>
  <c r="A12" i="20"/>
  <c r="K14" i="44" l="1"/>
  <c r="J14" i="44"/>
  <c r="H14" i="44"/>
  <c r="G14" i="44"/>
  <c r="E14" i="44"/>
  <c r="F30" i="44" l="1"/>
  <c r="D30" i="44" s="1"/>
  <c r="L30" i="44" s="1"/>
  <c r="F14" i="44"/>
  <c r="D32" i="44"/>
  <c r="M32" i="44" s="1"/>
  <c r="J37" i="45" l="1"/>
  <c r="J37" i="53"/>
  <c r="E38" i="45"/>
  <c r="E38" i="53"/>
  <c r="H37" i="45"/>
  <c r="F38" i="45"/>
  <c r="J38" i="45"/>
  <c r="H37" i="53"/>
  <c r="F38" i="53"/>
  <c r="J38" i="53"/>
  <c r="F37" i="45"/>
  <c r="H38" i="45"/>
  <c r="F37" i="53"/>
  <c r="H38" i="53"/>
  <c r="G37" i="45"/>
  <c r="G37" i="53"/>
  <c r="E37" i="45"/>
  <c r="G38" i="45"/>
  <c r="E37" i="53"/>
  <c r="G38" i="53"/>
  <c r="F37" i="44"/>
  <c r="F38" i="44"/>
  <c r="D37" i="53" l="1"/>
  <c r="D38" i="45"/>
  <c r="L38" i="45" s="1"/>
  <c r="D37" i="45"/>
  <c r="L37" i="45" s="1"/>
  <c r="I66" i="45"/>
  <c r="D38" i="53"/>
  <c r="K41" i="27"/>
  <c r="K41" i="26"/>
  <c r="K41" i="23"/>
  <c r="K41" i="21"/>
  <c r="K41" i="25"/>
  <c r="K41" i="28"/>
  <c r="K41" i="24"/>
  <c r="K41" i="22"/>
  <c r="D39" i="45" l="1"/>
  <c r="K41" i="53"/>
  <c r="K41" i="45"/>
  <c r="I66" i="53"/>
  <c r="D39" i="53"/>
  <c r="D26" i="10" l="1"/>
  <c r="D25" i="10"/>
  <c r="E26" i="10" l="1"/>
  <c r="E25" i="10"/>
  <c r="C5" i="19" l="1"/>
  <c r="C5" i="23"/>
  <c r="C5" i="24"/>
  <c r="C5" i="25"/>
  <c r="C5" i="26"/>
  <c r="C5" i="27"/>
  <c r="C5" i="28"/>
  <c r="C5" i="18"/>
  <c r="B6" i="9"/>
  <c r="B5" i="42"/>
  <c r="D23" i="42" l="1"/>
  <c r="E23" i="42" l="1"/>
  <c r="F23" i="42" l="1"/>
  <c r="G23" i="42" l="1"/>
  <c r="H23" i="42" l="1"/>
  <c r="D13" i="42"/>
  <c r="D16" i="42" s="1"/>
  <c r="I23" i="42" l="1"/>
  <c r="J23" i="42" s="1"/>
  <c r="E13" i="42"/>
  <c r="E16" i="42" s="1"/>
  <c r="B10" i="42"/>
  <c r="K23" i="42" l="1"/>
  <c r="F13" i="42"/>
  <c r="F16" i="42" s="1"/>
  <c r="G13" i="42" l="1"/>
  <c r="G16" i="42" s="1"/>
  <c r="L23" i="42"/>
  <c r="M23" i="42" l="1"/>
  <c r="H13" i="42"/>
  <c r="I13" i="42" l="1"/>
  <c r="N23" i="42"/>
  <c r="O23" i="11"/>
  <c r="P23" i="11" s="1"/>
  <c r="Q23" i="11" s="1"/>
  <c r="R23" i="11" s="1"/>
  <c r="O23" i="42" l="1"/>
  <c r="J13" i="42"/>
  <c r="K13" i="42" l="1"/>
  <c r="P23" i="42"/>
  <c r="Q23" i="42" l="1"/>
  <c r="L13" i="42"/>
  <c r="M13" i="42" l="1"/>
  <c r="R23" i="42"/>
  <c r="S23" i="42" l="1"/>
  <c r="N13" i="42"/>
  <c r="O13" i="42" l="1"/>
  <c r="N12" i="42"/>
  <c r="P13" i="42" l="1"/>
  <c r="O12" i="42"/>
  <c r="Q13" i="42" l="1"/>
  <c r="P12" i="42"/>
  <c r="I98" i="8"/>
  <c r="R13" i="42" l="1"/>
  <c r="Q12" i="42"/>
  <c r="G25" i="8"/>
  <c r="F25" i="8"/>
  <c r="H92" i="8"/>
  <c r="S13" i="42" l="1"/>
  <c r="R12" i="42"/>
  <c r="C16" i="12" l="1"/>
  <c r="C15" i="12"/>
  <c r="S12" i="42"/>
  <c r="B18" i="12"/>
  <c r="E31" i="6"/>
  <c r="C18" i="12" l="1"/>
  <c r="D15" i="12"/>
  <c r="D16" i="12"/>
  <c r="D18" i="12" l="1"/>
  <c r="M20" i="11"/>
  <c r="N19" i="11" s="1"/>
  <c r="C22" i="9" l="1"/>
  <c r="C48" i="9" l="1"/>
  <c r="C45" i="9"/>
  <c r="C34" i="9" l="1"/>
  <c r="C28" i="9" l="1"/>
  <c r="C40" i="9" l="1"/>
  <c r="C26" i="9"/>
  <c r="C50" i="9" l="1"/>
  <c r="N27" i="11" s="1"/>
  <c r="N28" i="11" s="1"/>
  <c r="C37" i="9" s="1"/>
  <c r="E47" i="6"/>
  <c r="F31" i="6"/>
  <c r="E48" i="6"/>
  <c r="F48" i="6"/>
  <c r="C37" i="6"/>
  <c r="E37" i="6"/>
  <c r="K78" i="8" l="1"/>
  <c r="L78" i="8"/>
  <c r="K79" i="8"/>
  <c r="L79" i="8"/>
  <c r="K75" i="8"/>
  <c r="L75" i="8"/>
  <c r="K76" i="8"/>
  <c r="L76" i="8"/>
  <c r="I79" i="8"/>
  <c r="I78" i="8"/>
  <c r="I76" i="8"/>
  <c r="I75" i="8"/>
  <c r="I74" i="8"/>
  <c r="L73" i="8" l="1"/>
  <c r="K73" i="8"/>
  <c r="L77" i="8"/>
  <c r="K77" i="8"/>
  <c r="R48" i="39"/>
  <c r="S43" i="39"/>
  <c r="S42" i="39"/>
  <c r="S41" i="39"/>
  <c r="S5" i="39"/>
  <c r="S4" i="39"/>
  <c r="S3" i="39"/>
  <c r="A12" i="18" l="1"/>
  <c r="D76" i="18"/>
  <c r="F5" i="18"/>
  <c r="F5" i="19"/>
  <c r="F5" i="23"/>
  <c r="F5" i="24" l="1"/>
  <c r="F5" i="25"/>
  <c r="F5" i="26"/>
  <c r="F5" i="27"/>
  <c r="E84" i="28" l="1"/>
  <c r="E12" i="10" l="1"/>
  <c r="D12" i="10"/>
  <c r="B60" i="9" l="1"/>
  <c r="B59" i="9"/>
  <c r="D17" i="9"/>
  <c r="D76" i="9" l="1"/>
  <c r="D28" i="9"/>
  <c r="D48" i="9"/>
  <c r="F12" i="9"/>
  <c r="E17" i="9"/>
  <c r="G12" i="9" l="1"/>
  <c r="H12" i="9" s="1"/>
  <c r="I12" i="9" s="1"/>
  <c r="J12" i="9" s="1"/>
  <c r="K12" i="9" s="1"/>
  <c r="L12" i="9" s="1"/>
  <c r="M12" i="9" s="1"/>
  <c r="N12" i="9" s="1"/>
  <c r="O12" i="9" s="1"/>
  <c r="P12" i="9" s="1"/>
  <c r="Q12" i="9" s="1"/>
  <c r="R12" i="9" s="1"/>
  <c r="S12" i="9" s="1"/>
  <c r="T12" i="9" s="1"/>
  <c r="U12" i="9" s="1"/>
  <c r="V12" i="9" s="1"/>
  <c r="W12" i="9" s="1"/>
  <c r="X12" i="9" s="1"/>
  <c r="Y12" i="9" s="1"/>
  <c r="Z12" i="9" s="1"/>
  <c r="AA12" i="9" s="1"/>
  <c r="AB12" i="9" s="1"/>
  <c r="AC12" i="9" s="1"/>
  <c r="AD12" i="9" s="1"/>
  <c r="AE12" i="9" s="1"/>
  <c r="D26" i="9"/>
  <c r="D80" i="9"/>
  <c r="D53" i="9"/>
  <c r="D65" i="9"/>
  <c r="D60" i="9"/>
  <c r="D59" i="9"/>
  <c r="D45" i="9"/>
  <c r="E76" i="9"/>
  <c r="D84" i="9"/>
  <c r="D78" i="9"/>
  <c r="D61" i="9"/>
  <c r="D56" i="9"/>
  <c r="D55" i="9"/>
  <c r="D40" i="9"/>
  <c r="E48" i="9"/>
  <c r="E28" i="9"/>
  <c r="E40" i="9" s="1"/>
  <c r="F40" i="9" s="1"/>
  <c r="G40" i="9" s="1"/>
  <c r="H40" i="9" s="1"/>
  <c r="I40" i="9" s="1"/>
  <c r="J40" i="9" s="1"/>
  <c r="K40" i="9" s="1"/>
  <c r="L40" i="9" s="1"/>
  <c r="M40" i="9" s="1"/>
  <c r="N40" i="9" s="1"/>
  <c r="O40" i="9" s="1"/>
  <c r="P40" i="9" s="1"/>
  <c r="Q40" i="9" s="1"/>
  <c r="R40" i="9" s="1"/>
  <c r="S40" i="9" s="1"/>
  <c r="T40" i="9" s="1"/>
  <c r="U40" i="9" s="1"/>
  <c r="V40" i="9" s="1"/>
  <c r="W40" i="9" s="1"/>
  <c r="X40" i="9" s="1"/>
  <c r="Y40" i="9" s="1"/>
  <c r="Z40" i="9" s="1"/>
  <c r="AA40" i="9" s="1"/>
  <c r="AB40" i="9" s="1"/>
  <c r="AC40" i="9" s="1"/>
  <c r="AD40" i="9" s="1"/>
  <c r="AE40" i="9" s="1"/>
  <c r="F17" i="9"/>
  <c r="E42" i="6"/>
  <c r="E43" i="6"/>
  <c r="E53" i="9" l="1"/>
  <c r="D50" i="9"/>
  <c r="E80" i="9"/>
  <c r="E82" i="9" s="1"/>
  <c r="E56" i="9"/>
  <c r="E60" i="9"/>
  <c r="E55" i="9"/>
  <c r="E61" i="9"/>
  <c r="E59" i="9"/>
  <c r="E26" i="9"/>
  <c r="D81" i="9"/>
  <c r="D67" i="9" s="1"/>
  <c r="D82" i="9"/>
  <c r="D72" i="9"/>
  <c r="D71" i="9"/>
  <c r="E78" i="9"/>
  <c r="E71" i="9"/>
  <c r="E45" i="9"/>
  <c r="E50" i="9" s="1"/>
  <c r="E65" i="9"/>
  <c r="F48" i="9"/>
  <c r="F28" i="9"/>
  <c r="F76" i="9"/>
  <c r="G17" i="9"/>
  <c r="E81" i="9" l="1"/>
  <c r="E83" i="9" s="1"/>
  <c r="E84" i="9"/>
  <c r="F26" i="9"/>
  <c r="F53" i="9"/>
  <c r="F56" i="9"/>
  <c r="F55" i="9"/>
  <c r="F60" i="9"/>
  <c r="F61" i="9"/>
  <c r="F59" i="9"/>
  <c r="D83" i="9"/>
  <c r="D85" i="9" s="1"/>
  <c r="E72" i="9"/>
  <c r="E73" i="9" s="1"/>
  <c r="D73" i="9"/>
  <c r="F65" i="9"/>
  <c r="F78" i="9"/>
  <c r="F80" i="9"/>
  <c r="G48" i="9"/>
  <c r="F71" i="9"/>
  <c r="G76" i="9"/>
  <c r="G28" i="9"/>
  <c r="F45" i="9"/>
  <c r="F50" i="9" s="1"/>
  <c r="H17" i="9"/>
  <c r="E85" i="9" l="1"/>
  <c r="G26" i="9"/>
  <c r="G55" i="9"/>
  <c r="G61" i="9"/>
  <c r="G56" i="9"/>
  <c r="G60" i="9"/>
  <c r="G53" i="9"/>
  <c r="G59" i="9"/>
  <c r="F84" i="9"/>
  <c r="G65" i="9"/>
  <c r="G78" i="9"/>
  <c r="H48" i="9"/>
  <c r="G80" i="9"/>
  <c r="G84" i="9" s="1"/>
  <c r="F81" i="9"/>
  <c r="F67" i="9" s="1"/>
  <c r="F82" i="9"/>
  <c r="F68" i="9" s="1"/>
  <c r="F70" i="9" s="1"/>
  <c r="H28" i="9"/>
  <c r="G71" i="9"/>
  <c r="G45" i="9"/>
  <c r="G50" i="9" s="1"/>
  <c r="H76" i="9"/>
  <c r="I17" i="9"/>
  <c r="H61" i="9" l="1"/>
  <c r="H53" i="9"/>
  <c r="H55" i="9"/>
  <c r="H56" i="9"/>
  <c r="H60" i="9"/>
  <c r="H59" i="9"/>
  <c r="H26" i="9"/>
  <c r="H65" i="9"/>
  <c r="G82" i="9"/>
  <c r="G68" i="9" s="1"/>
  <c r="G70" i="9" s="1"/>
  <c r="G81" i="9"/>
  <c r="G67" i="9" s="1"/>
  <c r="F83" i="9"/>
  <c r="F85" i="9" s="1"/>
  <c r="H78" i="9"/>
  <c r="I48" i="9"/>
  <c r="H80" i="9"/>
  <c r="H84" i="9" s="1"/>
  <c r="H71" i="9"/>
  <c r="I28" i="9"/>
  <c r="I76" i="9"/>
  <c r="J17" i="9"/>
  <c r="H45" i="9"/>
  <c r="H50" i="9" s="1"/>
  <c r="I60" i="9" l="1"/>
  <c r="I61" i="9"/>
  <c r="I53" i="9"/>
  <c r="I55" i="9"/>
  <c r="I56" i="9"/>
  <c r="I59" i="9"/>
  <c r="H81" i="9"/>
  <c r="H67" i="9" s="1"/>
  <c r="G83" i="9"/>
  <c r="G85" i="9" s="1"/>
  <c r="H82" i="9"/>
  <c r="H68" i="9" s="1"/>
  <c r="H70" i="9" s="1"/>
  <c r="I78" i="9"/>
  <c r="J48" i="9"/>
  <c r="I80" i="9"/>
  <c r="I65" i="9"/>
  <c r="J28" i="9"/>
  <c r="I71" i="9"/>
  <c r="I45" i="9"/>
  <c r="I50" i="9" s="1"/>
  <c r="K17" i="9"/>
  <c r="J76" i="9"/>
  <c r="I26" i="9"/>
  <c r="F72" i="9"/>
  <c r="F73" i="9" s="1"/>
  <c r="F74" i="9" s="1"/>
  <c r="J26" i="9" l="1"/>
  <c r="J60" i="9"/>
  <c r="J61" i="9"/>
  <c r="J53" i="9"/>
  <c r="J55" i="9"/>
  <c r="J56" i="9"/>
  <c r="J59" i="9"/>
  <c r="J65" i="9"/>
  <c r="H83" i="9"/>
  <c r="H85" i="9" s="1"/>
  <c r="I82" i="9"/>
  <c r="I68" i="9" s="1"/>
  <c r="I70" i="9" s="1"/>
  <c r="I81" i="9"/>
  <c r="I67" i="9" s="1"/>
  <c r="I84" i="9"/>
  <c r="J78" i="9"/>
  <c r="J80" i="9"/>
  <c r="K48" i="9"/>
  <c r="J71" i="9"/>
  <c r="L17" i="9"/>
  <c r="K76" i="9"/>
  <c r="K28" i="9"/>
  <c r="J45" i="9"/>
  <c r="K26" i="9" l="1"/>
  <c r="K55" i="9"/>
  <c r="K60" i="9"/>
  <c r="K61" i="9"/>
  <c r="K53" i="9"/>
  <c r="K56" i="9"/>
  <c r="K59" i="9"/>
  <c r="G72" i="9"/>
  <c r="G73" i="9" s="1"/>
  <c r="G74" i="9" s="1"/>
  <c r="J50" i="9"/>
  <c r="J84" i="9"/>
  <c r="K65" i="9"/>
  <c r="J81" i="9"/>
  <c r="J67" i="9" s="1"/>
  <c r="J82" i="9"/>
  <c r="J68" i="9" s="1"/>
  <c r="J70" i="9" s="1"/>
  <c r="I83" i="9"/>
  <c r="I85" i="9" s="1"/>
  <c r="K78" i="9"/>
  <c r="K80" i="9"/>
  <c r="K84" i="9" s="1"/>
  <c r="L48" i="9"/>
  <c r="L28" i="9"/>
  <c r="M17" i="9"/>
  <c r="L76" i="9"/>
  <c r="K45" i="9"/>
  <c r="K71" i="9"/>
  <c r="L26" i="9" l="1"/>
  <c r="L56" i="9"/>
  <c r="L61" i="9"/>
  <c r="L53" i="9"/>
  <c r="L60" i="9"/>
  <c r="L55" i="9"/>
  <c r="L59" i="9"/>
  <c r="H72" i="9"/>
  <c r="H73" i="9" s="1"/>
  <c r="H74" i="9" s="1"/>
  <c r="K50" i="9"/>
  <c r="L65" i="9"/>
  <c r="K81" i="9"/>
  <c r="K67" i="9" s="1"/>
  <c r="K82" i="9"/>
  <c r="K68" i="9" s="1"/>
  <c r="K70" i="9" s="1"/>
  <c r="J83" i="9"/>
  <c r="J85" i="9" s="1"/>
  <c r="L78" i="9"/>
  <c r="M48" i="9"/>
  <c r="L80" i="9"/>
  <c r="L84" i="9" s="1"/>
  <c r="M76" i="9"/>
  <c r="N17" i="9"/>
  <c r="M28" i="9"/>
  <c r="L45" i="9"/>
  <c r="L71" i="9"/>
  <c r="J72" i="9"/>
  <c r="J73" i="9" s="1"/>
  <c r="J74" i="9" s="1"/>
  <c r="M60" i="9" l="1"/>
  <c r="M55" i="9"/>
  <c r="M53" i="9"/>
  <c r="M59" i="9"/>
  <c r="M26" i="9"/>
  <c r="I72" i="9"/>
  <c r="I73" i="9" s="1"/>
  <c r="I74" i="9" s="1"/>
  <c r="L50" i="9"/>
  <c r="M71" i="9"/>
  <c r="K83" i="9"/>
  <c r="K85" i="9" s="1"/>
  <c r="O17" i="9"/>
  <c r="O18" i="9" s="1"/>
  <c r="M78" i="9"/>
  <c r="N48" i="9"/>
  <c r="M80" i="9"/>
  <c r="M84" i="9" s="1"/>
  <c r="L81" i="9"/>
  <c r="L67" i="9" s="1"/>
  <c r="L82" i="9"/>
  <c r="L68" i="9" s="1"/>
  <c r="L70" i="9" s="1"/>
  <c r="M65" i="9"/>
  <c r="N76" i="9"/>
  <c r="N28" i="9"/>
  <c r="M45" i="9"/>
  <c r="M50" i="9" s="1"/>
  <c r="K72" i="9"/>
  <c r="K73" i="9" s="1"/>
  <c r="K74" i="9" s="1"/>
  <c r="O42" i="9" l="1"/>
  <c r="O19" i="9"/>
  <c r="N26" i="9"/>
  <c r="O41" i="9"/>
  <c r="O43" i="9"/>
  <c r="O22" i="9"/>
  <c r="N60" i="9"/>
  <c r="N55" i="9"/>
  <c r="N53" i="9"/>
  <c r="N59" i="9"/>
  <c r="O24" i="9"/>
  <c r="O25" i="9"/>
  <c r="O20" i="9"/>
  <c r="O21" i="9"/>
  <c r="N71" i="9"/>
  <c r="N65" i="9"/>
  <c r="O28" i="9"/>
  <c r="P17" i="9"/>
  <c r="P28" i="9" s="1"/>
  <c r="M81" i="9"/>
  <c r="M67" i="9" s="1"/>
  <c r="O76" i="9"/>
  <c r="N45" i="9"/>
  <c r="N50" i="9" s="1"/>
  <c r="N78" i="9"/>
  <c r="O48" i="9"/>
  <c r="N80" i="9"/>
  <c r="N84" i="9" s="1"/>
  <c r="L83" i="9"/>
  <c r="L85" i="9" s="1"/>
  <c r="M82" i="9"/>
  <c r="M68" i="9" s="1"/>
  <c r="M70" i="9" s="1"/>
  <c r="L72" i="9"/>
  <c r="L73" i="9" s="1"/>
  <c r="L74" i="9" s="1"/>
  <c r="O45" i="9" l="1"/>
  <c r="O50" i="9" s="1"/>
  <c r="O26" i="9"/>
  <c r="O55" i="9"/>
  <c r="O56" i="9"/>
  <c r="O60" i="9"/>
  <c r="O61" i="9"/>
  <c r="P18" i="9"/>
  <c r="Q17" i="9"/>
  <c r="Q28" i="9" s="1"/>
  <c r="O29" i="9"/>
  <c r="P76" i="9"/>
  <c r="O31" i="9"/>
  <c r="O32" i="9"/>
  <c r="O33" i="9"/>
  <c r="O34" i="9"/>
  <c r="O30" i="9"/>
  <c r="N81" i="9"/>
  <c r="N67" i="9" s="1"/>
  <c r="M83" i="9"/>
  <c r="M85" i="9" s="1"/>
  <c r="N82" i="9"/>
  <c r="N68" i="9" s="1"/>
  <c r="N70" i="9" s="1"/>
  <c r="O78" i="9"/>
  <c r="O80" i="9"/>
  <c r="P48" i="9"/>
  <c r="P77" i="9" l="1"/>
  <c r="AA32" i="11" s="1"/>
  <c r="P61" i="9"/>
  <c r="P55" i="9"/>
  <c r="P56" i="9"/>
  <c r="P60" i="9"/>
  <c r="P32" i="9"/>
  <c r="P31" i="9"/>
  <c r="P43" i="9"/>
  <c r="P25" i="9"/>
  <c r="P22" i="9"/>
  <c r="P21" i="9"/>
  <c r="P24" i="9"/>
  <c r="P20" i="9"/>
  <c r="P19" i="9"/>
  <c r="P65" i="9" s="1"/>
  <c r="P30" i="9"/>
  <c r="O59" i="9"/>
  <c r="P33" i="9"/>
  <c r="O53" i="9"/>
  <c r="P29" i="9"/>
  <c r="P34" i="9"/>
  <c r="O65" i="9"/>
  <c r="O81" i="9"/>
  <c r="O67" i="9" s="1"/>
  <c r="O71" i="9"/>
  <c r="P42" i="9"/>
  <c r="Q18" i="9"/>
  <c r="Q76" i="9"/>
  <c r="R76" i="9" s="1"/>
  <c r="S76" i="9" s="1"/>
  <c r="T76" i="9" s="1"/>
  <c r="U76" i="9" s="1"/>
  <c r="V76" i="9" s="1"/>
  <c r="W76" i="9" s="1"/>
  <c r="X76" i="9" s="1"/>
  <c r="Y76" i="9" s="1"/>
  <c r="Z76" i="9" s="1"/>
  <c r="AA76" i="9" s="1"/>
  <c r="AB76" i="9" s="1"/>
  <c r="AC76" i="9" s="1"/>
  <c r="AD76" i="9" s="1"/>
  <c r="AE76" i="9" s="1"/>
  <c r="R17" i="9"/>
  <c r="R28" i="9" s="1"/>
  <c r="P41" i="9"/>
  <c r="O82" i="9"/>
  <c r="O68" i="9" s="1"/>
  <c r="O70" i="9" s="1"/>
  <c r="O84" i="9"/>
  <c r="N83" i="9"/>
  <c r="N85" i="9" s="1"/>
  <c r="P78" i="9"/>
  <c r="P80" i="9"/>
  <c r="Q48" i="9"/>
  <c r="M72" i="9"/>
  <c r="M73" i="9" s="1"/>
  <c r="M74" i="9" s="1"/>
  <c r="Q60" i="9" l="1"/>
  <c r="Q55" i="9"/>
  <c r="Q56" i="9"/>
  <c r="Q61" i="9"/>
  <c r="Q31" i="9"/>
  <c r="Q20" i="9"/>
  <c r="Q24" i="9"/>
  <c r="Q21" i="9"/>
  <c r="Q42" i="9"/>
  <c r="Q22" i="9"/>
  <c r="Q25" i="9"/>
  <c r="Q43" i="9"/>
  <c r="Q41" i="9"/>
  <c r="Q30" i="9"/>
  <c r="Q32" i="9"/>
  <c r="Q19" i="9"/>
  <c r="Q65" i="9" s="1"/>
  <c r="P26" i="9"/>
  <c r="Q34" i="9"/>
  <c r="P59" i="9"/>
  <c r="Q29" i="9"/>
  <c r="Q33" i="9"/>
  <c r="P53" i="9"/>
  <c r="Q77" i="9"/>
  <c r="R77" i="9" s="1"/>
  <c r="S77" i="9" s="1"/>
  <c r="T77" i="9" s="1"/>
  <c r="U77" i="9" s="1"/>
  <c r="V77" i="9" s="1"/>
  <c r="W77" i="9" s="1"/>
  <c r="X77" i="9" s="1"/>
  <c r="Y77" i="9" s="1"/>
  <c r="Z77" i="9" s="1"/>
  <c r="AA77" i="9" s="1"/>
  <c r="AB77" i="9" s="1"/>
  <c r="AC77" i="9" s="1"/>
  <c r="AD77" i="9" s="1"/>
  <c r="AE77" i="9" s="1"/>
  <c r="P81" i="9"/>
  <c r="P67" i="9" s="1"/>
  <c r="P82" i="9"/>
  <c r="P68" i="9" s="1"/>
  <c r="P70" i="9" s="1"/>
  <c r="R18" i="9"/>
  <c r="S17" i="9"/>
  <c r="S18" i="9" s="1"/>
  <c r="P45" i="9"/>
  <c r="P50" i="9" s="1"/>
  <c r="P71" i="9"/>
  <c r="O83" i="9"/>
  <c r="O85" i="9" s="1"/>
  <c r="P84" i="9"/>
  <c r="Q78" i="9"/>
  <c r="Q80" i="9"/>
  <c r="R48" i="9"/>
  <c r="N72" i="9"/>
  <c r="N73" i="9" s="1"/>
  <c r="N74" i="9" s="1"/>
  <c r="R31" i="9" l="1"/>
  <c r="S31" i="9" s="1"/>
  <c r="R56" i="9"/>
  <c r="R55" i="9"/>
  <c r="R60" i="9"/>
  <c r="R61" i="9"/>
  <c r="R43" i="9"/>
  <c r="S43" i="9" s="1"/>
  <c r="R25" i="9"/>
  <c r="S25" i="9" s="1"/>
  <c r="R22" i="9"/>
  <c r="S22" i="9" s="1"/>
  <c r="R42" i="9"/>
  <c r="S42" i="9" s="1"/>
  <c r="R19" i="9"/>
  <c r="Q26" i="9"/>
  <c r="R21" i="9"/>
  <c r="S21" i="9" s="1"/>
  <c r="R32" i="9"/>
  <c r="S32" i="9" s="1"/>
  <c r="R24" i="9"/>
  <c r="S24" i="9" s="1"/>
  <c r="R30" i="9"/>
  <c r="S30" i="9" s="1"/>
  <c r="R20" i="9"/>
  <c r="S20" i="9" s="1"/>
  <c r="R41" i="9"/>
  <c r="S41" i="9" s="1"/>
  <c r="R29" i="9"/>
  <c r="R33" i="9"/>
  <c r="Q53" i="9"/>
  <c r="R34" i="9"/>
  <c r="Q59" i="9"/>
  <c r="Q71" i="9"/>
  <c r="Q84" i="9"/>
  <c r="Q45" i="9"/>
  <c r="Q50" i="9" s="1"/>
  <c r="P83" i="9"/>
  <c r="P85" i="9" s="1"/>
  <c r="T17" i="9"/>
  <c r="T18" i="9" s="1"/>
  <c r="S28" i="9"/>
  <c r="Q82" i="9"/>
  <c r="Q68" i="9" s="1"/>
  <c r="Q70" i="9" s="1"/>
  <c r="Q81" i="9"/>
  <c r="Q67" i="9" s="1"/>
  <c r="R78" i="9"/>
  <c r="S48" i="9"/>
  <c r="R80" i="9"/>
  <c r="O72" i="9"/>
  <c r="O73" i="9" s="1"/>
  <c r="O74" i="9" s="1"/>
  <c r="T31" i="9" l="1"/>
  <c r="S55" i="9"/>
  <c r="S61" i="9"/>
  <c r="S56" i="9"/>
  <c r="S60" i="9"/>
  <c r="T21" i="9"/>
  <c r="R26" i="9"/>
  <c r="S19" i="9"/>
  <c r="S65" i="9" s="1"/>
  <c r="T41" i="9"/>
  <c r="T42" i="9"/>
  <c r="T20" i="9"/>
  <c r="T22" i="9"/>
  <c r="T30" i="9"/>
  <c r="T25" i="9"/>
  <c r="T43" i="9"/>
  <c r="T24" i="9"/>
  <c r="T32" i="9"/>
  <c r="S34" i="9"/>
  <c r="R59" i="9"/>
  <c r="S33" i="9"/>
  <c r="R53" i="9"/>
  <c r="S29" i="9"/>
  <c r="R65" i="9"/>
  <c r="S45" i="9"/>
  <c r="S50" i="9" s="1"/>
  <c r="R45" i="9"/>
  <c r="R50" i="9" s="1"/>
  <c r="R71" i="9"/>
  <c r="R81" i="9"/>
  <c r="R67" i="9" s="1"/>
  <c r="T28" i="9"/>
  <c r="U17" i="9"/>
  <c r="U18" i="9" s="1"/>
  <c r="Q83" i="9"/>
  <c r="Q85" i="9" s="1"/>
  <c r="R82" i="9"/>
  <c r="R68" i="9" s="1"/>
  <c r="R70" i="9" s="1"/>
  <c r="R84" i="9"/>
  <c r="S78" i="9"/>
  <c r="T48" i="9"/>
  <c r="S80" i="9"/>
  <c r="S81" i="9" s="1"/>
  <c r="S67" i="9" s="1"/>
  <c r="P72" i="9"/>
  <c r="P73" i="9" s="1"/>
  <c r="P74" i="9" s="1"/>
  <c r="U31" i="9" l="1"/>
  <c r="T61" i="9"/>
  <c r="T60" i="9"/>
  <c r="T55" i="9"/>
  <c r="T56" i="9"/>
  <c r="U22" i="9"/>
  <c r="U20" i="9"/>
  <c r="U42" i="9"/>
  <c r="U32" i="9"/>
  <c r="U41" i="9"/>
  <c r="U24" i="9"/>
  <c r="S26" i="9"/>
  <c r="T19" i="9"/>
  <c r="T65" i="9" s="1"/>
  <c r="U43" i="9"/>
  <c r="U25" i="9"/>
  <c r="U21" i="9"/>
  <c r="U30" i="9"/>
  <c r="T29" i="9"/>
  <c r="T33" i="9"/>
  <c r="S53" i="9"/>
  <c r="T34" i="9"/>
  <c r="S59" i="9"/>
  <c r="T45" i="9"/>
  <c r="T50" i="9" s="1"/>
  <c r="U28" i="9"/>
  <c r="S71" i="9"/>
  <c r="V17" i="9"/>
  <c r="T71" i="9"/>
  <c r="R83" i="9"/>
  <c r="R85" i="9" s="1"/>
  <c r="S82" i="9"/>
  <c r="S68" i="9" s="1"/>
  <c r="S70" i="9" s="1"/>
  <c r="S84" i="9"/>
  <c r="T78" i="9"/>
  <c r="T80" i="9"/>
  <c r="T82" i="9" s="1"/>
  <c r="T68" i="9" s="1"/>
  <c r="T70" i="9" s="1"/>
  <c r="U48" i="9"/>
  <c r="Q72" i="9"/>
  <c r="Q73" i="9" s="1"/>
  <c r="Q74" i="9" s="1"/>
  <c r="U60" i="9" l="1"/>
  <c r="U61" i="9"/>
  <c r="U56" i="9"/>
  <c r="U55" i="9"/>
  <c r="U19" i="9"/>
  <c r="T26" i="9"/>
  <c r="U34" i="9"/>
  <c r="T59" i="9"/>
  <c r="U33" i="9"/>
  <c r="T53" i="9"/>
  <c r="U29" i="9"/>
  <c r="U71" i="9"/>
  <c r="U45" i="9"/>
  <c r="U50" i="9" s="1"/>
  <c r="V28" i="9"/>
  <c r="V18" i="9"/>
  <c r="V21" i="9" s="1"/>
  <c r="W17" i="9"/>
  <c r="T84" i="9"/>
  <c r="S83" i="9"/>
  <c r="S85" i="9" s="1"/>
  <c r="T81" i="9"/>
  <c r="T67" i="9" s="1"/>
  <c r="U78" i="9"/>
  <c r="U80" i="9"/>
  <c r="U81" i="9" s="1"/>
  <c r="U67" i="9" s="1"/>
  <c r="V48" i="9"/>
  <c r="R72" i="9"/>
  <c r="R73" i="9" s="1"/>
  <c r="R74" i="9" s="1"/>
  <c r="V56" i="9" l="1"/>
  <c r="V60" i="9"/>
  <c r="V55" i="9"/>
  <c r="V61" i="9"/>
  <c r="V32" i="9"/>
  <c r="V43" i="9"/>
  <c r="V25" i="9"/>
  <c r="U26" i="9"/>
  <c r="V19" i="9"/>
  <c r="V31" i="9"/>
  <c r="V42" i="9"/>
  <c r="V22" i="9"/>
  <c r="V20" i="9"/>
  <c r="V41" i="9"/>
  <c r="U65" i="9"/>
  <c r="V30" i="9"/>
  <c r="V24" i="9"/>
  <c r="V33" i="9"/>
  <c r="U53" i="9"/>
  <c r="V29" i="9"/>
  <c r="V34" i="9"/>
  <c r="U59" i="9"/>
  <c r="W28" i="9"/>
  <c r="X17" i="9"/>
  <c r="W18" i="9"/>
  <c r="W21" i="9" s="1"/>
  <c r="U82" i="9"/>
  <c r="U68" i="9" s="1"/>
  <c r="U70" i="9" s="1"/>
  <c r="T83" i="9"/>
  <c r="T85" i="9" s="1"/>
  <c r="U84" i="9"/>
  <c r="V78" i="9"/>
  <c r="V80" i="9"/>
  <c r="W48" i="9"/>
  <c r="S72" i="9"/>
  <c r="S73" i="9" s="1"/>
  <c r="S74" i="9" s="1"/>
  <c r="W55" i="9" l="1"/>
  <c r="W56" i="9"/>
  <c r="W60" i="9"/>
  <c r="W61" i="9"/>
  <c r="W32" i="9"/>
  <c r="W42" i="9"/>
  <c r="W19" i="9"/>
  <c r="W65" i="9" s="1"/>
  <c r="V26" i="9"/>
  <c r="W31" i="9"/>
  <c r="W24" i="9"/>
  <c r="W41" i="9"/>
  <c r="W25" i="9"/>
  <c r="W20" i="9"/>
  <c r="W43" i="9"/>
  <c r="W30" i="9"/>
  <c r="W22" i="9"/>
  <c r="W29" i="9"/>
  <c r="W34" i="9"/>
  <c r="V59" i="9"/>
  <c r="W33" i="9"/>
  <c r="V53" i="9"/>
  <c r="V81" i="9"/>
  <c r="V67" i="9" s="1"/>
  <c r="V71" i="9"/>
  <c r="V45" i="9"/>
  <c r="V50" i="9" s="1"/>
  <c r="X18" i="9"/>
  <c r="X21" i="9" s="1"/>
  <c r="X28" i="9"/>
  <c r="Y17" i="9"/>
  <c r="V65" i="9"/>
  <c r="U83" i="9"/>
  <c r="U85" i="9" s="1"/>
  <c r="V82" i="9"/>
  <c r="V68" i="9" s="1"/>
  <c r="V70" i="9" s="1"/>
  <c r="V84" i="9"/>
  <c r="W78" i="9"/>
  <c r="W80" i="9"/>
  <c r="X48" i="9"/>
  <c r="T72" i="9"/>
  <c r="T73" i="9" s="1"/>
  <c r="T74" i="9" s="1"/>
  <c r="X55" i="9" l="1"/>
  <c r="X56" i="9"/>
  <c r="X61" i="9"/>
  <c r="X60" i="9"/>
  <c r="X31" i="9"/>
  <c r="X22" i="9"/>
  <c r="X30" i="9"/>
  <c r="X19" i="9"/>
  <c r="W26" i="9"/>
  <c r="X43" i="9"/>
  <c r="X42" i="9"/>
  <c r="X20" i="9"/>
  <c r="X32" i="9"/>
  <c r="X41" i="9"/>
  <c r="X24" i="9"/>
  <c r="X25" i="9"/>
  <c r="X33" i="9"/>
  <c r="W53" i="9"/>
  <c r="X34" i="9"/>
  <c r="W59" i="9"/>
  <c r="X29" i="9"/>
  <c r="W71" i="9"/>
  <c r="W82" i="9"/>
  <c r="W68" i="9" s="1"/>
  <c r="W70" i="9" s="1"/>
  <c r="W45" i="9"/>
  <c r="W50" i="9" s="1"/>
  <c r="Y18" i="9"/>
  <c r="Y21" i="9" s="1"/>
  <c r="Z17" i="9"/>
  <c r="Y28" i="9"/>
  <c r="W84" i="9"/>
  <c r="W81" i="9"/>
  <c r="W67" i="9" s="1"/>
  <c r="V83" i="9"/>
  <c r="V85" i="9" s="1"/>
  <c r="X78" i="9"/>
  <c r="X80" i="9"/>
  <c r="Y48" i="9"/>
  <c r="U72" i="9"/>
  <c r="U73" i="9" s="1"/>
  <c r="U74" i="9" s="1"/>
  <c r="Y55" i="9" l="1"/>
  <c r="Y60" i="9"/>
  <c r="Y56" i="9"/>
  <c r="Y61" i="9"/>
  <c r="Y43" i="9"/>
  <c r="Y25" i="9"/>
  <c r="Y19" i="9"/>
  <c r="Y65" i="9" s="1"/>
  <c r="X26" i="9"/>
  <c r="Y24" i="9"/>
  <c r="Y30" i="9"/>
  <c r="Y22" i="9"/>
  <c r="Y42" i="9"/>
  <c r="Y41" i="9"/>
  <c r="Y31" i="9"/>
  <c r="Y32" i="9"/>
  <c r="Y20" i="9"/>
  <c r="Y29" i="9"/>
  <c r="Y33" i="9"/>
  <c r="X53" i="9"/>
  <c r="Y34" i="9"/>
  <c r="X59" i="9"/>
  <c r="X84" i="9"/>
  <c r="X71" i="9"/>
  <c r="AA17" i="9"/>
  <c r="Z28" i="9"/>
  <c r="Z18" i="9"/>
  <c r="Z21" i="9" s="1"/>
  <c r="X45" i="9"/>
  <c r="X50" i="9" s="1"/>
  <c r="X65" i="9"/>
  <c r="W83" i="9"/>
  <c r="W85" i="9" s="1"/>
  <c r="X82" i="9"/>
  <c r="X68" i="9" s="1"/>
  <c r="X70" i="9" s="1"/>
  <c r="X81" i="9"/>
  <c r="X67" i="9" s="1"/>
  <c r="Y78" i="9"/>
  <c r="Z48" i="9"/>
  <c r="Y80" i="9"/>
  <c r="V72" i="9"/>
  <c r="V73" i="9" s="1"/>
  <c r="V74" i="9" s="1"/>
  <c r="Z56" i="9" l="1"/>
  <c r="Z61" i="9"/>
  <c r="Z55" i="9"/>
  <c r="Z60" i="9"/>
  <c r="Z22" i="9"/>
  <c r="Z24" i="9"/>
  <c r="Z30" i="9"/>
  <c r="Z20" i="9"/>
  <c r="Z32" i="9"/>
  <c r="Y26" i="9"/>
  <c r="Z19" i="9"/>
  <c r="Z31" i="9"/>
  <c r="Z25" i="9"/>
  <c r="Z41" i="9"/>
  <c r="Z43" i="9"/>
  <c r="Z42" i="9"/>
  <c r="Z34" i="9"/>
  <c r="Y59" i="9"/>
  <c r="Z33" i="9"/>
  <c r="Y53" i="9"/>
  <c r="Z29" i="9"/>
  <c r="Y71" i="9"/>
  <c r="Y81" i="9"/>
  <c r="Y67" i="9" s="1"/>
  <c r="Y45" i="9"/>
  <c r="Y50" i="9" s="1"/>
  <c r="AA18" i="9"/>
  <c r="AA21" i="9" s="1"/>
  <c r="AA28" i="9"/>
  <c r="AB17" i="9"/>
  <c r="X83" i="9"/>
  <c r="X85" i="9" s="1"/>
  <c r="Y82" i="9"/>
  <c r="Y68" i="9" s="1"/>
  <c r="Y70" i="9" s="1"/>
  <c r="Y84" i="9"/>
  <c r="Z78" i="9"/>
  <c r="AA48" i="9"/>
  <c r="Z80" i="9"/>
  <c r="W72" i="9"/>
  <c r="W73" i="9" s="1"/>
  <c r="W74" i="9" s="1"/>
  <c r="AA55" i="9" l="1"/>
  <c r="AA60" i="9"/>
  <c r="AA61" i="9"/>
  <c r="AA56" i="9"/>
  <c r="AA24" i="9"/>
  <c r="AA19" i="9"/>
  <c r="AA65" i="9" s="1"/>
  <c r="Z26" i="9"/>
  <c r="AA42" i="9"/>
  <c r="AA32" i="9"/>
  <c r="AA43" i="9"/>
  <c r="AA20" i="9"/>
  <c r="AA41" i="9"/>
  <c r="AA30" i="9"/>
  <c r="Z65" i="9"/>
  <c r="AA25" i="9"/>
  <c r="AA22" i="9"/>
  <c r="AA31" i="9"/>
  <c r="AA29" i="9"/>
  <c r="AA33" i="9"/>
  <c r="Z53" i="9"/>
  <c r="AA34" i="9"/>
  <c r="Z59" i="9"/>
  <c r="Z71" i="9"/>
  <c r="AB28" i="9"/>
  <c r="AB18" i="9"/>
  <c r="AB21" i="9" s="1"/>
  <c r="AC17" i="9"/>
  <c r="Z45" i="9"/>
  <c r="Z50" i="9" s="1"/>
  <c r="Z82" i="9"/>
  <c r="Z68" i="9" s="1"/>
  <c r="Z70" i="9" s="1"/>
  <c r="Z84" i="9"/>
  <c r="Z81" i="9"/>
  <c r="Y83" i="9"/>
  <c r="Y85" i="9" s="1"/>
  <c r="AA78" i="9"/>
  <c r="AA80" i="9"/>
  <c r="AB48" i="9"/>
  <c r="X72" i="9"/>
  <c r="X73" i="9" s="1"/>
  <c r="X74" i="9" s="1"/>
  <c r="AB61" i="9" l="1"/>
  <c r="AB60" i="9"/>
  <c r="AB56" i="9"/>
  <c r="AB55" i="9"/>
  <c r="AB20" i="9"/>
  <c r="AB43" i="9"/>
  <c r="AB42" i="9"/>
  <c r="AB31" i="9"/>
  <c r="AB32" i="9"/>
  <c r="AB22" i="9"/>
  <c r="AB25" i="9"/>
  <c r="AA26" i="9"/>
  <c r="AB19" i="9"/>
  <c r="AB65" i="9" s="1"/>
  <c r="AB30" i="9"/>
  <c r="AB24" i="9"/>
  <c r="AB41" i="9"/>
  <c r="AB34" i="9"/>
  <c r="AA59" i="9"/>
  <c r="AB33" i="9"/>
  <c r="AA53" i="9"/>
  <c r="AB29" i="9"/>
  <c r="AA71" i="9"/>
  <c r="AA84" i="9"/>
  <c r="AA45" i="9"/>
  <c r="AA50" i="9" s="1"/>
  <c r="AD17" i="9"/>
  <c r="AC28" i="9"/>
  <c r="AC18" i="9"/>
  <c r="AC21" i="9" s="1"/>
  <c r="AA82" i="9"/>
  <c r="AA68" i="9" s="1"/>
  <c r="AA70" i="9" s="1"/>
  <c r="AA81" i="9"/>
  <c r="AA67" i="9" s="1"/>
  <c r="Z83" i="9"/>
  <c r="Z85" i="9" s="1"/>
  <c r="Z67" i="9"/>
  <c r="AB78" i="9"/>
  <c r="AC48" i="9"/>
  <c r="AB80" i="9"/>
  <c r="Y72" i="9"/>
  <c r="Y73" i="9" s="1"/>
  <c r="Y74" i="9" s="1"/>
  <c r="AC22" i="9" l="1"/>
  <c r="AC60" i="9"/>
  <c r="AC56" i="9"/>
  <c r="AC61" i="9"/>
  <c r="AC55" i="9"/>
  <c r="AC25" i="9"/>
  <c r="AC32" i="9"/>
  <c r="AC41" i="9"/>
  <c r="AC31" i="9"/>
  <c r="AC24" i="9"/>
  <c r="AC42" i="9"/>
  <c r="AC30" i="9"/>
  <c r="AC43" i="9"/>
  <c r="AB26" i="9"/>
  <c r="AC19" i="9"/>
  <c r="AC20" i="9"/>
  <c r="AC29" i="9"/>
  <c r="AC33" i="9"/>
  <c r="AB53" i="9"/>
  <c r="AC34" i="9"/>
  <c r="AB59" i="9"/>
  <c r="AB71" i="9"/>
  <c r="AB84" i="9"/>
  <c r="AD18" i="9"/>
  <c r="AD21" i="9" s="1"/>
  <c r="AE17" i="9"/>
  <c r="AD28" i="9"/>
  <c r="AD37" i="9" s="1"/>
  <c r="AB45" i="9"/>
  <c r="AB50" i="9" s="1"/>
  <c r="AA83" i="9"/>
  <c r="AA85" i="9" s="1"/>
  <c r="AB82" i="9"/>
  <c r="AB68" i="9" s="1"/>
  <c r="AB70" i="9" s="1"/>
  <c r="AB81" i="9"/>
  <c r="AB67" i="9" s="1"/>
  <c r="AC78" i="9"/>
  <c r="AD48" i="9"/>
  <c r="AC80" i="9"/>
  <c r="Z72" i="9"/>
  <c r="Z73" i="9" s="1"/>
  <c r="Z74" i="9" s="1"/>
  <c r="AD36" i="9" l="1"/>
  <c r="AD51" i="9"/>
  <c r="AD56" i="9"/>
  <c r="AD55" i="9"/>
  <c r="AD60" i="9"/>
  <c r="AD61" i="9"/>
  <c r="AD42" i="9"/>
  <c r="AD24" i="9"/>
  <c r="AD31" i="9"/>
  <c r="AC26" i="9"/>
  <c r="AD19" i="9"/>
  <c r="AD65" i="9" s="1"/>
  <c r="AD22" i="9"/>
  <c r="AD32" i="9"/>
  <c r="AD20" i="9"/>
  <c r="AD41" i="9"/>
  <c r="AD43" i="9"/>
  <c r="AD25" i="9"/>
  <c r="AD30" i="9"/>
  <c r="AD34" i="9"/>
  <c r="AC59" i="9"/>
  <c r="AD33" i="9"/>
  <c r="AC53" i="9"/>
  <c r="AD29" i="9"/>
  <c r="AC82" i="9"/>
  <c r="AC68" i="9" s="1"/>
  <c r="AC70" i="9" s="1"/>
  <c r="AC71" i="9"/>
  <c r="AC45" i="9"/>
  <c r="AC50" i="9" s="1"/>
  <c r="AE28" i="9"/>
  <c r="AE37" i="9" s="1"/>
  <c r="AE18" i="9"/>
  <c r="AE21" i="9" s="1"/>
  <c r="AC65" i="9"/>
  <c r="AC81" i="9"/>
  <c r="AC67" i="9" s="1"/>
  <c r="AB83" i="9"/>
  <c r="AB85" i="9" s="1"/>
  <c r="AD78" i="9"/>
  <c r="AD80" i="9"/>
  <c r="AE48" i="9"/>
  <c r="AC84" i="9"/>
  <c r="AA72" i="9"/>
  <c r="AA73" i="9" s="1"/>
  <c r="AA74" i="9" s="1"/>
  <c r="AD54" i="9" l="1"/>
  <c r="AD57" i="9" s="1"/>
  <c r="AE36" i="9"/>
  <c r="AE51" i="9"/>
  <c r="AE55" i="9"/>
  <c r="AE56" i="9"/>
  <c r="AE60" i="9"/>
  <c r="AE61" i="9"/>
  <c r="AE22" i="9"/>
  <c r="AE32" i="9"/>
  <c r="AE19" i="9"/>
  <c r="AE65" i="9" s="1"/>
  <c r="AD26" i="9"/>
  <c r="AE30" i="9"/>
  <c r="AD38" i="9"/>
  <c r="AE25" i="9"/>
  <c r="AE31" i="9"/>
  <c r="AE43" i="9"/>
  <c r="AE24" i="9"/>
  <c r="AE41" i="9"/>
  <c r="AE42" i="9"/>
  <c r="AE20" i="9"/>
  <c r="AE29" i="9"/>
  <c r="AE33" i="9"/>
  <c r="AE53" i="9" s="1"/>
  <c r="AD53" i="9"/>
  <c r="AE34" i="9"/>
  <c r="AE59" i="9" s="1"/>
  <c r="AD59" i="9"/>
  <c r="AD84" i="9"/>
  <c r="AD81" i="9"/>
  <c r="AD67" i="9" s="1"/>
  <c r="AD71" i="9"/>
  <c r="AD45" i="9"/>
  <c r="AD50" i="9" s="1"/>
  <c r="AD52" i="9" s="1"/>
  <c r="AC72" i="9"/>
  <c r="AC73" i="9" s="1"/>
  <c r="AC74" i="9" s="1"/>
  <c r="AD82" i="9"/>
  <c r="AD68" i="9" s="1"/>
  <c r="AD70" i="9" s="1"/>
  <c r="AC83" i="9"/>
  <c r="AC85" i="9" s="1"/>
  <c r="AE78" i="9"/>
  <c r="AE80" i="9"/>
  <c r="AB72" i="9"/>
  <c r="AB73" i="9" s="1"/>
  <c r="AB74" i="9" s="1"/>
  <c r="AE54" i="9" l="1"/>
  <c r="AE57" i="9" s="1"/>
  <c r="AE26" i="9"/>
  <c r="AE38" i="9"/>
  <c r="AE71" i="9"/>
  <c r="AE82" i="9"/>
  <c r="E67" i="9" s="1"/>
  <c r="AE45" i="9"/>
  <c r="AE50" i="9" s="1"/>
  <c r="AE52" i="9" s="1"/>
  <c r="AD58" i="9"/>
  <c r="AD62" i="9" s="1"/>
  <c r="AD72" i="9"/>
  <c r="AD73" i="9" s="1"/>
  <c r="AD74" i="9" s="1"/>
  <c r="AD83" i="9"/>
  <c r="AD85" i="9" s="1"/>
  <c r="D68" i="9"/>
  <c r="D70" i="9" s="1"/>
  <c r="E68" i="9"/>
  <c r="E70" i="9" s="1"/>
  <c r="AE84" i="9"/>
  <c r="AE81" i="9"/>
  <c r="AE83" i="9" l="1"/>
  <c r="AE85" i="9" s="1"/>
  <c r="AE68" i="9"/>
  <c r="AE70" i="9" s="1"/>
  <c r="AE58" i="9"/>
  <c r="AE62" i="9" s="1"/>
  <c r="AE72" i="9"/>
  <c r="AE73" i="9" s="1"/>
  <c r="D74" i="9"/>
  <c r="E74" i="9"/>
  <c r="AE67" i="9"/>
  <c r="J80" i="8"/>
  <c r="H80" i="8" l="1"/>
  <c r="H90" i="8" s="1"/>
  <c r="AE74" i="9"/>
  <c r="K80" i="8"/>
  <c r="I80" i="8"/>
  <c r="L80" i="8"/>
  <c r="I92" i="8" l="1"/>
  <c r="K41" i="11" l="1"/>
  <c r="K42" i="11" s="1"/>
  <c r="D15" i="11" l="1"/>
  <c r="E15" i="11" s="1"/>
  <c r="F15" i="11" s="1"/>
  <c r="G15" i="11" s="1"/>
  <c r="H15" i="11" s="1"/>
  <c r="I15" i="11" s="1"/>
  <c r="I37" i="11"/>
  <c r="I38" i="11" s="1"/>
  <c r="C38" i="11"/>
  <c r="D38" i="11"/>
  <c r="E38" i="11"/>
  <c r="F38" i="11"/>
  <c r="G38" i="11"/>
  <c r="H38" i="11"/>
  <c r="D2" i="6" l="1"/>
  <c r="D37" i="6" l="1"/>
  <c r="J15" i="11" l="1"/>
  <c r="K15" i="11" s="1"/>
  <c r="L15" i="11" s="1"/>
  <c r="M15" i="11" s="1"/>
  <c r="N15" i="11" s="1"/>
  <c r="O15" i="11" l="1"/>
  <c r="O32" i="11" l="1"/>
  <c r="P15" i="11"/>
  <c r="Q15" i="11" l="1"/>
  <c r="R15" i="11" l="1"/>
  <c r="S15" i="11" l="1"/>
  <c r="T15" i="11" l="1"/>
  <c r="U15" i="11" l="1"/>
  <c r="V15" i="11" l="1"/>
  <c r="W15" i="11" l="1"/>
  <c r="W32" i="11" l="1"/>
  <c r="X15" i="11"/>
  <c r="Y15" i="11" l="1"/>
  <c r="Z15" i="11" l="1"/>
  <c r="Y16" i="11"/>
  <c r="AA15" i="11" l="1"/>
  <c r="AB15" i="11" s="1"/>
  <c r="AC15" i="11" s="1"/>
  <c r="AD15" i="11" s="1"/>
  <c r="AE15" i="11" s="1"/>
  <c r="AF15" i="11" s="1"/>
  <c r="AG15" i="11" s="1"/>
  <c r="AH15" i="11" s="1"/>
  <c r="AI15" i="11" s="1"/>
  <c r="AJ15" i="11" s="1"/>
  <c r="AK15" i="11" s="1"/>
  <c r="Z16" i="11"/>
  <c r="AA16" i="11" l="1"/>
  <c r="AA18" i="11" s="1"/>
  <c r="AB16" i="11" l="1"/>
  <c r="AC16" i="11" l="1"/>
  <c r="AD16" i="11" l="1"/>
  <c r="AE16" i="11" l="1"/>
  <c r="AF16" i="11" l="1"/>
  <c r="AG16" i="11" l="1"/>
  <c r="AH16" i="11" l="1"/>
  <c r="AI16" i="11" l="1"/>
  <c r="AJ16" i="11" l="1"/>
  <c r="AK16" i="11" l="1"/>
  <c r="F7" i="34" l="1"/>
  <c r="F6" i="34"/>
  <c r="F5" i="34"/>
  <c r="F4" i="34"/>
  <c r="F7" i="29"/>
  <c r="F6" i="29"/>
  <c r="F5" i="29"/>
  <c r="F4" i="29"/>
  <c r="F5" i="28"/>
  <c r="F7" i="17"/>
  <c r="F6" i="17"/>
  <c r="F5" i="17"/>
  <c r="F4" i="17"/>
  <c r="D38" i="38" l="1"/>
  <c r="D37" i="38"/>
  <c r="D39" i="38" l="1"/>
  <c r="A12" i="38"/>
  <c r="B10" i="7" l="1"/>
  <c r="A12" i="17" l="1"/>
  <c r="AB18" i="11" l="1"/>
  <c r="AC18" i="11" s="1"/>
  <c r="AD18" i="11" s="1"/>
  <c r="AE18" i="11" s="1"/>
  <c r="AF18" i="11" s="1"/>
  <c r="AG18" i="11" s="1"/>
  <c r="AH18" i="11" s="1"/>
  <c r="AI18" i="11" s="1"/>
  <c r="AJ18" i="11" s="1"/>
  <c r="AK18" i="11" s="1"/>
  <c r="A12" i="34" l="1"/>
  <c r="D37" i="34" l="1"/>
  <c r="D38" i="34"/>
  <c r="D39" i="34" l="1"/>
  <c r="D48" i="37" l="1"/>
  <c r="G19" i="37"/>
  <c r="G24" i="37" s="1"/>
  <c r="A12" i="37"/>
  <c r="D38" i="37" l="1"/>
  <c r="H63" i="37" s="1"/>
  <c r="H65" i="37" s="1"/>
  <c r="F68" i="37"/>
  <c r="G60" i="37"/>
  <c r="K70" i="37"/>
  <c r="F61" i="37"/>
  <c r="D37" i="37"/>
  <c r="G26" i="37"/>
  <c r="K49" i="37"/>
  <c r="D39" i="37" l="1"/>
  <c r="E63" i="37"/>
  <c r="E65" i="37" s="1"/>
  <c r="F63" i="37"/>
  <c r="I63" i="37"/>
  <c r="D64" i="37"/>
  <c r="D65" i="37" s="1"/>
  <c r="K65" i="37"/>
  <c r="J63" i="37"/>
  <c r="J65" i="37" s="1"/>
  <c r="G63" i="37"/>
  <c r="D55" i="37"/>
  <c r="D17" i="37"/>
  <c r="D44" i="37"/>
  <c r="G65" i="37" l="1"/>
  <c r="I65" i="37"/>
  <c r="F65" i="37"/>
  <c r="D46" i="37"/>
  <c r="D45" i="37" s="1"/>
  <c r="F45" i="37" l="1"/>
  <c r="G45" i="37"/>
  <c r="E45" i="37"/>
  <c r="I45" i="37"/>
  <c r="H45" i="37"/>
  <c r="J45" i="37"/>
  <c r="F46" i="37"/>
  <c r="H46" i="37"/>
  <c r="J46" i="37"/>
  <c r="E46" i="37"/>
  <c r="I46" i="37"/>
  <c r="G46" i="37"/>
  <c r="I47" i="37" l="1"/>
  <c r="I49" i="37" s="1"/>
  <c r="J47" i="37"/>
  <c r="J49" i="37" s="1"/>
  <c r="E47" i="37"/>
  <c r="G47" i="37"/>
  <c r="G49" i="37" s="1"/>
  <c r="H47" i="37"/>
  <c r="H49" i="37" s="1"/>
  <c r="F47" i="37"/>
  <c r="F49" i="37" s="1"/>
  <c r="D47" i="37" l="1"/>
  <c r="E49" i="37"/>
  <c r="D49" i="37" l="1"/>
  <c r="E69" i="37" s="1"/>
  <c r="K54" i="37" l="1"/>
  <c r="K31" i="37"/>
  <c r="K51" i="37"/>
  <c r="K69" i="37"/>
  <c r="K52" i="37"/>
  <c r="D56" i="37"/>
  <c r="I69" i="37"/>
  <c r="J31" i="37"/>
  <c r="I31" i="37"/>
  <c r="J69" i="37"/>
  <c r="J52" i="37"/>
  <c r="I52" i="37"/>
  <c r="I54" i="37"/>
  <c r="I51" i="37"/>
  <c r="J51" i="37"/>
  <c r="J54" i="37"/>
  <c r="F69" i="37"/>
  <c r="F31" i="37"/>
  <c r="H52" i="37"/>
  <c r="G69" i="37"/>
  <c r="G31" i="37"/>
  <c r="F54" i="37"/>
  <c r="F52" i="37"/>
  <c r="H69" i="37"/>
  <c r="G54" i="37"/>
  <c r="G51" i="37"/>
  <c r="F51" i="37"/>
  <c r="H54" i="37"/>
  <c r="H31" i="37"/>
  <c r="G52" i="37"/>
  <c r="H51" i="37"/>
  <c r="E51" i="37"/>
  <c r="E54" i="37"/>
  <c r="E31" i="37"/>
  <c r="E52" i="37"/>
  <c r="E55" i="37" l="1"/>
  <c r="E56" i="37" s="1"/>
  <c r="D31" i="37"/>
  <c r="F55" i="37"/>
  <c r="F56" i="37" s="1"/>
  <c r="H55" i="37"/>
  <c r="H56" i="37" s="1"/>
  <c r="G55" i="37"/>
  <c r="G56" i="37" s="1"/>
  <c r="J55" i="37"/>
  <c r="J56" i="37" s="1"/>
  <c r="I55" i="37"/>
  <c r="I56" i="37" s="1"/>
  <c r="K55" i="37"/>
  <c r="K56" i="37" s="1"/>
  <c r="D18" i="37" l="1"/>
  <c r="F19" i="37"/>
  <c r="F24" i="37" l="1"/>
  <c r="D19" i="37"/>
  <c r="A26" i="7" l="1"/>
  <c r="A33" i="7"/>
  <c r="A34" i="7" s="1"/>
  <c r="A24" i="7"/>
  <c r="A32" i="7" s="1"/>
  <c r="A23" i="7"/>
  <c r="A31" i="7" s="1"/>
  <c r="A22" i="7"/>
  <c r="A30" i="7" s="1"/>
  <c r="A21" i="7"/>
  <c r="A29" i="7" s="1"/>
  <c r="A20" i="7"/>
  <c r="A28" i="7" s="1"/>
  <c r="A19" i="7"/>
  <c r="A27" i="7" s="1"/>
  <c r="C3" i="17" l="1"/>
  <c r="B18" i="5" l="1"/>
  <c r="N18" i="5"/>
  <c r="O20" i="5"/>
  <c r="T25" i="5" l="1"/>
  <c r="G38" i="4" l="1"/>
  <c r="F38" i="4"/>
  <c r="E38" i="4"/>
  <c r="D38" i="4"/>
  <c r="C38" i="4"/>
  <c r="B38" i="4"/>
  <c r="B17" i="4"/>
  <c r="B23" i="4" s="1"/>
  <c r="B28" i="4" s="1"/>
  <c r="B44" i="4" s="1"/>
  <c r="B50" i="4" s="1"/>
  <c r="B57" i="4" s="1"/>
  <c r="B63" i="4" s="1"/>
  <c r="C7" i="4"/>
  <c r="D7" i="4" s="1"/>
  <c r="C17" i="4" l="1"/>
  <c r="C23" i="4" s="1"/>
  <c r="C28" i="4" s="1"/>
  <c r="C44" i="4" s="1"/>
  <c r="C50" i="4" s="1"/>
  <c r="C57" i="4" s="1"/>
  <c r="C63" i="4" s="1"/>
  <c r="E7" i="4"/>
  <c r="D17" i="4"/>
  <c r="D23" i="4" s="1"/>
  <c r="D28" i="4" s="1"/>
  <c r="D44" i="4" s="1"/>
  <c r="D50" i="4" s="1"/>
  <c r="D57" i="4" s="1"/>
  <c r="D63" i="4" s="1"/>
  <c r="F7" i="4" l="1"/>
  <c r="E17" i="4"/>
  <c r="E23" i="4" s="1"/>
  <c r="E28" i="4" s="1"/>
  <c r="E44" i="4" s="1"/>
  <c r="E50" i="4" s="1"/>
  <c r="E57" i="4" s="1"/>
  <c r="E63" i="4" s="1"/>
  <c r="G7" i="4" l="1"/>
  <c r="F17" i="4"/>
  <c r="F23" i="4" s="1"/>
  <c r="F28" i="4" s="1"/>
  <c r="F44" i="4" s="1"/>
  <c r="F50" i="4" s="1"/>
  <c r="F57" i="4" s="1"/>
  <c r="F63" i="4" s="1"/>
  <c r="H7" i="4" l="1"/>
  <c r="G17" i="4"/>
  <c r="G23" i="4" s="1"/>
  <c r="G28" i="4" s="1"/>
  <c r="G44" i="4" s="1"/>
  <c r="G50" i="4" s="1"/>
  <c r="G57" i="4" s="1"/>
  <c r="G63" i="4" s="1"/>
  <c r="I7" i="4" l="1"/>
  <c r="H17" i="4"/>
  <c r="H23" i="4" s="1"/>
  <c r="H28" i="4" s="1"/>
  <c r="H44" i="4" s="1"/>
  <c r="H50" i="4" s="1"/>
  <c r="H57" i="4" s="1"/>
  <c r="H63" i="4" s="1"/>
  <c r="S23" i="11" l="1"/>
  <c r="T23" i="11" s="1"/>
  <c r="U23" i="11" s="1"/>
  <c r="V23" i="11" s="1"/>
  <c r="W23" i="11" s="1"/>
  <c r="X23" i="11" s="1"/>
  <c r="Y23" i="11" s="1"/>
  <c r="Z23" i="11" s="1"/>
  <c r="AA23" i="11" s="1"/>
  <c r="AB23" i="11" s="1"/>
  <c r="AC23" i="11" s="1"/>
  <c r="AD23" i="11" s="1"/>
  <c r="AE23" i="11" s="1"/>
  <c r="J7" i="4"/>
  <c r="I17" i="4"/>
  <c r="I23" i="4" s="1"/>
  <c r="I28" i="4" s="1"/>
  <c r="I44" i="4" s="1"/>
  <c r="I50" i="4" s="1"/>
  <c r="I57" i="4" s="1"/>
  <c r="I63" i="4" s="1"/>
  <c r="K7" i="4" l="1"/>
  <c r="J17" i="4"/>
  <c r="J23" i="4" s="1"/>
  <c r="J28" i="4" s="1"/>
  <c r="J44" i="4" s="1"/>
  <c r="J50" i="4" s="1"/>
  <c r="J57" i="4" s="1"/>
  <c r="J63" i="4" s="1"/>
  <c r="AF23" i="11"/>
  <c r="AG23" i="11" s="1"/>
  <c r="AH23" i="11" s="1"/>
  <c r="AI23" i="11" s="1"/>
  <c r="AJ23" i="11" s="1"/>
  <c r="AK23" i="11" s="1"/>
  <c r="L7" i="4" l="1"/>
  <c r="K17" i="4"/>
  <c r="K23" i="4" s="1"/>
  <c r="K28" i="4" s="1"/>
  <c r="K44" i="4" s="1"/>
  <c r="K50" i="4" s="1"/>
  <c r="K57" i="4" s="1"/>
  <c r="K63" i="4" s="1"/>
  <c r="I41" i="11"/>
  <c r="M7" i="4" l="1"/>
  <c r="L17" i="4"/>
  <c r="L23" i="4" s="1"/>
  <c r="L28" i="4" s="1"/>
  <c r="L44" i="4" s="1"/>
  <c r="L50" i="4" s="1"/>
  <c r="L57" i="4" s="1"/>
  <c r="L63" i="4" s="1"/>
  <c r="I42" i="11"/>
  <c r="N7" i="4" l="1"/>
  <c r="N17" i="4" s="1"/>
  <c r="N23" i="4" s="1"/>
  <c r="N28" i="4" s="1"/>
  <c r="N44" i="4" s="1"/>
  <c r="N50" i="4" s="1"/>
  <c r="N57" i="4" s="1"/>
  <c r="N63" i="4" s="1"/>
  <c r="M17" i="4"/>
  <c r="M23" i="4" s="1"/>
  <c r="M28" i="4" s="1"/>
  <c r="M44" i="4" s="1"/>
  <c r="M50" i="4" s="1"/>
  <c r="M57" i="4" s="1"/>
  <c r="M63" i="4" s="1"/>
  <c r="C41" i="11" l="1"/>
  <c r="A12" i="29" l="1"/>
  <c r="D37" i="29" l="1"/>
  <c r="D38" i="29"/>
  <c r="D39" i="29" l="1"/>
  <c r="K18" i="5" l="1"/>
  <c r="H18" i="5"/>
  <c r="E18" i="5"/>
  <c r="C20" i="5"/>
  <c r="B14" i="13" l="1"/>
  <c r="B25" i="13" l="1"/>
  <c r="B18" i="7"/>
  <c r="B26" i="7" l="1"/>
  <c r="B36" i="13" l="1"/>
  <c r="H41" i="11" l="1"/>
  <c r="H42" i="11" l="1"/>
  <c r="A50" i="4"/>
  <c r="A44" i="4"/>
  <c r="A17" i="4"/>
  <c r="A7" i="4"/>
  <c r="A67" i="4" l="1"/>
  <c r="A66" i="4"/>
  <c r="A65" i="4"/>
  <c r="A64" i="4"/>
  <c r="A63" i="4"/>
  <c r="A59" i="4"/>
  <c r="A60" i="4"/>
  <c r="A61" i="4"/>
  <c r="A58" i="4"/>
  <c r="A57" i="4"/>
  <c r="I20" i="5" l="1"/>
  <c r="L20" i="5" l="1"/>
  <c r="F20" i="5"/>
  <c r="A40" i="4" l="1"/>
  <c r="A39" i="4"/>
  <c r="A35" i="4"/>
  <c r="A34" i="4"/>
  <c r="A30" i="4"/>
  <c r="A29" i="4"/>
  <c r="A25" i="4"/>
  <c r="A24" i="4"/>
  <c r="I31" i="6" l="1"/>
  <c r="H31" i="6"/>
  <c r="G31" i="6"/>
  <c r="F41" i="11" l="1"/>
  <c r="F42" i="11" s="1"/>
  <c r="G41" i="11"/>
  <c r="G42" i="11" l="1"/>
  <c r="N17" i="11" l="1" a="1"/>
  <c r="N17" i="11" s="1"/>
  <c r="N20" i="11" s="1"/>
  <c r="N21" i="11" s="1"/>
  <c r="N25" i="11" s="1"/>
  <c r="N29" i="11" l="1"/>
  <c r="D38" i="18" l="1"/>
  <c r="D37" i="24"/>
  <c r="D37" i="18"/>
  <c r="D37" i="21"/>
  <c r="D37" i="26"/>
  <c r="D37" i="27"/>
  <c r="D38" i="17"/>
  <c r="D37" i="19"/>
  <c r="D38" i="19"/>
  <c r="D37" i="20"/>
  <c r="D38" i="20"/>
  <c r="D37" i="22"/>
  <c r="D37" i="23"/>
  <c r="D38" i="23"/>
  <c r="D38" i="24"/>
  <c r="D38" i="25"/>
  <c r="D37" i="28"/>
  <c r="D38" i="28"/>
  <c r="D37" i="17"/>
  <c r="D38" i="21"/>
  <c r="D38" i="22"/>
  <c r="D37" i="25"/>
  <c r="D38" i="26"/>
  <c r="D38" i="27"/>
  <c r="M37" i="53" l="1"/>
  <c r="M38" i="45"/>
  <c r="M37" i="45"/>
  <c r="M38" i="53"/>
  <c r="D38" i="44"/>
  <c r="L38" i="44" s="1"/>
  <c r="D37" i="44"/>
  <c r="L37" i="44" s="1"/>
  <c r="D39" i="21"/>
  <c r="D39" i="25"/>
  <c r="D39" i="17"/>
  <c r="D39" i="26"/>
  <c r="D39" i="24"/>
  <c r="D39" i="22"/>
  <c r="D39" i="18"/>
  <c r="D39" i="27"/>
  <c r="D39" i="19"/>
  <c r="D39" i="23"/>
  <c r="D39" i="28"/>
  <c r="D39" i="20"/>
  <c r="M39" i="53" l="1"/>
  <c r="M38" i="44"/>
  <c r="M39" i="45"/>
  <c r="D39" i="44"/>
  <c r="M39" i="44" s="1"/>
  <c r="M37" i="44"/>
  <c r="AG20" i="2"/>
  <c r="AH20" i="2"/>
  <c r="AH22" i="2"/>
  <c r="AH21" i="2"/>
  <c r="G20" i="2"/>
  <c r="AC40" i="3"/>
  <c r="F20" i="2"/>
  <c r="G21" i="2"/>
  <c r="E19" i="2"/>
  <c r="M49" i="3"/>
  <c r="AD36" i="3" s="1"/>
  <c r="L47" i="3"/>
  <c r="J47" i="3"/>
  <c r="V41" i="3"/>
  <c r="U41" i="3"/>
  <c r="S41" i="3"/>
  <c r="R41" i="3"/>
  <c r="P41" i="3"/>
  <c r="O41" i="3"/>
  <c r="D22" i="3"/>
  <c r="D24" i="3" s="1"/>
  <c r="M45" i="3"/>
  <c r="M60" i="3" s="1"/>
  <c r="M43" i="3"/>
  <c r="M42" i="3"/>
  <c r="AD34" i="3" s="1"/>
  <c r="M41" i="3"/>
  <c r="M40" i="3"/>
  <c r="M39" i="3"/>
  <c r="M38" i="3"/>
  <c r="M37" i="3"/>
  <c r="M36" i="3"/>
  <c r="M35" i="3"/>
  <c r="G51" i="3"/>
  <c r="F51" i="3"/>
  <c r="I49" i="3"/>
  <c r="AC36" i="3" s="1"/>
  <c r="I45" i="3"/>
  <c r="G43" i="3"/>
  <c r="G47" i="3" s="1"/>
  <c r="F43" i="3"/>
  <c r="F47" i="3" s="1"/>
  <c r="I42" i="3"/>
  <c r="AC34" i="3" s="1"/>
  <c r="I41" i="3"/>
  <c r="I40" i="3"/>
  <c r="I39" i="3"/>
  <c r="I38" i="3"/>
  <c r="I37" i="3"/>
  <c r="I36" i="3"/>
  <c r="I35" i="3"/>
  <c r="G24" i="3"/>
  <c r="A12" i="28"/>
  <c r="A12" i="27"/>
  <c r="A12" i="26"/>
  <c r="A12" i="25"/>
  <c r="A12" i="24"/>
  <c r="A12" i="23"/>
  <c r="A12" i="22"/>
  <c r="A12" i="21"/>
  <c r="A12" i="19"/>
  <c r="C42" i="11"/>
  <c r="F21" i="2"/>
  <c r="F22" i="2"/>
  <c r="D20" i="2"/>
  <c r="E20" i="2"/>
  <c r="D21" i="2"/>
  <c r="AG22" i="2"/>
  <c r="AG21" i="2"/>
  <c r="D17" i="2"/>
  <c r="E17" i="2" s="1"/>
  <c r="F17" i="2" s="1"/>
  <c r="G17" i="2" s="1"/>
  <c r="H17" i="2" s="1"/>
  <c r="I17" i="2" s="1"/>
  <c r="J17" i="2" s="1"/>
  <c r="K17" i="2" s="1"/>
  <c r="L17" i="2" s="1"/>
  <c r="M17" i="2" s="1"/>
  <c r="N17" i="2" s="1"/>
  <c r="O17" i="2" s="1"/>
  <c r="P17" i="2" s="1"/>
  <c r="Q17" i="2" s="1"/>
  <c r="R17" i="2" s="1"/>
  <c r="S17" i="2" s="1"/>
  <c r="T17" i="2" s="1"/>
  <c r="U17" i="2" s="1"/>
  <c r="V17" i="2" s="1"/>
  <c r="W17" i="2" s="1"/>
  <c r="X17" i="2" s="1"/>
  <c r="Y17" i="2" s="1"/>
  <c r="Z17" i="2" s="1"/>
  <c r="AA17" i="2" s="1"/>
  <c r="AB17" i="2" s="1"/>
  <c r="AC17" i="2" s="1"/>
  <c r="AD17" i="2" s="1"/>
  <c r="AE17" i="2" s="1"/>
  <c r="AF17" i="2" s="1"/>
  <c r="AG17" i="2" s="1"/>
  <c r="AH17" i="2" s="1"/>
  <c r="C40" i="11"/>
  <c r="D40" i="11"/>
  <c r="E40" i="11"/>
  <c r="F40" i="11" s="1"/>
  <c r="E21" i="2"/>
  <c r="E22" i="2"/>
  <c r="D19" i="2"/>
  <c r="G22" i="2"/>
  <c r="D22" i="2"/>
  <c r="E14" i="45" l="1"/>
  <c r="D32" i="45"/>
  <c r="M32" i="45" s="1"/>
  <c r="K30" i="45"/>
  <c r="F25" i="45"/>
  <c r="G14" i="45"/>
  <c r="E30" i="45"/>
  <c r="K14" i="45"/>
  <c r="J14" i="45"/>
  <c r="J30" i="45"/>
  <c r="H14" i="45"/>
  <c r="H30" i="45"/>
  <c r="G30" i="45"/>
  <c r="K14" i="53"/>
  <c r="G30" i="53"/>
  <c r="K30" i="53"/>
  <c r="F25" i="53"/>
  <c r="J14" i="53"/>
  <c r="E30" i="53"/>
  <c r="J30" i="53"/>
  <c r="H14" i="53"/>
  <c r="G14" i="53"/>
  <c r="H30" i="53"/>
  <c r="D32" i="53"/>
  <c r="M32" i="53" s="1"/>
  <c r="C9" i="3"/>
  <c r="M47" i="3"/>
  <c r="C15" i="3"/>
  <c r="C10" i="3"/>
  <c r="M53" i="3"/>
  <c r="I43" i="3"/>
  <c r="C8" i="3"/>
  <c r="I47" i="3"/>
  <c r="I51" i="3"/>
  <c r="C14" i="3"/>
  <c r="F15" i="3"/>
  <c r="C11" i="3"/>
  <c r="AD35" i="3"/>
  <c r="AD37" i="3" s="1"/>
  <c r="J24" i="3"/>
  <c r="AC35" i="3"/>
  <c r="AC37" i="3" s="1"/>
  <c r="M55" i="3"/>
  <c r="J22" i="3"/>
  <c r="M51" i="3"/>
  <c r="R15" i="3"/>
  <c r="G19" i="2"/>
  <c r="D26" i="2"/>
  <c r="L15" i="3"/>
  <c r="I15" i="3"/>
  <c r="O15" i="3"/>
  <c r="AG19" i="2"/>
  <c r="AH19" i="2"/>
  <c r="E41" i="11"/>
  <c r="E42" i="11" s="1"/>
  <c r="U15" i="3"/>
  <c r="D41" i="11"/>
  <c r="D42" i="11" s="1"/>
  <c r="F19" i="2"/>
  <c r="E26" i="2"/>
  <c r="G26" i="2"/>
  <c r="F26" i="2"/>
  <c r="F30" i="53" l="1"/>
  <c r="F14" i="45"/>
  <c r="E14" i="53"/>
  <c r="D14" i="22"/>
  <c r="D14" i="53" s="1"/>
  <c r="F14" i="53"/>
  <c r="F30" i="45"/>
  <c r="C12" i="3"/>
  <c r="C16" i="3"/>
  <c r="C18" i="3"/>
  <c r="M57" i="3"/>
  <c r="Y33" i="11"/>
  <c r="Z33" i="11" s="1"/>
  <c r="AA33" i="11" s="1"/>
  <c r="F2" i="6"/>
  <c r="M14" i="53" l="1"/>
  <c r="L14" i="53"/>
  <c r="AB33" i="11"/>
  <c r="AC33" i="11" s="1"/>
  <c r="AD33" i="11" s="1"/>
  <c r="AE33" i="11" s="1"/>
  <c r="AF33" i="11" s="1"/>
  <c r="AG33" i="11" s="1"/>
  <c r="AH33" i="11" s="1"/>
  <c r="AI33" i="11" s="1"/>
  <c r="AJ33" i="11" s="1"/>
  <c r="AK33" i="11" s="1"/>
  <c r="C20" i="3"/>
  <c r="D15" i="3" s="1"/>
  <c r="F47" i="6"/>
  <c r="F37" i="6"/>
  <c r="H21" i="2"/>
  <c r="H22" i="2"/>
  <c r="H20" i="2"/>
  <c r="AD40" i="3"/>
  <c r="F2" i="10"/>
  <c r="F43" i="10" l="1"/>
  <c r="B5" i="12"/>
  <c r="D11" i="3"/>
  <c r="D18" i="3"/>
  <c r="D8" i="3"/>
  <c r="D14" i="3"/>
  <c r="D16" i="3" s="1"/>
  <c r="D9" i="3"/>
  <c r="D10" i="3"/>
  <c r="F42" i="6"/>
  <c r="F43" i="6"/>
  <c r="G47" i="6"/>
  <c r="H2" i="6"/>
  <c r="I22" i="2"/>
  <c r="H26" i="2"/>
  <c r="I21" i="2"/>
  <c r="I20" i="2"/>
  <c r="G37" i="6"/>
  <c r="G2" i="10"/>
  <c r="B19" i="12" l="1"/>
  <c r="F26" i="10"/>
  <c r="F25" i="10"/>
  <c r="J20" i="2"/>
  <c r="D12" i="3"/>
  <c r="G43" i="6"/>
  <c r="H47" i="6"/>
  <c r="I2" i="6"/>
  <c r="C25" i="12"/>
  <c r="H37" i="6"/>
  <c r="F31" i="10"/>
  <c r="I26" i="2"/>
  <c r="C5" i="12"/>
  <c r="F71" i="8"/>
  <c r="F27" i="8"/>
  <c r="H2" i="10"/>
  <c r="G14" i="8"/>
  <c r="D2" i="12"/>
  <c r="G48" i="6"/>
  <c r="G19" i="6" l="1"/>
  <c r="F23" i="44"/>
  <c r="J22" i="2"/>
  <c r="G24" i="10"/>
  <c r="E21" i="6"/>
  <c r="E17" i="6"/>
  <c r="E63" i="6"/>
  <c r="E64" i="6"/>
  <c r="E61" i="6"/>
  <c r="F17" i="18"/>
  <c r="E50" i="6"/>
  <c r="F23" i="18"/>
  <c r="I37" i="6"/>
  <c r="I43" i="6" s="1"/>
  <c r="H43" i="6"/>
  <c r="I47" i="6"/>
  <c r="G44" i="10"/>
  <c r="G43" i="10"/>
  <c r="K21" i="2"/>
  <c r="D25" i="12"/>
  <c r="G31" i="10"/>
  <c r="D5" i="12"/>
  <c r="G71" i="8"/>
  <c r="G27" i="8"/>
  <c r="I2" i="10"/>
  <c r="H14" i="8"/>
  <c r="H48" i="6"/>
  <c r="K22" i="2" l="1"/>
  <c r="K20" i="2"/>
  <c r="G25" i="10"/>
  <c r="G26" i="10"/>
  <c r="H24" i="10"/>
  <c r="H43" i="10"/>
  <c r="H31" i="10"/>
  <c r="H44" i="10"/>
  <c r="E10" i="6"/>
  <c r="H97" i="8"/>
  <c r="H25" i="8"/>
  <c r="E9" i="6"/>
  <c r="C10" i="12"/>
  <c r="C19" i="12" s="1"/>
  <c r="E19" i="6"/>
  <c r="E23" i="6"/>
  <c r="F21" i="6"/>
  <c r="F63" i="6"/>
  <c r="F64" i="6"/>
  <c r="F17" i="6"/>
  <c r="F61" i="6"/>
  <c r="K65" i="18"/>
  <c r="D65" i="18" s="1"/>
  <c r="L21" i="2"/>
  <c r="P32" i="11"/>
  <c r="H27" i="8"/>
  <c r="H71" i="8"/>
  <c r="J2" i="10"/>
  <c r="I14" i="8"/>
  <c r="I48" i="6"/>
  <c r="K26" i="2" l="1"/>
  <c r="I19" i="6"/>
  <c r="L20" i="2"/>
  <c r="L22" i="2"/>
  <c r="H26" i="10"/>
  <c r="H25" i="10"/>
  <c r="F7" i="6"/>
  <c r="I25" i="8"/>
  <c r="F9" i="6"/>
  <c r="F6" i="6"/>
  <c r="E5" i="6"/>
  <c r="I24" i="10"/>
  <c r="F19" i="6"/>
  <c r="D10" i="12"/>
  <c r="D19" i="12" s="1"/>
  <c r="I97" i="8"/>
  <c r="H86" i="8"/>
  <c r="D60" i="18"/>
  <c r="G21" i="6"/>
  <c r="F23" i="6"/>
  <c r="D53" i="18"/>
  <c r="E6" i="6"/>
  <c r="E62" i="6"/>
  <c r="D42" i="18"/>
  <c r="E7" i="6"/>
  <c r="D54" i="18"/>
  <c r="D61" i="18"/>
  <c r="K65" i="19"/>
  <c r="D65" i="19" s="1"/>
  <c r="K41" i="18"/>
  <c r="D41" i="18" s="1"/>
  <c r="D51" i="18"/>
  <c r="D69" i="18"/>
  <c r="D71" i="18"/>
  <c r="D62" i="18"/>
  <c r="D70" i="18"/>
  <c r="D63" i="18"/>
  <c r="D75" i="18"/>
  <c r="D59" i="18"/>
  <c r="K64" i="18"/>
  <c r="K66" i="18" s="1"/>
  <c r="F41" i="18"/>
  <c r="K48" i="18"/>
  <c r="D52" i="18"/>
  <c r="I43" i="10"/>
  <c r="I44" i="10"/>
  <c r="M21" i="2"/>
  <c r="Q32" i="11"/>
  <c r="I31" i="10"/>
  <c r="I27" i="8"/>
  <c r="I71" i="8"/>
  <c r="D75" i="19" s="1"/>
  <c r="J14" i="8"/>
  <c r="J25" i="8" l="1"/>
  <c r="L26" i="2"/>
  <c r="M22" i="2"/>
  <c r="M20" i="2"/>
  <c r="D53" i="44"/>
  <c r="K65" i="20"/>
  <c r="F10" i="6"/>
  <c r="J24" i="10"/>
  <c r="J25" i="10" s="1"/>
  <c r="I25" i="10"/>
  <c r="I26" i="10"/>
  <c r="N21" i="2"/>
  <c r="H87" i="8"/>
  <c r="H89" i="8"/>
  <c r="H63" i="6"/>
  <c r="F62" i="6"/>
  <c r="K64" i="19"/>
  <c r="K66" i="19" s="1"/>
  <c r="G62" i="18"/>
  <c r="F62" i="18"/>
  <c r="J43" i="10"/>
  <c r="J44" i="10"/>
  <c r="R32" i="11"/>
  <c r="J31" i="10"/>
  <c r="U23" i="5"/>
  <c r="B11" i="5" s="1"/>
  <c r="B12" i="5" s="1"/>
  <c r="J71" i="8"/>
  <c r="J27" i="8"/>
  <c r="K64" i="20" s="1"/>
  <c r="K64" i="44" s="1"/>
  <c r="K14" i="8"/>
  <c r="M26" i="2" l="1"/>
  <c r="D71" i="20"/>
  <c r="D71" i="44" s="1"/>
  <c r="D65" i="20"/>
  <c r="K65" i="44"/>
  <c r="K66" i="44" s="1"/>
  <c r="N22" i="2"/>
  <c r="N20" i="2"/>
  <c r="I66" i="44"/>
  <c r="K25" i="8"/>
  <c r="F41" i="44"/>
  <c r="E15" i="13"/>
  <c r="D51" i="20"/>
  <c r="D19" i="13"/>
  <c r="H91" i="8"/>
  <c r="J26" i="10"/>
  <c r="D19" i="42"/>
  <c r="I63" i="6"/>
  <c r="G62" i="6"/>
  <c r="D75" i="20"/>
  <c r="O21" i="2"/>
  <c r="S32" i="11"/>
  <c r="I86" i="8"/>
  <c r="I89" i="8" s="1"/>
  <c r="V24" i="5" s="1"/>
  <c r="U24" i="5"/>
  <c r="B7" i="5" s="1"/>
  <c r="K71" i="8"/>
  <c r="D75" i="21" s="1"/>
  <c r="K27" i="8"/>
  <c r="D63" i="21" s="1"/>
  <c r="L14" i="8"/>
  <c r="K65" i="22" s="1"/>
  <c r="D63" i="45" l="1"/>
  <c r="M63" i="45" s="1"/>
  <c r="H63" i="21"/>
  <c r="H63" i="45" s="1"/>
  <c r="H66" i="45" s="1"/>
  <c r="F63" i="21"/>
  <c r="G63" i="21"/>
  <c r="G63" i="45" s="1"/>
  <c r="E63" i="21"/>
  <c r="E63" i="45" s="1"/>
  <c r="E66" i="45" s="1"/>
  <c r="J63" i="21"/>
  <c r="J63" i="45" s="1"/>
  <c r="J66" i="45" s="1"/>
  <c r="I63" i="21"/>
  <c r="D65" i="22"/>
  <c r="D65" i="53" s="1"/>
  <c r="M65" i="53" s="1"/>
  <c r="K65" i="53"/>
  <c r="D51" i="44"/>
  <c r="D75" i="45"/>
  <c r="M75" i="45" s="1"/>
  <c r="D65" i="44"/>
  <c r="M65" i="44" s="1"/>
  <c r="O20" i="2"/>
  <c r="O22" i="2"/>
  <c r="M71" i="44"/>
  <c r="D41" i="20"/>
  <c r="D52" i="20"/>
  <c r="K48" i="44"/>
  <c r="K48" i="20"/>
  <c r="K49" i="20" s="1"/>
  <c r="D30" i="13"/>
  <c r="L25" i="8"/>
  <c r="D15" i="13"/>
  <c r="P21" i="2"/>
  <c r="H62" i="6"/>
  <c r="T32" i="11"/>
  <c r="I87" i="8"/>
  <c r="J86" i="8"/>
  <c r="J92" i="8"/>
  <c r="E7" i="5"/>
  <c r="L71" i="8"/>
  <c r="D41" i="13" s="1"/>
  <c r="L27" i="8"/>
  <c r="L15" i="13"/>
  <c r="F63" i="45" l="1"/>
  <c r="D41" i="44"/>
  <c r="M41" i="44" s="1"/>
  <c r="D52" i="44"/>
  <c r="M52" i="44" s="1"/>
  <c r="P20" i="2"/>
  <c r="P22" i="2"/>
  <c r="K48" i="21"/>
  <c r="K49" i="44"/>
  <c r="D52" i="21"/>
  <c r="D41" i="21"/>
  <c r="J89" i="8"/>
  <c r="J87" i="8"/>
  <c r="I62" i="6"/>
  <c r="Q21" i="2"/>
  <c r="U32" i="11"/>
  <c r="J90" i="8"/>
  <c r="I90" i="8"/>
  <c r="K86" i="8"/>
  <c r="K89" i="8" s="1"/>
  <c r="K92" i="8"/>
  <c r="D41" i="45" l="1"/>
  <c r="M41" i="45" s="1"/>
  <c r="D52" i="45"/>
  <c r="M52" i="45" s="1"/>
  <c r="K48" i="45"/>
  <c r="K49" i="45" s="1"/>
  <c r="Q22" i="2"/>
  <c r="Q20" i="2"/>
  <c r="D41" i="22"/>
  <c r="D52" i="22"/>
  <c r="K48" i="22"/>
  <c r="W24" i="5"/>
  <c r="H7" i="5" s="1"/>
  <c r="E8" i="6"/>
  <c r="J91" i="8"/>
  <c r="G8" i="6" s="1"/>
  <c r="V23" i="5"/>
  <c r="E11" i="5" s="1"/>
  <c r="E12" i="5" s="1"/>
  <c r="I91" i="8"/>
  <c r="K90" i="8"/>
  <c r="L86" i="8"/>
  <c r="L89" i="8" s="1"/>
  <c r="L92" i="8"/>
  <c r="D52" i="53" l="1"/>
  <c r="M52" i="53" s="1"/>
  <c r="D41" i="53"/>
  <c r="M41" i="53" s="1"/>
  <c r="K48" i="53"/>
  <c r="K49" i="53" s="1"/>
  <c r="R20" i="2"/>
  <c r="R22" i="2"/>
  <c r="D41" i="23"/>
  <c r="K48" i="23"/>
  <c r="D52" i="23"/>
  <c r="I49" i="44"/>
  <c r="F8" i="6"/>
  <c r="S21" i="2"/>
  <c r="K87" i="8"/>
  <c r="R21" i="2"/>
  <c r="V32" i="11"/>
  <c r="X32" i="11"/>
  <c r="W23" i="5"/>
  <c r="H11" i="5" s="1"/>
  <c r="H12" i="5" s="1"/>
  <c r="K91" i="8"/>
  <c r="H8" i="6" s="1"/>
  <c r="L90" i="8"/>
  <c r="S20" i="2" l="1"/>
  <c r="S22" i="2"/>
  <c r="D41" i="24"/>
  <c r="D52" i="24"/>
  <c r="K48" i="24"/>
  <c r="T21" i="2"/>
  <c r="L91" i="8"/>
  <c r="I8" i="6" s="1"/>
  <c r="L87" i="8"/>
  <c r="T22" i="2" l="1"/>
  <c r="T20" i="2"/>
  <c r="K48" i="25"/>
  <c r="D41" i="25"/>
  <c r="D52" i="25"/>
  <c r="D63" i="26"/>
  <c r="D60" i="26"/>
  <c r="G60" i="26" s="1"/>
  <c r="D62" i="26"/>
  <c r="U21" i="2"/>
  <c r="X24" i="5"/>
  <c r="K7" i="5" s="1"/>
  <c r="Y32" i="11"/>
  <c r="U22" i="2" l="1"/>
  <c r="U20" i="2"/>
  <c r="J63" i="26"/>
  <c r="J66" i="26" s="1"/>
  <c r="H63" i="26"/>
  <c r="H66" i="26" s="1"/>
  <c r="I63" i="26"/>
  <c r="F63" i="26"/>
  <c r="E63" i="26"/>
  <c r="E66" i="26" s="1"/>
  <c r="G63" i="26"/>
  <c r="D61" i="26"/>
  <c r="F61" i="26" s="1"/>
  <c r="G62" i="26"/>
  <c r="F62" i="26"/>
  <c r="D59" i="26"/>
  <c r="D41" i="26"/>
  <c r="D52" i="26"/>
  <c r="K48" i="26"/>
  <c r="D60" i="27"/>
  <c r="G60" i="27" s="1"/>
  <c r="Y24" i="5"/>
  <c r="N7" i="5" s="1"/>
  <c r="V21" i="2"/>
  <c r="X23" i="5"/>
  <c r="K11" i="5" s="1"/>
  <c r="K12" i="5" s="1"/>
  <c r="Z32" i="11"/>
  <c r="D62" i="27"/>
  <c r="D63" i="27"/>
  <c r="V22" i="2" l="1"/>
  <c r="V20" i="2"/>
  <c r="G62" i="27"/>
  <c r="F62" i="27"/>
  <c r="F66" i="26"/>
  <c r="I63" i="27"/>
  <c r="E63" i="27"/>
  <c r="E66" i="27" s="1"/>
  <c r="G63" i="27"/>
  <c r="H63" i="27"/>
  <c r="H66" i="27" s="1"/>
  <c r="F63" i="27"/>
  <c r="J63" i="27"/>
  <c r="J66" i="27" s="1"/>
  <c r="D61" i="27"/>
  <c r="F61" i="27" s="1"/>
  <c r="D59" i="27"/>
  <c r="D52" i="27"/>
  <c r="K48" i="27"/>
  <c r="G66" i="26"/>
  <c r="W21" i="2"/>
  <c r="D63" i="28"/>
  <c r="D60" i="28"/>
  <c r="G60" i="28" s="1"/>
  <c r="D62" i="28"/>
  <c r="W22" i="2" l="1"/>
  <c r="W20" i="2"/>
  <c r="I66" i="26"/>
  <c r="D61" i="28"/>
  <c r="F61" i="28" s="1"/>
  <c r="J63" i="28"/>
  <c r="F63" i="28"/>
  <c r="H63" i="28"/>
  <c r="G63" i="28"/>
  <c r="E63" i="28"/>
  <c r="I63" i="28"/>
  <c r="F62" i="28"/>
  <c r="G62" i="28"/>
  <c r="D59" i="28"/>
  <c r="I66" i="27"/>
  <c r="F66" i="27"/>
  <c r="D41" i="28"/>
  <c r="D52" i="28"/>
  <c r="K48" i="28"/>
  <c r="G66" i="27"/>
  <c r="X21" i="2"/>
  <c r="D53" i="34"/>
  <c r="AB32" i="11"/>
  <c r="D42" i="34"/>
  <c r="X22" i="2" l="1"/>
  <c r="X20" i="2"/>
  <c r="I66" i="28"/>
  <c r="M51" i="44"/>
  <c r="J66" i="28"/>
  <c r="H66" i="28"/>
  <c r="E66" i="28"/>
  <c r="Y23" i="5"/>
  <c r="N11" i="5" s="1"/>
  <c r="N12" i="5" s="1"/>
  <c r="D53" i="28"/>
  <c r="Y21" i="2"/>
  <c r="K64" i="34"/>
  <c r="K65" i="34" s="1"/>
  <c r="AC32" i="11"/>
  <c r="F41" i="34"/>
  <c r="D54" i="34"/>
  <c r="D59" i="34"/>
  <c r="D52" i="34"/>
  <c r="D69" i="34"/>
  <c r="D60" i="34"/>
  <c r="G60" i="34" s="1"/>
  <c r="D51" i="34"/>
  <c r="K48" i="34"/>
  <c r="D48" i="34" s="1"/>
  <c r="D62" i="34"/>
  <c r="D70" i="34"/>
  <c r="K70" i="34" s="1"/>
  <c r="D63" i="34"/>
  <c r="N34" i="11"/>
  <c r="Y22" i="2" l="1"/>
  <c r="Y20" i="2"/>
  <c r="G66" i="28"/>
  <c r="F66" i="28"/>
  <c r="N35" i="11"/>
  <c r="N36" i="11" s="1"/>
  <c r="N37" i="11" s="1"/>
  <c r="N38" i="11" s="1"/>
  <c r="Z21" i="2"/>
  <c r="D68" i="34"/>
  <c r="F68" i="34" s="1"/>
  <c r="K41" i="34"/>
  <c r="D41" i="34" s="1"/>
  <c r="D44" i="34" s="1"/>
  <c r="D46" i="34" s="1"/>
  <c r="D45" i="34" s="1"/>
  <c r="AD32" i="11"/>
  <c r="D61" i="34"/>
  <c r="F61" i="34" s="1"/>
  <c r="D64" i="34"/>
  <c r="D55" i="34"/>
  <c r="F63" i="34"/>
  <c r="G63" i="34"/>
  <c r="J63" i="34"/>
  <c r="J65" i="34" s="1"/>
  <c r="I63" i="34"/>
  <c r="E63" i="34"/>
  <c r="E65" i="34" s="1"/>
  <c r="H63" i="34"/>
  <c r="H65" i="34" s="1"/>
  <c r="Z22" i="2" l="1"/>
  <c r="Z20" i="2"/>
  <c r="O34" i="11"/>
  <c r="I65" i="34"/>
  <c r="AA21" i="2"/>
  <c r="K49" i="34"/>
  <c r="AE32" i="11"/>
  <c r="D65" i="34"/>
  <c r="F65" i="34"/>
  <c r="G65" i="34"/>
  <c r="G45" i="34"/>
  <c r="H45" i="34"/>
  <c r="J45" i="34"/>
  <c r="E45" i="34"/>
  <c r="F45" i="34"/>
  <c r="I45" i="34"/>
  <c r="H46" i="34"/>
  <c r="F46" i="34"/>
  <c r="I46" i="34"/>
  <c r="J46" i="34"/>
  <c r="G46" i="34"/>
  <c r="E46" i="34"/>
  <c r="AA22" i="2" l="1"/>
  <c r="AA20" i="2"/>
  <c r="AB21" i="2"/>
  <c r="AF32" i="11"/>
  <c r="J47" i="34"/>
  <c r="J49" i="34" s="1"/>
  <c r="I47" i="34"/>
  <c r="I49" i="34" s="1"/>
  <c r="E47" i="34"/>
  <c r="H47" i="34"/>
  <c r="H49" i="34" s="1"/>
  <c r="F47" i="34"/>
  <c r="F49" i="34" s="1"/>
  <c r="G47" i="34"/>
  <c r="G49" i="34" s="1"/>
  <c r="O35" i="11"/>
  <c r="P34" i="11" s="1"/>
  <c r="AB20" i="2" l="1"/>
  <c r="AB22" i="2"/>
  <c r="AC21" i="2"/>
  <c r="AG32" i="11"/>
  <c r="E49" i="34"/>
  <c r="D47" i="34"/>
  <c r="O36" i="11"/>
  <c r="O37" i="11" s="1"/>
  <c r="P35" i="11"/>
  <c r="Q34" i="11" s="1"/>
  <c r="Q35" i="11" s="1"/>
  <c r="AC22" i="2" l="1"/>
  <c r="AC20" i="2"/>
  <c r="AD21" i="2"/>
  <c r="AH32" i="11"/>
  <c r="D49" i="34"/>
  <c r="E69" i="34" s="1"/>
  <c r="P36" i="11"/>
  <c r="P37" i="11" s="1"/>
  <c r="Q36" i="11"/>
  <c r="Q37" i="11" s="1"/>
  <c r="R34" i="11"/>
  <c r="AD22" i="2" l="1"/>
  <c r="AD20" i="2"/>
  <c r="E46" i="6"/>
  <c r="F46" i="6"/>
  <c r="AE21" i="2"/>
  <c r="AI32" i="11"/>
  <c r="E51" i="34"/>
  <c r="E54" i="34"/>
  <c r="E52" i="34"/>
  <c r="E53" i="34"/>
  <c r="E31" i="34"/>
  <c r="D56" i="34"/>
  <c r="K69" i="34"/>
  <c r="K53" i="34"/>
  <c r="K54" i="34"/>
  <c r="K51" i="34"/>
  <c r="K52" i="34"/>
  <c r="K31" i="34"/>
  <c r="J51" i="34"/>
  <c r="J69" i="34"/>
  <c r="I53" i="34"/>
  <c r="J31" i="34"/>
  <c r="J52" i="34"/>
  <c r="I51" i="34"/>
  <c r="I52" i="34"/>
  <c r="J53" i="34"/>
  <c r="I31" i="34"/>
  <c r="J54" i="34"/>
  <c r="I54" i="34"/>
  <c r="I69" i="34"/>
  <c r="G53" i="34"/>
  <c r="F52" i="34"/>
  <c r="F69" i="34"/>
  <c r="H54" i="34"/>
  <c r="G69" i="34"/>
  <c r="G51" i="34"/>
  <c r="F53" i="34"/>
  <c r="H52" i="34"/>
  <c r="H53" i="34"/>
  <c r="G31" i="34"/>
  <c r="F54" i="34"/>
  <c r="F31" i="34"/>
  <c r="H31" i="34"/>
  <c r="G54" i="34"/>
  <c r="G52" i="34"/>
  <c r="F51" i="34"/>
  <c r="H51" i="34"/>
  <c r="H69" i="34"/>
  <c r="R35" i="11"/>
  <c r="S34" i="11" s="1"/>
  <c r="AE22" i="2" l="1"/>
  <c r="AE20" i="2"/>
  <c r="AK32" i="11"/>
  <c r="AJ32" i="11"/>
  <c r="E55" i="34"/>
  <c r="E56" i="34" s="1"/>
  <c r="F55" i="34"/>
  <c r="F56" i="34" s="1"/>
  <c r="H55" i="34"/>
  <c r="H56" i="34" s="1"/>
  <c r="J55" i="34"/>
  <c r="J56" i="34" s="1"/>
  <c r="D31" i="34"/>
  <c r="G55" i="34"/>
  <c r="G56" i="34" s="1"/>
  <c r="I55" i="34"/>
  <c r="I56" i="34" s="1"/>
  <c r="K55" i="34"/>
  <c r="R36" i="11"/>
  <c r="R37" i="11" s="1"/>
  <c r="S35" i="11"/>
  <c r="T34" i="11" s="1"/>
  <c r="H19" i="6" l="1"/>
  <c r="AF22" i="2"/>
  <c r="AF21" i="2"/>
  <c r="F50" i="6"/>
  <c r="F23" i="38"/>
  <c r="C12" i="12"/>
  <c r="B12" i="12"/>
  <c r="D12" i="12"/>
  <c r="G63" i="6"/>
  <c r="H61" i="6"/>
  <c r="K56" i="34"/>
  <c r="AF20" i="2"/>
  <c r="F23" i="17"/>
  <c r="H64" i="6"/>
  <c r="G17" i="6"/>
  <c r="H17" i="6"/>
  <c r="I61" i="6"/>
  <c r="G61" i="6"/>
  <c r="G23" i="6"/>
  <c r="H21" i="6"/>
  <c r="G64" i="6"/>
  <c r="I21" i="6"/>
  <c r="I23" i="6"/>
  <c r="H23" i="6"/>
  <c r="I64" i="6"/>
  <c r="I17" i="6"/>
  <c r="S36" i="11"/>
  <c r="S37" i="11" s="1"/>
  <c r="T35" i="11"/>
  <c r="U34" i="11" s="1"/>
  <c r="F19" i="42" l="1"/>
  <c r="G19" i="42"/>
  <c r="E19" i="42"/>
  <c r="F18" i="38"/>
  <c r="T36" i="11"/>
  <c r="T37" i="11" s="1"/>
  <c r="U35" i="11"/>
  <c r="V34" i="11" s="1"/>
  <c r="D18" i="38" l="1"/>
  <c r="F18" i="17"/>
  <c r="K41" i="17"/>
  <c r="D41" i="17" s="1"/>
  <c r="K41" i="29"/>
  <c r="D41" i="29" s="1"/>
  <c r="K41" i="19"/>
  <c r="D41" i="19" s="1"/>
  <c r="U36" i="11"/>
  <c r="U37" i="11" s="1"/>
  <c r="D51" i="29"/>
  <c r="D51" i="17"/>
  <c r="D52" i="29"/>
  <c r="F41" i="21"/>
  <c r="F41" i="20"/>
  <c r="D52" i="19"/>
  <c r="D51" i="25"/>
  <c r="F41" i="27"/>
  <c r="F41" i="24"/>
  <c r="F41" i="23"/>
  <c r="D51" i="27"/>
  <c r="F41" i="28"/>
  <c r="K48" i="19"/>
  <c r="F41" i="22"/>
  <c r="F41" i="25"/>
  <c r="D51" i="26"/>
  <c r="D51" i="21"/>
  <c r="F41" i="17"/>
  <c r="D51" i="28"/>
  <c r="D51" i="24"/>
  <c r="D51" i="23"/>
  <c r="D51" i="22"/>
  <c r="F41" i="26"/>
  <c r="F41" i="19"/>
  <c r="F41" i="29"/>
  <c r="D52" i="17"/>
  <c r="D51" i="19"/>
  <c r="K48" i="29"/>
  <c r="K48" i="17"/>
  <c r="V35" i="11"/>
  <c r="W34" i="11" s="1"/>
  <c r="K65" i="24" l="1"/>
  <c r="D65" i="24" s="1"/>
  <c r="D75" i="53"/>
  <c r="K65" i="21"/>
  <c r="K65" i="27"/>
  <c r="D65" i="27" s="1"/>
  <c r="K65" i="23"/>
  <c r="D65" i="23" s="1"/>
  <c r="K65" i="25"/>
  <c r="D65" i="25" s="1"/>
  <c r="K65" i="26"/>
  <c r="D65" i="26" s="1"/>
  <c r="K65" i="28"/>
  <c r="D65" i="28" s="1"/>
  <c r="F41" i="45"/>
  <c r="D51" i="53"/>
  <c r="M51" i="53" s="1"/>
  <c r="F41" i="53"/>
  <c r="D51" i="45"/>
  <c r="M51" i="45" s="1"/>
  <c r="D75" i="44"/>
  <c r="E26" i="13"/>
  <c r="E37" i="13"/>
  <c r="D75" i="26"/>
  <c r="D75" i="24"/>
  <c r="D75" i="25"/>
  <c r="D75" i="27"/>
  <c r="D75" i="23"/>
  <c r="D75" i="28"/>
  <c r="D75" i="22"/>
  <c r="D51" i="38"/>
  <c r="D55" i="38" s="1"/>
  <c r="F41" i="38"/>
  <c r="K48" i="38"/>
  <c r="K41" i="38"/>
  <c r="D41" i="38" s="1"/>
  <c r="D44" i="38" s="1"/>
  <c r="D46" i="38" s="1"/>
  <c r="D52" i="38"/>
  <c r="D54" i="38"/>
  <c r="D42" i="38"/>
  <c r="D53" i="38"/>
  <c r="F18" i="18"/>
  <c r="D18" i="17"/>
  <c r="V36" i="11"/>
  <c r="V37" i="11" s="1"/>
  <c r="K49" i="21"/>
  <c r="D48" i="21"/>
  <c r="D48" i="29"/>
  <c r="K49" i="29"/>
  <c r="K49" i="28"/>
  <c r="D48" i="28"/>
  <c r="D48" i="25"/>
  <c r="K49" i="25"/>
  <c r="K49" i="26"/>
  <c r="D48" i="26"/>
  <c r="D48" i="19"/>
  <c r="K49" i="19"/>
  <c r="D48" i="24"/>
  <c r="K49" i="24"/>
  <c r="K49" i="17"/>
  <c r="D48" i="17"/>
  <c r="D48" i="18"/>
  <c r="K49" i="18"/>
  <c r="K49" i="22"/>
  <c r="D48" i="22"/>
  <c r="D48" i="20"/>
  <c r="K49" i="23"/>
  <c r="D48" i="23"/>
  <c r="K49" i="27"/>
  <c r="D48" i="27"/>
  <c r="W35" i="11"/>
  <c r="X34" i="11" s="1"/>
  <c r="D65" i="21" l="1"/>
  <c r="D65" i="45" s="1"/>
  <c r="M65" i="45" s="1"/>
  <c r="K65" i="45"/>
  <c r="D48" i="53"/>
  <c r="M48" i="53" s="1"/>
  <c r="M75" i="53"/>
  <c r="D48" i="45"/>
  <c r="M48" i="45" s="1"/>
  <c r="D48" i="44"/>
  <c r="L48" i="44" s="1"/>
  <c r="D26" i="13"/>
  <c r="D37" i="13"/>
  <c r="M75" i="44"/>
  <c r="D45" i="38"/>
  <c r="J46" i="38"/>
  <c r="G46" i="38"/>
  <c r="H46" i="38"/>
  <c r="F46" i="38"/>
  <c r="I46" i="38"/>
  <c r="E46" i="38"/>
  <c r="K49" i="38"/>
  <c r="D48" i="38"/>
  <c r="F18" i="19"/>
  <c r="D18" i="18"/>
  <c r="W36" i="11"/>
  <c r="W37" i="11" s="1"/>
  <c r="D61" i="17"/>
  <c r="F61" i="17" s="1"/>
  <c r="F61" i="18"/>
  <c r="D60" i="19"/>
  <c r="G60" i="19" s="1"/>
  <c r="D62" i="19"/>
  <c r="K64" i="29"/>
  <c r="D69" i="17"/>
  <c r="F69" i="18"/>
  <c r="D63" i="17"/>
  <c r="K71" i="18"/>
  <c r="D70" i="17"/>
  <c r="K70" i="17" s="1"/>
  <c r="D59" i="17"/>
  <c r="D60" i="17"/>
  <c r="G60" i="17" s="1"/>
  <c r="D59" i="29"/>
  <c r="D71" i="19"/>
  <c r="K71" i="19" s="1"/>
  <c r="K64" i="17"/>
  <c r="K71" i="20"/>
  <c r="D62" i="17"/>
  <c r="D60" i="29"/>
  <c r="G60" i="29" s="1"/>
  <c r="D63" i="19"/>
  <c r="D59" i="19"/>
  <c r="D62" i="29"/>
  <c r="D68" i="17"/>
  <c r="F68" i="17" s="1"/>
  <c r="D63" i="29"/>
  <c r="D70" i="19"/>
  <c r="D61" i="19"/>
  <c r="F61" i="19" s="1"/>
  <c r="D69" i="19"/>
  <c r="F69" i="19" s="1"/>
  <c r="G60" i="18"/>
  <c r="D61" i="29"/>
  <c r="F61" i="29" s="1"/>
  <c r="D70" i="29"/>
  <c r="K70" i="29" s="1"/>
  <c r="D69" i="29"/>
  <c r="D68" i="29"/>
  <c r="F68" i="29" s="1"/>
  <c r="X35" i="11"/>
  <c r="Y34" i="11" s="1"/>
  <c r="L37" i="13"/>
  <c r="L26" i="13"/>
  <c r="M48" i="44" l="1"/>
  <c r="L48" i="45"/>
  <c r="K71" i="44"/>
  <c r="I45" i="38"/>
  <c r="I47" i="38" s="1"/>
  <c r="I49" i="38" s="1"/>
  <c r="F45" i="38"/>
  <c r="F47" i="38" s="1"/>
  <c r="F49" i="38" s="1"/>
  <c r="J45" i="38"/>
  <c r="J47" i="38" s="1"/>
  <c r="J49" i="38" s="1"/>
  <c r="H45" i="38"/>
  <c r="H47" i="38" s="1"/>
  <c r="H49" i="38" s="1"/>
  <c r="E45" i="38"/>
  <c r="E47" i="38" s="1"/>
  <c r="G45" i="38"/>
  <c r="G47" i="38" s="1"/>
  <c r="G49" i="38" s="1"/>
  <c r="F62" i="19"/>
  <c r="G62" i="19"/>
  <c r="F18" i="20"/>
  <c r="D18" i="19"/>
  <c r="X36" i="11"/>
  <c r="X37" i="11" s="1"/>
  <c r="G63" i="19"/>
  <c r="I63" i="19"/>
  <c r="H63" i="19"/>
  <c r="H66" i="19" s="1"/>
  <c r="J63" i="19"/>
  <c r="J66" i="19" s="1"/>
  <c r="F63" i="19"/>
  <c r="E63" i="19"/>
  <c r="E66" i="19" s="1"/>
  <c r="D64" i="29"/>
  <c r="D65" i="29" s="1"/>
  <c r="K65" i="29"/>
  <c r="D64" i="17"/>
  <c r="D65" i="17" s="1"/>
  <c r="K65" i="17"/>
  <c r="J63" i="17"/>
  <c r="J65" i="17" s="1"/>
  <c r="G63" i="17"/>
  <c r="E63" i="17"/>
  <c r="E65" i="17" s="1"/>
  <c r="F63" i="17"/>
  <c r="H63" i="17"/>
  <c r="H65" i="17" s="1"/>
  <c r="I63" i="17"/>
  <c r="D64" i="18"/>
  <c r="D66" i="18" s="1"/>
  <c r="H63" i="29"/>
  <c r="H65" i="29" s="1"/>
  <c r="J63" i="29"/>
  <c r="J65" i="29" s="1"/>
  <c r="I63" i="29"/>
  <c r="E63" i="29"/>
  <c r="E65" i="29" s="1"/>
  <c r="F63" i="29"/>
  <c r="G63" i="29"/>
  <c r="D64" i="19"/>
  <c r="D66" i="19" s="1"/>
  <c r="J63" i="18"/>
  <c r="J66" i="18" s="1"/>
  <c r="I63" i="18"/>
  <c r="F63" i="18"/>
  <c r="H63" i="18"/>
  <c r="H66" i="18" s="1"/>
  <c r="E63" i="18"/>
  <c r="E66" i="18" s="1"/>
  <c r="G63" i="18"/>
  <c r="D53" i="29"/>
  <c r="D42" i="29"/>
  <c r="D44" i="29" s="1"/>
  <c r="D54" i="29"/>
  <c r="D42" i="17"/>
  <c r="D44" i="17" s="1"/>
  <c r="D54" i="21"/>
  <c r="D42" i="24"/>
  <c r="D53" i="23"/>
  <c r="D53" i="22"/>
  <c r="D54" i="27"/>
  <c r="D42" i="19"/>
  <c r="D44" i="19" s="1"/>
  <c r="D53" i="20"/>
  <c r="D42" i="22"/>
  <c r="D53" i="17"/>
  <c r="D53" i="21"/>
  <c r="D54" i="24"/>
  <c r="D54" i="19"/>
  <c r="D42" i="25"/>
  <c r="D42" i="23"/>
  <c r="D54" i="17"/>
  <c r="D53" i="25"/>
  <c r="D42" i="28"/>
  <c r="D42" i="21"/>
  <c r="D54" i="26"/>
  <c r="D53" i="19"/>
  <c r="D54" i="28"/>
  <c r="D55" i="28" s="1"/>
  <c r="D42" i="20"/>
  <c r="D54" i="22"/>
  <c r="D53" i="27"/>
  <c r="D54" i="23"/>
  <c r="D54" i="20"/>
  <c r="D42" i="26"/>
  <c r="D54" i="25"/>
  <c r="D42" i="27"/>
  <c r="D44" i="27" s="1"/>
  <c r="D46" i="27" s="1"/>
  <c r="D53" i="24"/>
  <c r="D44" i="18"/>
  <c r="D53" i="26"/>
  <c r="Y35" i="11"/>
  <c r="Z34" i="11" s="1"/>
  <c r="Z35" i="11" s="1"/>
  <c r="Z36" i="11" s="1"/>
  <c r="Z37" i="11" s="1"/>
  <c r="K64" i="25" l="1"/>
  <c r="D64" i="25" s="1"/>
  <c r="D60" i="21"/>
  <c r="K64" i="27"/>
  <c r="D64" i="27" s="1"/>
  <c r="K64" i="26"/>
  <c r="D64" i="26" s="1"/>
  <c r="K64" i="28"/>
  <c r="D64" i="28" s="1"/>
  <c r="D61" i="20"/>
  <c r="K64" i="24"/>
  <c r="D64" i="24" s="1"/>
  <c r="D63" i="23"/>
  <c r="D71" i="25"/>
  <c r="D70" i="21"/>
  <c r="D70" i="45" s="1"/>
  <c r="M70" i="45" s="1"/>
  <c r="D61" i="23"/>
  <c r="F61" i="23" s="1"/>
  <c r="D60" i="25"/>
  <c r="G60" i="25" s="1"/>
  <c r="K64" i="21"/>
  <c r="D62" i="20"/>
  <c r="D69" i="24"/>
  <c r="D62" i="22"/>
  <c r="D71" i="22"/>
  <c r="D71" i="53" s="1"/>
  <c r="M71" i="53" s="1"/>
  <c r="D69" i="27"/>
  <c r="D63" i="25"/>
  <c r="D69" i="23"/>
  <c r="D63" i="22"/>
  <c r="D60" i="20"/>
  <c r="D60" i="23"/>
  <c r="G60" i="23" s="1"/>
  <c r="D62" i="24"/>
  <c r="D70" i="27"/>
  <c r="D59" i="20"/>
  <c r="D59" i="22"/>
  <c r="I59" i="22" s="1"/>
  <c r="D70" i="28"/>
  <c r="D61" i="21"/>
  <c r="D61" i="25"/>
  <c r="F61" i="25" s="1"/>
  <c r="D63" i="24"/>
  <c r="D59" i="25"/>
  <c r="D59" i="23"/>
  <c r="D70" i="26"/>
  <c r="D69" i="20"/>
  <c r="D70" i="20"/>
  <c r="D63" i="20"/>
  <c r="D59" i="21"/>
  <c r="I59" i="21" s="1"/>
  <c r="D69" i="26"/>
  <c r="D60" i="24"/>
  <c r="G60" i="24" s="1"/>
  <c r="D59" i="24"/>
  <c r="D60" i="22"/>
  <c r="D62" i="23"/>
  <c r="D69" i="28"/>
  <c r="F69" i="28" s="1"/>
  <c r="D71" i="23"/>
  <c r="D71" i="24"/>
  <c r="D70" i="23"/>
  <c r="D71" i="26"/>
  <c r="D69" i="25"/>
  <c r="D70" i="22"/>
  <c r="D70" i="53" s="1"/>
  <c r="M70" i="53" s="1"/>
  <c r="D70" i="25"/>
  <c r="D69" i="22"/>
  <c r="D69" i="53" s="1"/>
  <c r="M69" i="53" s="1"/>
  <c r="D71" i="28"/>
  <c r="K71" i="28" s="1"/>
  <c r="D71" i="21"/>
  <c r="D71" i="45" s="1"/>
  <c r="M71" i="45" s="1"/>
  <c r="D62" i="25"/>
  <c r="D69" i="21"/>
  <c r="K64" i="23"/>
  <c r="D61" i="22"/>
  <c r="D61" i="24"/>
  <c r="F61" i="24" s="1"/>
  <c r="D71" i="27"/>
  <c r="K71" i="27" s="1"/>
  <c r="D62" i="21"/>
  <c r="D70" i="24"/>
  <c r="K64" i="22"/>
  <c r="D42" i="53"/>
  <c r="M42" i="53" s="1"/>
  <c r="D53" i="53"/>
  <c r="M53" i="53" s="1"/>
  <c r="D54" i="53"/>
  <c r="M54" i="53" s="1"/>
  <c r="D54" i="44"/>
  <c r="D55" i="44" s="1"/>
  <c r="D42" i="44"/>
  <c r="D44" i="44" s="1"/>
  <c r="D42" i="45"/>
  <c r="M42" i="45" s="1"/>
  <c r="D53" i="45"/>
  <c r="M53" i="45" s="1"/>
  <c r="F18" i="44"/>
  <c r="D54" i="45"/>
  <c r="M54" i="45" s="1"/>
  <c r="M53" i="44"/>
  <c r="D44" i="20"/>
  <c r="D44" i="21"/>
  <c r="D44" i="23"/>
  <c r="D44" i="24"/>
  <c r="D44" i="25"/>
  <c r="D44" i="22"/>
  <c r="D44" i="26"/>
  <c r="F69" i="27"/>
  <c r="K64" i="38"/>
  <c r="D63" i="38"/>
  <c r="D62" i="38"/>
  <c r="D59" i="38"/>
  <c r="D61" i="38"/>
  <c r="F61" i="38" s="1"/>
  <c r="D69" i="38"/>
  <c r="D68" i="38"/>
  <c r="F68" i="38" s="1"/>
  <c r="D60" i="38"/>
  <c r="G60" i="38" s="1"/>
  <c r="G65" i="38" s="1"/>
  <c r="D70" i="38"/>
  <c r="K70" i="38" s="1"/>
  <c r="E49" i="38"/>
  <c r="D47" i="38"/>
  <c r="D44" i="28"/>
  <c r="D46" i="28" s="1"/>
  <c r="G66" i="18"/>
  <c r="I66" i="18"/>
  <c r="G66" i="19"/>
  <c r="F66" i="19"/>
  <c r="I66" i="19"/>
  <c r="F66" i="18"/>
  <c r="F18" i="21"/>
  <c r="D18" i="20"/>
  <c r="F18" i="23"/>
  <c r="D55" i="27"/>
  <c r="D55" i="29"/>
  <c r="D46" i="29"/>
  <c r="D45" i="29" s="1"/>
  <c r="Y36" i="11"/>
  <c r="Y37" i="11" s="1"/>
  <c r="I65" i="29"/>
  <c r="D55" i="26"/>
  <c r="D55" i="25"/>
  <c r="G65" i="29"/>
  <c r="G65" i="17"/>
  <c r="D55" i="24"/>
  <c r="D55" i="17"/>
  <c r="D45" i="27"/>
  <c r="G46" i="27"/>
  <c r="J46" i="27"/>
  <c r="F46" i="27"/>
  <c r="H46" i="27"/>
  <c r="E46" i="27"/>
  <c r="I46" i="27"/>
  <c r="D55" i="20"/>
  <c r="F65" i="17"/>
  <c r="D55" i="18"/>
  <c r="F65" i="29"/>
  <c r="D55" i="21"/>
  <c r="D55" i="19"/>
  <c r="D46" i="17"/>
  <c r="D45" i="17" s="1"/>
  <c r="D46" i="19"/>
  <c r="D45" i="19" s="1"/>
  <c r="D46" i="18"/>
  <c r="D45" i="18" s="1"/>
  <c r="D55" i="22"/>
  <c r="D55" i="23"/>
  <c r="I65" i="17"/>
  <c r="AA34" i="11"/>
  <c r="AA35" i="11" s="1"/>
  <c r="I59" i="20" l="1"/>
  <c r="D55" i="53"/>
  <c r="M55" i="53" s="1"/>
  <c r="M42" i="44"/>
  <c r="D55" i="45"/>
  <c r="M55" i="45" s="1"/>
  <c r="D62" i="53"/>
  <c r="M62" i="53" s="1"/>
  <c r="G62" i="22"/>
  <c r="G62" i="53" s="1"/>
  <c r="F62" i="22"/>
  <c r="F62" i="53" s="1"/>
  <c r="D64" i="22"/>
  <c r="D64" i="53" s="1"/>
  <c r="M64" i="53" s="1"/>
  <c r="K64" i="53"/>
  <c r="K66" i="53" s="1"/>
  <c r="K66" i="22"/>
  <c r="F63" i="24"/>
  <c r="J63" i="24"/>
  <c r="J66" i="24" s="1"/>
  <c r="G63" i="24"/>
  <c r="I63" i="24"/>
  <c r="E63" i="24"/>
  <c r="E66" i="24" s="1"/>
  <c r="H63" i="24"/>
  <c r="D62" i="44"/>
  <c r="M62" i="44" s="1"/>
  <c r="F62" i="20"/>
  <c r="F62" i="44" s="1"/>
  <c r="G62" i="20"/>
  <c r="G62" i="44" s="1"/>
  <c r="G62" i="21"/>
  <c r="G62" i="45" s="1"/>
  <c r="F62" i="21"/>
  <c r="F62" i="45" s="1"/>
  <c r="D62" i="45"/>
  <c r="M62" i="45" s="1"/>
  <c r="D61" i="45"/>
  <c r="M61" i="45" s="1"/>
  <c r="F61" i="21"/>
  <c r="F61" i="45" s="1"/>
  <c r="D64" i="21"/>
  <c r="D64" i="45" s="1"/>
  <c r="M64" i="45" s="1"/>
  <c r="K64" i="45"/>
  <c r="K66" i="45" s="1"/>
  <c r="F62" i="23"/>
  <c r="G62" i="23"/>
  <c r="D59" i="53"/>
  <c r="D61" i="53"/>
  <c r="M61" i="53" s="1"/>
  <c r="F61" i="22"/>
  <c r="F61" i="53" s="1"/>
  <c r="D60" i="53"/>
  <c r="M60" i="53" s="1"/>
  <c r="G60" i="22"/>
  <c r="D59" i="44"/>
  <c r="M59" i="44" s="1"/>
  <c r="D64" i="23"/>
  <c r="D66" i="23" s="1"/>
  <c r="K66" i="23"/>
  <c r="D69" i="45"/>
  <c r="M69" i="45" s="1"/>
  <c r="F69" i="21"/>
  <c r="F69" i="45" s="1"/>
  <c r="G62" i="24"/>
  <c r="F62" i="24"/>
  <c r="I63" i="23"/>
  <c r="G63" i="23"/>
  <c r="E63" i="23"/>
  <c r="E66" i="23" s="1"/>
  <c r="J63" i="23"/>
  <c r="J66" i="23" s="1"/>
  <c r="F63" i="23"/>
  <c r="H63" i="23"/>
  <c r="H66" i="23" s="1"/>
  <c r="G62" i="25"/>
  <c r="F62" i="25"/>
  <c r="D59" i="45"/>
  <c r="I66" i="21"/>
  <c r="D60" i="44"/>
  <c r="M60" i="44" s="1"/>
  <c r="G60" i="20"/>
  <c r="D61" i="44"/>
  <c r="M61" i="44" s="1"/>
  <c r="F61" i="20"/>
  <c r="F61" i="44" s="1"/>
  <c r="D63" i="44"/>
  <c r="M63" i="44" s="1"/>
  <c r="F63" i="20"/>
  <c r="H63" i="20"/>
  <c r="I63" i="20"/>
  <c r="E63" i="20"/>
  <c r="J63" i="20"/>
  <c r="G63" i="20"/>
  <c r="G63" i="44" s="1"/>
  <c r="D63" i="53"/>
  <c r="M63" i="53" s="1"/>
  <c r="G63" i="22"/>
  <c r="G63" i="53" s="1"/>
  <c r="F63" i="22"/>
  <c r="J63" i="22"/>
  <c r="E63" i="22"/>
  <c r="H63" i="22"/>
  <c r="I63" i="22"/>
  <c r="D70" i="44"/>
  <c r="M70" i="44" s="1"/>
  <c r="M54" i="44"/>
  <c r="D69" i="44"/>
  <c r="M69" i="44" s="1"/>
  <c r="J63" i="25"/>
  <c r="J66" i="25" s="1"/>
  <c r="G63" i="25"/>
  <c r="F63" i="25"/>
  <c r="I63" i="25"/>
  <c r="H63" i="25"/>
  <c r="H66" i="25" s="1"/>
  <c r="E63" i="25"/>
  <c r="E66" i="25" s="1"/>
  <c r="G60" i="21"/>
  <c r="G60" i="45" s="1"/>
  <c r="D60" i="45"/>
  <c r="M60" i="45" s="1"/>
  <c r="F18" i="45"/>
  <c r="D44" i="53"/>
  <c r="M44" i="53" s="1"/>
  <c r="D44" i="45"/>
  <c r="M44" i="45" s="1"/>
  <c r="M55" i="44"/>
  <c r="D18" i="44"/>
  <c r="M44" i="44"/>
  <c r="D46" i="20"/>
  <c r="I46" i="20" s="1"/>
  <c r="D46" i="21"/>
  <c r="F46" i="21" s="1"/>
  <c r="D46" i="22"/>
  <c r="H46" i="22" s="1"/>
  <c r="D46" i="24"/>
  <c r="D45" i="24" s="1"/>
  <c r="D46" i="26"/>
  <c r="D45" i="26" s="1"/>
  <c r="D46" i="23"/>
  <c r="F46" i="23" s="1"/>
  <c r="F69" i="22"/>
  <c r="K71" i="26"/>
  <c r="F69" i="20"/>
  <c r="K71" i="25"/>
  <c r="K71" i="21"/>
  <c r="K71" i="22"/>
  <c r="K71" i="23"/>
  <c r="F69" i="26"/>
  <c r="F69" i="24"/>
  <c r="F69" i="23"/>
  <c r="K71" i="24"/>
  <c r="D46" i="25"/>
  <c r="F69" i="25"/>
  <c r="K66" i="24"/>
  <c r="K66" i="25"/>
  <c r="K66" i="20"/>
  <c r="D64" i="20"/>
  <c r="D66" i="27"/>
  <c r="K66" i="27"/>
  <c r="K66" i="21"/>
  <c r="E66" i="21"/>
  <c r="H66" i="21"/>
  <c r="J66" i="21"/>
  <c r="K66" i="26"/>
  <c r="H66" i="24"/>
  <c r="K66" i="28"/>
  <c r="D66" i="28"/>
  <c r="I65" i="38"/>
  <c r="F65" i="38"/>
  <c r="D49" i="38"/>
  <c r="E51" i="38" s="1"/>
  <c r="E55" i="38" s="1"/>
  <c r="E56" i="38" s="1"/>
  <c r="E63" i="38"/>
  <c r="E65" i="38" s="1"/>
  <c r="I63" i="38"/>
  <c r="F63" i="38"/>
  <c r="G63" i="38"/>
  <c r="J63" i="38"/>
  <c r="J65" i="38" s="1"/>
  <c r="H63" i="38"/>
  <c r="H65" i="38" s="1"/>
  <c r="K65" i="38"/>
  <c r="D64" i="38"/>
  <c r="D65" i="38" s="1"/>
  <c r="G46" i="28"/>
  <c r="E46" i="28"/>
  <c r="J46" i="28"/>
  <c r="F46" i="28"/>
  <c r="D45" i="28"/>
  <c r="F45" i="28" s="1"/>
  <c r="I46" i="28"/>
  <c r="H46" i="28"/>
  <c r="F18" i="22"/>
  <c r="D18" i="23"/>
  <c r="D18" i="21"/>
  <c r="H45" i="29"/>
  <c r="F45" i="29"/>
  <c r="E45" i="29"/>
  <c r="G45" i="29"/>
  <c r="I45" i="29"/>
  <c r="J45" i="29"/>
  <c r="F46" i="29"/>
  <c r="H46" i="29"/>
  <c r="E46" i="29"/>
  <c r="I46" i="29"/>
  <c r="G46" i="29"/>
  <c r="J46" i="29"/>
  <c r="J45" i="18"/>
  <c r="E45" i="18"/>
  <c r="F45" i="18"/>
  <c r="H45" i="18"/>
  <c r="I45" i="18"/>
  <c r="G45" i="18"/>
  <c r="F46" i="18"/>
  <c r="H46" i="18"/>
  <c r="G46" i="18"/>
  <c r="I46" i="18"/>
  <c r="E46" i="18"/>
  <c r="J46" i="18"/>
  <c r="I45" i="19"/>
  <c r="E45" i="19"/>
  <c r="H45" i="19"/>
  <c r="G45" i="19"/>
  <c r="F45" i="19"/>
  <c r="J45" i="19"/>
  <c r="F45" i="17"/>
  <c r="I45" i="17"/>
  <c r="H45" i="17"/>
  <c r="G45" i="17"/>
  <c r="E45" i="17"/>
  <c r="J45" i="17"/>
  <c r="H45" i="27"/>
  <c r="H47" i="27" s="1"/>
  <c r="H49" i="27" s="1"/>
  <c r="E45" i="27"/>
  <c r="E47" i="27" s="1"/>
  <c r="G45" i="27"/>
  <c r="G47" i="27" s="1"/>
  <c r="G49" i="27" s="1"/>
  <c r="F45" i="27"/>
  <c r="F47" i="27" s="1"/>
  <c r="F49" i="27" s="1"/>
  <c r="I45" i="27"/>
  <c r="I47" i="27" s="1"/>
  <c r="I49" i="27" s="1"/>
  <c r="J45" i="27"/>
  <c r="J47" i="27" s="1"/>
  <c r="J49" i="27" s="1"/>
  <c r="J46" i="19"/>
  <c r="H46" i="19"/>
  <c r="I46" i="19"/>
  <c r="E46" i="19"/>
  <c r="F46" i="19"/>
  <c r="G46" i="19"/>
  <c r="H46" i="17"/>
  <c r="I46" i="17"/>
  <c r="G46" i="17"/>
  <c r="F46" i="17"/>
  <c r="E46" i="17"/>
  <c r="J46" i="17"/>
  <c r="AB34" i="11"/>
  <c r="O57" i="3"/>
  <c r="O58" i="3" s="1"/>
  <c r="F18" i="3"/>
  <c r="F46" i="22" l="1"/>
  <c r="D45" i="20"/>
  <c r="I45" i="20" s="1"/>
  <c r="I47" i="20" s="1"/>
  <c r="I49" i="20" s="1"/>
  <c r="F46" i="20"/>
  <c r="F59" i="45"/>
  <c r="F66" i="45" s="1"/>
  <c r="D66" i="22"/>
  <c r="F63" i="44"/>
  <c r="I66" i="23"/>
  <c r="I66" i="22"/>
  <c r="I66" i="20"/>
  <c r="F59" i="53"/>
  <c r="F66" i="22"/>
  <c r="M59" i="53"/>
  <c r="D66" i="53"/>
  <c r="H66" i="22"/>
  <c r="H63" i="53"/>
  <c r="H66" i="53" s="1"/>
  <c r="G60" i="44"/>
  <c r="G66" i="44" s="1"/>
  <c r="G66" i="20"/>
  <c r="E66" i="22"/>
  <c r="E63" i="53"/>
  <c r="E66" i="53" s="1"/>
  <c r="J63" i="53"/>
  <c r="J66" i="53" s="1"/>
  <c r="J66" i="22"/>
  <c r="F63" i="53"/>
  <c r="M59" i="45"/>
  <c r="D66" i="45"/>
  <c r="F66" i="20"/>
  <c r="F59" i="44"/>
  <c r="J66" i="20"/>
  <c r="J63" i="44"/>
  <c r="J66" i="44" s="1"/>
  <c r="F66" i="23"/>
  <c r="E66" i="20"/>
  <c r="E63" i="44"/>
  <c r="E66" i="44" s="1"/>
  <c r="G60" i="53"/>
  <c r="G66" i="53" s="1"/>
  <c r="G66" i="22"/>
  <c r="G66" i="45"/>
  <c r="H66" i="20"/>
  <c r="H63" i="44"/>
  <c r="H66" i="44" s="1"/>
  <c r="G66" i="23"/>
  <c r="K71" i="53"/>
  <c r="F69" i="44"/>
  <c r="D46" i="44"/>
  <c r="M46" i="44" s="1"/>
  <c r="D18" i="45"/>
  <c r="M18" i="45" s="1"/>
  <c r="F18" i="53"/>
  <c r="D18" i="53" s="1"/>
  <c r="K71" i="45"/>
  <c r="D46" i="53"/>
  <c r="M46" i="53" s="1"/>
  <c r="D64" i="44"/>
  <c r="D66" i="44" s="1"/>
  <c r="D45" i="44"/>
  <c r="M45" i="44" s="1"/>
  <c r="F69" i="53"/>
  <c r="D46" i="45"/>
  <c r="M46" i="45" s="1"/>
  <c r="H46" i="53"/>
  <c r="I46" i="21"/>
  <c r="G46" i="21"/>
  <c r="J46" i="21"/>
  <c r="F46" i="44"/>
  <c r="D45" i="21"/>
  <c r="E45" i="21" s="1"/>
  <c r="G46" i="24"/>
  <c r="H46" i="20"/>
  <c r="G46" i="20"/>
  <c r="M18" i="44"/>
  <c r="L18" i="44"/>
  <c r="J46" i="20"/>
  <c r="E46" i="20"/>
  <c r="E46" i="24"/>
  <c r="F46" i="24"/>
  <c r="G46" i="22"/>
  <c r="H46" i="24"/>
  <c r="E46" i="22"/>
  <c r="I46" i="24"/>
  <c r="J46" i="24"/>
  <c r="E46" i="26"/>
  <c r="I46" i="22"/>
  <c r="J46" i="22"/>
  <c r="E46" i="21"/>
  <c r="H46" i="21"/>
  <c r="F46" i="26"/>
  <c r="I46" i="26"/>
  <c r="J46" i="26"/>
  <c r="G46" i="26"/>
  <c r="E46" i="23"/>
  <c r="D45" i="22"/>
  <c r="H45" i="20"/>
  <c r="D45" i="23"/>
  <c r="H46" i="26"/>
  <c r="G45" i="26"/>
  <c r="I45" i="26"/>
  <c r="J45" i="26"/>
  <c r="H45" i="26"/>
  <c r="E45" i="26"/>
  <c r="F45" i="26"/>
  <c r="H46" i="23"/>
  <c r="J46" i="23"/>
  <c r="G46" i="23"/>
  <c r="I46" i="23"/>
  <c r="G45" i="24"/>
  <c r="G45" i="20"/>
  <c r="F45" i="24"/>
  <c r="E45" i="24"/>
  <c r="F45" i="20"/>
  <c r="I45" i="24"/>
  <c r="J45" i="20"/>
  <c r="H45" i="24"/>
  <c r="J45" i="24"/>
  <c r="E45" i="20"/>
  <c r="G66" i="21"/>
  <c r="D66" i="20"/>
  <c r="D66" i="26"/>
  <c r="D66" i="25"/>
  <c r="D45" i="25"/>
  <c r="I46" i="25"/>
  <c r="G46" i="25"/>
  <c r="E46" i="25"/>
  <c r="H46" i="25"/>
  <c r="J46" i="25"/>
  <c r="F46" i="25"/>
  <c r="D66" i="21"/>
  <c r="D66" i="24"/>
  <c r="F66" i="21"/>
  <c r="I66" i="24"/>
  <c r="G66" i="25"/>
  <c r="I66" i="25"/>
  <c r="G66" i="24"/>
  <c r="F66" i="24"/>
  <c r="F66" i="25"/>
  <c r="E52" i="38"/>
  <c r="E53" i="38"/>
  <c r="E54" i="38"/>
  <c r="D56" i="38"/>
  <c r="K52" i="38"/>
  <c r="K54" i="38"/>
  <c r="K53" i="38"/>
  <c r="K51" i="38"/>
  <c r="K55" i="38" s="1"/>
  <c r="K56" i="38" s="1"/>
  <c r="K31" i="38"/>
  <c r="K69" i="38"/>
  <c r="H52" i="38"/>
  <c r="J31" i="38"/>
  <c r="I54" i="38"/>
  <c r="G52" i="38"/>
  <c r="H31" i="38"/>
  <c r="F53" i="38"/>
  <c r="I52" i="38"/>
  <c r="G51" i="38"/>
  <c r="G55" i="38" s="1"/>
  <c r="G56" i="38" s="1"/>
  <c r="H69" i="38"/>
  <c r="F52" i="38"/>
  <c r="I31" i="38"/>
  <c r="G53" i="38"/>
  <c r="J52" i="38"/>
  <c r="F31" i="38"/>
  <c r="I51" i="38"/>
  <c r="I55" i="38" s="1"/>
  <c r="I56" i="38" s="1"/>
  <c r="G54" i="38"/>
  <c r="J54" i="38"/>
  <c r="F69" i="38"/>
  <c r="I53" i="38"/>
  <c r="G31" i="38"/>
  <c r="H51" i="38"/>
  <c r="H55" i="38" s="1"/>
  <c r="H56" i="38" s="1"/>
  <c r="J53" i="38"/>
  <c r="F51" i="38"/>
  <c r="F55" i="38" s="1"/>
  <c r="F56" i="38" s="1"/>
  <c r="G69" i="38"/>
  <c r="H54" i="38"/>
  <c r="J51" i="38"/>
  <c r="J55" i="38" s="1"/>
  <c r="J56" i="38" s="1"/>
  <c r="F54" i="38"/>
  <c r="H53" i="38"/>
  <c r="J69" i="38"/>
  <c r="I69" i="38"/>
  <c r="E69" i="38"/>
  <c r="E31" i="38"/>
  <c r="D31" i="38" s="1"/>
  <c r="F47" i="28"/>
  <c r="F49" i="28" s="1"/>
  <c r="H45" i="28"/>
  <c r="H47" i="28" s="1"/>
  <c r="H49" i="28" s="1"/>
  <c r="J45" i="28"/>
  <c r="J47" i="28" s="1"/>
  <c r="J49" i="28" s="1"/>
  <c r="I45" i="28"/>
  <c r="I47" i="28" s="1"/>
  <c r="I49" i="28" s="1"/>
  <c r="G45" i="28"/>
  <c r="G47" i="28" s="1"/>
  <c r="G49" i="28" s="1"/>
  <c r="E45" i="28"/>
  <c r="E47" i="28" s="1"/>
  <c r="E49" i="28" s="1"/>
  <c r="D18" i="22"/>
  <c r="AA36" i="11"/>
  <c r="AA37" i="11" s="1"/>
  <c r="F47" i="29"/>
  <c r="F49" i="29" s="1"/>
  <c r="I47" i="29"/>
  <c r="I49" i="29" s="1"/>
  <c r="J47" i="29"/>
  <c r="J49" i="29" s="1"/>
  <c r="E47" i="29"/>
  <c r="G47" i="29"/>
  <c r="G49" i="29" s="1"/>
  <c r="H47" i="29"/>
  <c r="H49" i="29" s="1"/>
  <c r="F47" i="17"/>
  <c r="F49" i="17" s="1"/>
  <c r="I47" i="19"/>
  <c r="I49" i="19" s="1"/>
  <c r="F47" i="18"/>
  <c r="F49" i="18" s="1"/>
  <c r="E47" i="18"/>
  <c r="E49" i="18" s="1"/>
  <c r="I47" i="17"/>
  <c r="I49" i="17" s="1"/>
  <c r="E47" i="19"/>
  <c r="E49" i="19" s="1"/>
  <c r="J47" i="19"/>
  <c r="J49" i="19" s="1"/>
  <c r="J47" i="17"/>
  <c r="J49" i="17" s="1"/>
  <c r="H47" i="17"/>
  <c r="H49" i="17" s="1"/>
  <c r="H47" i="19"/>
  <c r="H49" i="19" s="1"/>
  <c r="I47" i="18"/>
  <c r="I49" i="18" s="1"/>
  <c r="D47" i="27"/>
  <c r="E49" i="27"/>
  <c r="H47" i="18"/>
  <c r="H49" i="18" s="1"/>
  <c r="E47" i="17"/>
  <c r="F47" i="19"/>
  <c r="J47" i="18"/>
  <c r="J49" i="18" s="1"/>
  <c r="G47" i="17"/>
  <c r="G49" i="17" s="1"/>
  <c r="G47" i="19"/>
  <c r="G49" i="19" s="1"/>
  <c r="G47" i="18"/>
  <c r="G49" i="18" s="1"/>
  <c r="AB35" i="11"/>
  <c r="AC34" i="11" s="1"/>
  <c r="P57" i="3"/>
  <c r="P58" i="3" s="1"/>
  <c r="I18" i="3"/>
  <c r="F66" i="44" l="1"/>
  <c r="L66" i="44" s="1"/>
  <c r="G47" i="24"/>
  <c r="G49" i="24" s="1"/>
  <c r="M64" i="44"/>
  <c r="F66" i="53"/>
  <c r="L66" i="53" s="1"/>
  <c r="L66" i="45"/>
  <c r="F45" i="21"/>
  <c r="F47" i="21" s="1"/>
  <c r="M66" i="53"/>
  <c r="H45" i="21"/>
  <c r="H47" i="21" s="1"/>
  <c r="J45" i="21"/>
  <c r="J45" i="45" s="1"/>
  <c r="I45" i="21"/>
  <c r="I47" i="21" s="1"/>
  <c r="I49" i="21" s="1"/>
  <c r="G45" i="21"/>
  <c r="G45" i="45" s="1"/>
  <c r="I45" i="22"/>
  <c r="I47" i="22" s="1"/>
  <c r="I49" i="22" s="1"/>
  <c r="J46" i="53"/>
  <c r="E46" i="44"/>
  <c r="G46" i="44"/>
  <c r="D45" i="45"/>
  <c r="M45" i="45" s="1"/>
  <c r="M18" i="53"/>
  <c r="L18" i="45"/>
  <c r="E45" i="45"/>
  <c r="E46" i="53"/>
  <c r="J46" i="44"/>
  <c r="H46" i="44"/>
  <c r="H46" i="45"/>
  <c r="J46" i="45"/>
  <c r="F46" i="45"/>
  <c r="F46" i="53"/>
  <c r="M66" i="45"/>
  <c r="E46" i="45"/>
  <c r="G46" i="53"/>
  <c r="G46" i="45"/>
  <c r="E47" i="20"/>
  <c r="E49" i="20" s="1"/>
  <c r="E45" i="44"/>
  <c r="H47" i="20"/>
  <c r="H45" i="44"/>
  <c r="F47" i="20"/>
  <c r="F49" i="20" s="1"/>
  <c r="F45" i="44"/>
  <c r="G47" i="20"/>
  <c r="G45" i="44"/>
  <c r="E45" i="22"/>
  <c r="D45" i="53"/>
  <c r="M45" i="53" s="1"/>
  <c r="J47" i="20"/>
  <c r="J45" i="44"/>
  <c r="E47" i="24"/>
  <c r="E49" i="24" s="1"/>
  <c r="M66" i="44"/>
  <c r="F47" i="26"/>
  <c r="F49" i="26" s="1"/>
  <c r="I47" i="24"/>
  <c r="I49" i="24" s="1"/>
  <c r="F47" i="24"/>
  <c r="F49" i="24" s="1"/>
  <c r="J47" i="24"/>
  <c r="J49" i="24" s="1"/>
  <c r="I47" i="26"/>
  <c r="I49" i="26" s="1"/>
  <c r="H47" i="24"/>
  <c r="H49" i="24" s="1"/>
  <c r="E47" i="26"/>
  <c r="E49" i="26" s="1"/>
  <c r="E47" i="21"/>
  <c r="J47" i="26"/>
  <c r="J49" i="26" s="1"/>
  <c r="H47" i="26"/>
  <c r="H49" i="26" s="1"/>
  <c r="G45" i="23"/>
  <c r="G47" i="23" s="1"/>
  <c r="G49" i="23" s="1"/>
  <c r="J45" i="23"/>
  <c r="J47" i="23" s="1"/>
  <c r="J49" i="23" s="1"/>
  <c r="E45" i="23"/>
  <c r="E47" i="23" s="1"/>
  <c r="E49" i="23" s="1"/>
  <c r="G47" i="26"/>
  <c r="G49" i="26" s="1"/>
  <c r="H45" i="23"/>
  <c r="H47" i="23" s="1"/>
  <c r="H49" i="23" s="1"/>
  <c r="I45" i="23"/>
  <c r="I47" i="23" s="1"/>
  <c r="I49" i="23" s="1"/>
  <c r="F45" i="23"/>
  <c r="F47" i="23" s="1"/>
  <c r="F49" i="23" s="1"/>
  <c r="F45" i="22"/>
  <c r="J45" i="22"/>
  <c r="H45" i="22"/>
  <c r="G45" i="22"/>
  <c r="F45" i="25"/>
  <c r="F47" i="25" s="1"/>
  <c r="F49" i="25" s="1"/>
  <c r="G45" i="25"/>
  <c r="G47" i="25" s="1"/>
  <c r="G49" i="25" s="1"/>
  <c r="E45" i="25"/>
  <c r="E47" i="25" s="1"/>
  <c r="H45" i="25"/>
  <c r="H47" i="25" s="1"/>
  <c r="H49" i="25" s="1"/>
  <c r="J45" i="25"/>
  <c r="J47" i="25" s="1"/>
  <c r="J49" i="25" s="1"/>
  <c r="I45" i="25"/>
  <c r="I47" i="25" s="1"/>
  <c r="I49" i="25" s="1"/>
  <c r="D47" i="28"/>
  <c r="F18" i="24"/>
  <c r="D49" i="28"/>
  <c r="F70" i="28" s="1"/>
  <c r="E49" i="29"/>
  <c r="D47" i="29"/>
  <c r="AB36" i="11"/>
  <c r="AB37" i="11" s="1"/>
  <c r="F49" i="19"/>
  <c r="D47" i="19"/>
  <c r="D49" i="27"/>
  <c r="E49" i="17"/>
  <c r="D47" i="17"/>
  <c r="D49" i="18"/>
  <c r="K53" i="18" s="1"/>
  <c r="D47" i="18"/>
  <c r="AC35" i="11"/>
  <c r="AD34" i="11" s="1"/>
  <c r="R57" i="3"/>
  <c r="R58" i="3" s="1"/>
  <c r="L18" i="3"/>
  <c r="G47" i="21" l="1"/>
  <c r="H45" i="45"/>
  <c r="F45" i="45"/>
  <c r="L46" i="44"/>
  <c r="J47" i="21"/>
  <c r="J47" i="45" s="1"/>
  <c r="J49" i="45" s="1"/>
  <c r="L46" i="45"/>
  <c r="F45" i="53"/>
  <c r="G45" i="53"/>
  <c r="E45" i="53"/>
  <c r="F47" i="44"/>
  <c r="F49" i="44" s="1"/>
  <c r="H45" i="53"/>
  <c r="H47" i="45"/>
  <c r="H49" i="45" s="1"/>
  <c r="G47" i="45"/>
  <c r="G49" i="45" s="1"/>
  <c r="E47" i="44"/>
  <c r="E49" i="44" s="1"/>
  <c r="J45" i="53"/>
  <c r="E47" i="45"/>
  <c r="F47" i="45"/>
  <c r="F49" i="45" s="1"/>
  <c r="E47" i="22"/>
  <c r="E49" i="22" s="1"/>
  <c r="D47" i="20"/>
  <c r="G47" i="22"/>
  <c r="F49" i="21"/>
  <c r="H47" i="22"/>
  <c r="H49" i="21"/>
  <c r="J49" i="21"/>
  <c r="J47" i="22"/>
  <c r="E49" i="21"/>
  <c r="G49" i="21"/>
  <c r="L45" i="44"/>
  <c r="F47" i="22"/>
  <c r="J49" i="20"/>
  <c r="J47" i="44"/>
  <c r="J49" i="44" s="1"/>
  <c r="G49" i="20"/>
  <c r="G47" i="44"/>
  <c r="G49" i="44" s="1"/>
  <c r="H49" i="20"/>
  <c r="H47" i="44"/>
  <c r="H49" i="44" s="1"/>
  <c r="D47" i="24"/>
  <c r="D47" i="21"/>
  <c r="D47" i="26"/>
  <c r="D49" i="23"/>
  <c r="F70" i="23" s="1"/>
  <c r="D47" i="23"/>
  <c r="E49" i="25"/>
  <c r="D49" i="25" s="1"/>
  <c r="F54" i="25" s="1"/>
  <c r="D47" i="25"/>
  <c r="F53" i="27"/>
  <c r="J70" i="27"/>
  <c r="H70" i="27"/>
  <c r="I70" i="27"/>
  <c r="G70" i="27"/>
  <c r="E70" i="27"/>
  <c r="K70" i="27"/>
  <c r="F70" i="27"/>
  <c r="K70" i="28"/>
  <c r="J70" i="28"/>
  <c r="G70" i="28"/>
  <c r="I70" i="28"/>
  <c r="E70" i="28"/>
  <c r="H70" i="28"/>
  <c r="I53" i="18"/>
  <c r="J53" i="18"/>
  <c r="F53" i="18"/>
  <c r="G53" i="18"/>
  <c r="H53" i="18"/>
  <c r="E53" i="18"/>
  <c r="J31" i="18"/>
  <c r="K51" i="28"/>
  <c r="D56" i="28"/>
  <c r="K53" i="28"/>
  <c r="K52" i="28"/>
  <c r="K54" i="28"/>
  <c r="J54" i="28"/>
  <c r="F54" i="28"/>
  <c r="G53" i="28"/>
  <c r="I52" i="28"/>
  <c r="J51" i="28"/>
  <c r="F53" i="28"/>
  <c r="G54" i="28"/>
  <c r="I51" i="28"/>
  <c r="J53" i="28"/>
  <c r="F51" i="28"/>
  <c r="G51" i="28"/>
  <c r="H51" i="28"/>
  <c r="J52" i="28"/>
  <c r="F52" i="28"/>
  <c r="G52" i="28"/>
  <c r="H54" i="28"/>
  <c r="I53" i="28"/>
  <c r="H53" i="28"/>
  <c r="H52" i="28"/>
  <c r="I54" i="28"/>
  <c r="E54" i="28"/>
  <c r="E51" i="28"/>
  <c r="E52" i="28"/>
  <c r="E53" i="28"/>
  <c r="H70" i="18"/>
  <c r="F18" i="25"/>
  <c r="D18" i="24"/>
  <c r="E31" i="28"/>
  <c r="D49" i="29"/>
  <c r="E51" i="29" s="1"/>
  <c r="K31" i="28"/>
  <c r="I31" i="28"/>
  <c r="F31" i="28"/>
  <c r="H31" i="28"/>
  <c r="G31" i="28"/>
  <c r="J31" i="28"/>
  <c r="AC36" i="11"/>
  <c r="AC37" i="11" s="1"/>
  <c r="H51" i="18"/>
  <c r="E70" i="18"/>
  <c r="H54" i="18"/>
  <c r="G51" i="27"/>
  <c r="G54" i="27"/>
  <c r="K52" i="27"/>
  <c r="I52" i="27"/>
  <c r="F54" i="27"/>
  <c r="K31" i="27"/>
  <c r="I53" i="27"/>
  <c r="I54" i="27"/>
  <c r="G52" i="27"/>
  <c r="K51" i="27"/>
  <c r="F31" i="27"/>
  <c r="I51" i="27"/>
  <c r="F52" i="27"/>
  <c r="F51" i="27"/>
  <c r="K53" i="27"/>
  <c r="G53" i="27"/>
  <c r="K54" i="27"/>
  <c r="I31" i="27"/>
  <c r="D56" i="27"/>
  <c r="G31" i="27"/>
  <c r="J53" i="27"/>
  <c r="J51" i="27"/>
  <c r="J31" i="27"/>
  <c r="H54" i="27"/>
  <c r="H53" i="27"/>
  <c r="H51" i="27"/>
  <c r="J52" i="27"/>
  <c r="J54" i="27"/>
  <c r="H52" i="27"/>
  <c r="H31" i="27"/>
  <c r="J54" i="18"/>
  <c r="D49" i="24"/>
  <c r="E31" i="18"/>
  <c r="J70" i="18"/>
  <c r="E52" i="27"/>
  <c r="E31" i="27"/>
  <c r="D49" i="19"/>
  <c r="F31" i="19" s="1"/>
  <c r="E51" i="27"/>
  <c r="D49" i="26"/>
  <c r="D56" i="18"/>
  <c r="K51" i="18"/>
  <c r="F51" i="18"/>
  <c r="K54" i="18"/>
  <c r="I51" i="18"/>
  <c r="I31" i="18"/>
  <c r="J51" i="18"/>
  <c r="G70" i="18"/>
  <c r="K52" i="18"/>
  <c r="G52" i="18"/>
  <c r="G51" i="18"/>
  <c r="F70" i="18"/>
  <c r="F54" i="18"/>
  <c r="K31" i="18"/>
  <c r="F52" i="18"/>
  <c r="G54" i="18"/>
  <c r="I54" i="18"/>
  <c r="K70" i="18"/>
  <c r="H52" i="18"/>
  <c r="F31" i="18"/>
  <c r="I52" i="18"/>
  <c r="I70" i="18"/>
  <c r="J52" i="18"/>
  <c r="G31" i="18"/>
  <c r="E54" i="18"/>
  <c r="H31" i="18"/>
  <c r="E52" i="18"/>
  <c r="E51" i="18"/>
  <c r="E53" i="27"/>
  <c r="D49" i="17"/>
  <c r="E69" i="17" s="1"/>
  <c r="E54" i="27"/>
  <c r="AD35" i="11"/>
  <c r="AE34" i="11" s="1"/>
  <c r="O18" i="3"/>
  <c r="S57" i="3"/>
  <c r="S58" i="3" s="1"/>
  <c r="L45" i="45" l="1"/>
  <c r="D49" i="21"/>
  <c r="G70" i="21" s="1"/>
  <c r="D47" i="45"/>
  <c r="M47" i="45" s="1"/>
  <c r="F47" i="53"/>
  <c r="F49" i="53" s="1"/>
  <c r="H47" i="53"/>
  <c r="H49" i="53" s="1"/>
  <c r="D47" i="44"/>
  <c r="M47" i="44" s="1"/>
  <c r="J47" i="53"/>
  <c r="J49" i="53" s="1"/>
  <c r="E47" i="53"/>
  <c r="E49" i="53" s="1"/>
  <c r="G47" i="53"/>
  <c r="G49" i="53" s="1"/>
  <c r="H31" i="25"/>
  <c r="D49" i="20"/>
  <c r="F49" i="22"/>
  <c r="E49" i="45"/>
  <c r="D47" i="22"/>
  <c r="J49" i="22"/>
  <c r="H49" i="22"/>
  <c r="G49" i="22"/>
  <c r="E53" i="25"/>
  <c r="J31" i="23"/>
  <c r="J54" i="23"/>
  <c r="E51" i="23"/>
  <c r="F51" i="23"/>
  <c r="J52" i="23"/>
  <c r="G31" i="23"/>
  <c r="H31" i="23"/>
  <c r="K53" i="23"/>
  <c r="G51" i="23"/>
  <c r="I51" i="23"/>
  <c r="G53" i="23"/>
  <c r="I31" i="23"/>
  <c r="J53" i="23"/>
  <c r="D56" i="23"/>
  <c r="I53" i="23"/>
  <c r="J51" i="23"/>
  <c r="E54" i="23"/>
  <c r="E53" i="23"/>
  <c r="G52" i="23"/>
  <c r="I54" i="23"/>
  <c r="F52" i="23"/>
  <c r="I52" i="23"/>
  <c r="F54" i="23"/>
  <c r="K31" i="23"/>
  <c r="H53" i="25"/>
  <c r="J51" i="25"/>
  <c r="H52" i="23"/>
  <c r="H53" i="23"/>
  <c r="K54" i="23"/>
  <c r="E52" i="23"/>
  <c r="K52" i="23"/>
  <c r="H51" i="23"/>
  <c r="K51" i="23"/>
  <c r="G54" i="23"/>
  <c r="F31" i="23"/>
  <c r="G70" i="23"/>
  <c r="D56" i="25"/>
  <c r="G52" i="25"/>
  <c r="H70" i="23"/>
  <c r="H54" i="23"/>
  <c r="J70" i="23"/>
  <c r="E70" i="23"/>
  <c r="K70" i="23"/>
  <c r="F53" i="23"/>
  <c r="I70" i="23"/>
  <c r="E31" i="23"/>
  <c r="I52" i="25"/>
  <c r="G51" i="25"/>
  <c r="H51" i="25"/>
  <c r="F51" i="25"/>
  <c r="J52" i="25"/>
  <c r="E54" i="25"/>
  <c r="F52" i="25"/>
  <c r="E52" i="25"/>
  <c r="I31" i="25"/>
  <c r="H52" i="25"/>
  <c r="J53" i="25"/>
  <c r="K51" i="25"/>
  <c r="G53" i="25"/>
  <c r="I51" i="25"/>
  <c r="I53" i="25"/>
  <c r="K54" i="25"/>
  <c r="G31" i="25"/>
  <c r="K52" i="25"/>
  <c r="K53" i="25"/>
  <c r="E31" i="25"/>
  <c r="I54" i="25"/>
  <c r="H54" i="25"/>
  <c r="J31" i="25"/>
  <c r="J54" i="25"/>
  <c r="K31" i="25"/>
  <c r="F31" i="25"/>
  <c r="G54" i="25"/>
  <c r="E51" i="25"/>
  <c r="F53" i="25"/>
  <c r="H70" i="25"/>
  <c r="I70" i="25"/>
  <c r="E70" i="25"/>
  <c r="F70" i="25"/>
  <c r="G70" i="25"/>
  <c r="K70" i="25"/>
  <c r="J70" i="25"/>
  <c r="D49" i="44"/>
  <c r="L49" i="44" s="1"/>
  <c r="J70" i="24"/>
  <c r="G70" i="24"/>
  <c r="K70" i="24"/>
  <c r="I70" i="24"/>
  <c r="E70" i="24"/>
  <c r="H70" i="24"/>
  <c r="F70" i="24"/>
  <c r="G70" i="26"/>
  <c r="K70" i="26"/>
  <c r="J70" i="26"/>
  <c r="H70" i="26"/>
  <c r="I70" i="26"/>
  <c r="E70" i="26"/>
  <c r="F70" i="26"/>
  <c r="K55" i="18"/>
  <c r="F53" i="19"/>
  <c r="F53" i="24"/>
  <c r="E51" i="26"/>
  <c r="F53" i="26"/>
  <c r="E31" i="26"/>
  <c r="F55" i="28"/>
  <c r="F56" i="28" s="1"/>
  <c r="I55" i="28"/>
  <c r="I56" i="28" s="1"/>
  <c r="G55" i="28"/>
  <c r="G56" i="28" s="1"/>
  <c r="E55" i="28"/>
  <c r="E56" i="28" s="1"/>
  <c r="J55" i="28"/>
  <c r="J56" i="28" s="1"/>
  <c r="H55" i="28"/>
  <c r="H56" i="28" s="1"/>
  <c r="K55" i="28"/>
  <c r="K56" i="28" s="1"/>
  <c r="D18" i="25"/>
  <c r="F18" i="26"/>
  <c r="AD36" i="11"/>
  <c r="AD37" i="11" s="1"/>
  <c r="D31" i="28"/>
  <c r="E53" i="29"/>
  <c r="E69" i="29"/>
  <c r="E54" i="29"/>
  <c r="K51" i="29"/>
  <c r="K52" i="29"/>
  <c r="F52" i="29"/>
  <c r="K53" i="29"/>
  <c r="F51" i="29"/>
  <c r="F31" i="29"/>
  <c r="K54" i="29"/>
  <c r="F54" i="29"/>
  <c r="K31" i="29"/>
  <c r="D56" i="29"/>
  <c r="F69" i="29"/>
  <c r="K69" i="29"/>
  <c r="F53" i="29"/>
  <c r="I53" i="29"/>
  <c r="I69" i="29"/>
  <c r="I51" i="29"/>
  <c r="I52" i="29"/>
  <c r="I31" i="29"/>
  <c r="I54" i="29"/>
  <c r="H51" i="29"/>
  <c r="J51" i="29"/>
  <c r="G54" i="29"/>
  <c r="J52" i="29"/>
  <c r="G53" i="29"/>
  <c r="H69" i="29"/>
  <c r="H54" i="29"/>
  <c r="H31" i="29"/>
  <c r="J69" i="29"/>
  <c r="G69" i="29"/>
  <c r="J54" i="29"/>
  <c r="G31" i="29"/>
  <c r="H53" i="29"/>
  <c r="J53" i="29"/>
  <c r="G51" i="29"/>
  <c r="H52" i="29"/>
  <c r="J31" i="29"/>
  <c r="G52" i="29"/>
  <c r="E52" i="29"/>
  <c r="E31" i="29"/>
  <c r="E31" i="17"/>
  <c r="E53" i="17"/>
  <c r="G55" i="18"/>
  <c r="G56" i="18" s="1"/>
  <c r="E55" i="18"/>
  <c r="E56" i="18" s="1"/>
  <c r="E52" i="17"/>
  <c r="F51" i="19"/>
  <c r="H55" i="27"/>
  <c r="H56" i="27" s="1"/>
  <c r="J55" i="18"/>
  <c r="J56" i="18" s="1"/>
  <c r="E53" i="26"/>
  <c r="D56" i="26"/>
  <c r="H51" i="26"/>
  <c r="K53" i="26"/>
  <c r="H54" i="26"/>
  <c r="I31" i="26"/>
  <c r="I52" i="26"/>
  <c r="K54" i="26"/>
  <c r="H53" i="26"/>
  <c r="K51" i="26"/>
  <c r="I53" i="26"/>
  <c r="I54" i="26"/>
  <c r="K31" i="26"/>
  <c r="H31" i="26"/>
  <c r="J52" i="26"/>
  <c r="K52" i="26"/>
  <c r="J51" i="26"/>
  <c r="I51" i="26"/>
  <c r="H52" i="26"/>
  <c r="J54" i="26"/>
  <c r="F54" i="26"/>
  <c r="F31" i="26"/>
  <c r="F52" i="26"/>
  <c r="F51" i="26"/>
  <c r="J53" i="26"/>
  <c r="J31" i="26"/>
  <c r="G53" i="26"/>
  <c r="G51" i="26"/>
  <c r="G54" i="26"/>
  <c r="G52" i="26"/>
  <c r="G31" i="26"/>
  <c r="D31" i="18"/>
  <c r="E51" i="24"/>
  <c r="G55" i="27"/>
  <c r="G56" i="27" s="1"/>
  <c r="E52" i="24"/>
  <c r="F52" i="19"/>
  <c r="F55" i="27"/>
  <c r="F56" i="27" s="1"/>
  <c r="I55" i="18"/>
  <c r="I56" i="18" s="1"/>
  <c r="E53" i="24"/>
  <c r="K55" i="27"/>
  <c r="E55" i="27"/>
  <c r="E56" i="27" s="1"/>
  <c r="E54" i="26"/>
  <c r="J51" i="21"/>
  <c r="E54" i="24"/>
  <c r="J55" i="27"/>
  <c r="J56" i="27" s="1"/>
  <c r="K31" i="24"/>
  <c r="F52" i="24"/>
  <c r="F51" i="24"/>
  <c r="J31" i="24"/>
  <c r="J52" i="24"/>
  <c r="J51" i="24"/>
  <c r="K52" i="24"/>
  <c r="F54" i="24"/>
  <c r="J53" i="24"/>
  <c r="I53" i="24"/>
  <c r="D56" i="24"/>
  <c r="G54" i="24"/>
  <c r="G53" i="24"/>
  <c r="F31" i="24"/>
  <c r="I51" i="24"/>
  <c r="G31" i="24"/>
  <c r="H52" i="24"/>
  <c r="K53" i="24"/>
  <c r="K54" i="24"/>
  <c r="H31" i="24"/>
  <c r="H53" i="24"/>
  <c r="K51" i="24"/>
  <c r="I52" i="24"/>
  <c r="J54" i="24"/>
  <c r="H54" i="24"/>
  <c r="G51" i="24"/>
  <c r="H51" i="24"/>
  <c r="I31" i="24"/>
  <c r="G52" i="24"/>
  <c r="I54" i="24"/>
  <c r="I55" i="27"/>
  <c r="I56" i="27" s="1"/>
  <c r="E54" i="17"/>
  <c r="K53" i="17"/>
  <c r="F51" i="17"/>
  <c r="J51" i="17"/>
  <c r="J54" i="17"/>
  <c r="F69" i="17"/>
  <c r="H54" i="17"/>
  <c r="K52" i="17"/>
  <c r="I53" i="17"/>
  <c r="I54" i="17"/>
  <c r="K69" i="17"/>
  <c r="F52" i="17"/>
  <c r="J52" i="17"/>
  <c r="K54" i="17"/>
  <c r="K31" i="17"/>
  <c r="J69" i="17"/>
  <c r="J53" i="17"/>
  <c r="F54" i="17"/>
  <c r="I31" i="17"/>
  <c r="G69" i="17"/>
  <c r="J31" i="17"/>
  <c r="G51" i="17"/>
  <c r="F53" i="17"/>
  <c r="D56" i="17"/>
  <c r="I51" i="17"/>
  <c r="K51" i="17"/>
  <c r="G54" i="17"/>
  <c r="H31" i="17"/>
  <c r="I52" i="17"/>
  <c r="F31" i="17"/>
  <c r="I69" i="17"/>
  <c r="H51" i="17"/>
  <c r="G31" i="17"/>
  <c r="G52" i="17"/>
  <c r="H52" i="17"/>
  <c r="H69" i="17"/>
  <c r="G53" i="17"/>
  <c r="H53" i="17"/>
  <c r="K31" i="19"/>
  <c r="K51" i="19"/>
  <c r="K70" i="19"/>
  <c r="K53" i="19"/>
  <c r="K52" i="19"/>
  <c r="J53" i="19"/>
  <c r="K54" i="19"/>
  <c r="J52" i="19"/>
  <c r="D56" i="19"/>
  <c r="I53" i="19"/>
  <c r="J70" i="19"/>
  <c r="I31" i="19"/>
  <c r="I70" i="19"/>
  <c r="I52" i="19"/>
  <c r="I54" i="19"/>
  <c r="J54" i="19"/>
  <c r="J31" i="19"/>
  <c r="I51" i="19"/>
  <c r="J51" i="19"/>
  <c r="G53" i="19"/>
  <c r="H54" i="19"/>
  <c r="E53" i="19"/>
  <c r="G52" i="19"/>
  <c r="H51" i="19"/>
  <c r="G54" i="19"/>
  <c r="H70" i="19"/>
  <c r="E70" i="19"/>
  <c r="E54" i="19"/>
  <c r="G51" i="19"/>
  <c r="H53" i="19"/>
  <c r="E52" i="19"/>
  <c r="H31" i="19"/>
  <c r="E31" i="19"/>
  <c r="G31" i="19"/>
  <c r="H52" i="19"/>
  <c r="E51" i="19"/>
  <c r="G70" i="19"/>
  <c r="F54" i="19"/>
  <c r="E51" i="17"/>
  <c r="H55" i="18"/>
  <c r="H56" i="18" s="1"/>
  <c r="F55" i="18"/>
  <c r="F56" i="18" s="1"/>
  <c r="E52" i="26"/>
  <c r="D31" i="27"/>
  <c r="E31" i="24"/>
  <c r="F70" i="19"/>
  <c r="AE35" i="11"/>
  <c r="AF34" i="11" s="1"/>
  <c r="R18" i="3"/>
  <c r="U57" i="3"/>
  <c r="U58" i="3" s="1"/>
  <c r="D56" i="20" l="1"/>
  <c r="F70" i="21"/>
  <c r="I52" i="21"/>
  <c r="K31" i="21"/>
  <c r="K31" i="45" s="1"/>
  <c r="I70" i="21"/>
  <c r="G54" i="21"/>
  <c r="G54" i="45" s="1"/>
  <c r="F52" i="21"/>
  <c r="F52" i="45" s="1"/>
  <c r="F31" i="21"/>
  <c r="J53" i="21"/>
  <c r="J53" i="45" s="1"/>
  <c r="H51" i="21"/>
  <c r="H51" i="45" s="1"/>
  <c r="K70" i="21"/>
  <c r="J31" i="21"/>
  <c r="J31" i="45" s="1"/>
  <c r="F51" i="21"/>
  <c r="H53" i="21"/>
  <c r="H53" i="45" s="1"/>
  <c r="G31" i="21"/>
  <c r="G31" i="45" s="1"/>
  <c r="E70" i="21"/>
  <c r="E70" i="45" s="1"/>
  <c r="K52" i="21"/>
  <c r="K52" i="45" s="1"/>
  <c r="I54" i="21"/>
  <c r="D56" i="21"/>
  <c r="E53" i="21"/>
  <c r="E53" i="45" s="1"/>
  <c r="E51" i="21"/>
  <c r="E51" i="45" s="1"/>
  <c r="I51" i="21"/>
  <c r="G51" i="21"/>
  <c r="G51" i="45" s="1"/>
  <c r="H54" i="21"/>
  <c r="H54" i="45" s="1"/>
  <c r="K53" i="21"/>
  <c r="K53" i="45" s="1"/>
  <c r="H52" i="21"/>
  <c r="H52" i="45" s="1"/>
  <c r="J52" i="21"/>
  <c r="J52" i="45" s="1"/>
  <c r="K51" i="21"/>
  <c r="K51" i="45" s="1"/>
  <c r="H70" i="21"/>
  <c r="H70" i="45" s="1"/>
  <c r="I31" i="21"/>
  <c r="K54" i="21"/>
  <c r="K54" i="45" s="1"/>
  <c r="G52" i="21"/>
  <c r="G52" i="45" s="1"/>
  <c r="H31" i="21"/>
  <c r="H31" i="45" s="1"/>
  <c r="G53" i="21"/>
  <c r="G53" i="45" s="1"/>
  <c r="J54" i="21"/>
  <c r="J54" i="45" s="1"/>
  <c r="I53" i="21"/>
  <c r="F54" i="21"/>
  <c r="E31" i="21"/>
  <c r="E31" i="45" s="1"/>
  <c r="F53" i="21"/>
  <c r="F53" i="45" s="1"/>
  <c r="J70" i="21"/>
  <c r="J70" i="45" s="1"/>
  <c r="E54" i="21"/>
  <c r="E54" i="45" s="1"/>
  <c r="H70" i="20"/>
  <c r="H70" i="44" s="1"/>
  <c r="J53" i="20"/>
  <c r="J53" i="44" s="1"/>
  <c r="F54" i="20"/>
  <c r="J52" i="20"/>
  <c r="J52" i="44" s="1"/>
  <c r="H54" i="20"/>
  <c r="H54" i="44" s="1"/>
  <c r="H51" i="20"/>
  <c r="H51" i="44" s="1"/>
  <c r="I31" i="20"/>
  <c r="J31" i="20"/>
  <c r="J31" i="44" s="1"/>
  <c r="K53" i="20"/>
  <c r="K53" i="44" s="1"/>
  <c r="E53" i="20"/>
  <c r="E53" i="44" s="1"/>
  <c r="E52" i="21"/>
  <c r="E52" i="45" s="1"/>
  <c r="L47" i="45"/>
  <c r="G54" i="20"/>
  <c r="G54" i="44" s="1"/>
  <c r="G70" i="20"/>
  <c r="G70" i="44" s="1"/>
  <c r="G31" i="20"/>
  <c r="G31" i="44" s="1"/>
  <c r="K52" i="20"/>
  <c r="K52" i="44" s="1"/>
  <c r="H52" i="20"/>
  <c r="H52" i="44" s="1"/>
  <c r="K70" i="20"/>
  <c r="K70" i="44" s="1"/>
  <c r="E54" i="20"/>
  <c r="E54" i="44" s="1"/>
  <c r="J54" i="20"/>
  <c r="J54" i="44" s="1"/>
  <c r="I70" i="20"/>
  <c r="L47" i="44"/>
  <c r="J51" i="45"/>
  <c r="K70" i="45"/>
  <c r="D47" i="53"/>
  <c r="M47" i="53" s="1"/>
  <c r="G70" i="45"/>
  <c r="E52" i="20"/>
  <c r="I52" i="20"/>
  <c r="I51" i="20"/>
  <c r="F70" i="20"/>
  <c r="F52" i="20"/>
  <c r="J70" i="20"/>
  <c r="H31" i="20"/>
  <c r="G51" i="20"/>
  <c r="G52" i="20"/>
  <c r="K31" i="20"/>
  <c r="E51" i="20"/>
  <c r="E70" i="20"/>
  <c r="E31" i="20"/>
  <c r="J51" i="20"/>
  <c r="F31" i="20"/>
  <c r="I54" i="20"/>
  <c r="I53" i="20"/>
  <c r="H53" i="20"/>
  <c r="F51" i="20"/>
  <c r="G53" i="20"/>
  <c r="K51" i="20"/>
  <c r="K54" i="20"/>
  <c r="F53" i="20"/>
  <c r="D49" i="45"/>
  <c r="M49" i="45" s="1"/>
  <c r="D49" i="53"/>
  <c r="D49" i="22"/>
  <c r="G31" i="22" s="1"/>
  <c r="J55" i="23"/>
  <c r="J56" i="23" s="1"/>
  <c r="E55" i="23"/>
  <c r="E56" i="23" s="1"/>
  <c r="I55" i="23"/>
  <c r="I56" i="23" s="1"/>
  <c r="G55" i="23"/>
  <c r="G56" i="23" s="1"/>
  <c r="F55" i="23"/>
  <c r="F56" i="23" s="1"/>
  <c r="K55" i="23"/>
  <c r="K56" i="23" s="1"/>
  <c r="D31" i="23"/>
  <c r="H55" i="23"/>
  <c r="H56" i="23" s="1"/>
  <c r="E55" i="25"/>
  <c r="E56" i="25" s="1"/>
  <c r="G55" i="25"/>
  <c r="G56" i="25" s="1"/>
  <c r="I55" i="25"/>
  <c r="I56" i="25" s="1"/>
  <c r="H55" i="25"/>
  <c r="H56" i="25" s="1"/>
  <c r="F55" i="25"/>
  <c r="F56" i="25" s="1"/>
  <c r="K55" i="25"/>
  <c r="K56" i="25" s="1"/>
  <c r="J55" i="25"/>
  <c r="J56" i="25" s="1"/>
  <c r="D31" i="25"/>
  <c r="D56" i="44"/>
  <c r="M49" i="44"/>
  <c r="F75" i="27"/>
  <c r="F75" i="28"/>
  <c r="G75" i="27"/>
  <c r="H75" i="27"/>
  <c r="G75" i="28"/>
  <c r="H75" i="28"/>
  <c r="H75" i="18"/>
  <c r="F75" i="18"/>
  <c r="G75" i="18"/>
  <c r="F18" i="27"/>
  <c r="D18" i="26"/>
  <c r="K56" i="27"/>
  <c r="K56" i="18"/>
  <c r="E55" i="29"/>
  <c r="E56" i="29" s="1"/>
  <c r="G55" i="29"/>
  <c r="G56" i="29" s="1"/>
  <c r="D31" i="29"/>
  <c r="F55" i="29"/>
  <c r="F56" i="29" s="1"/>
  <c r="I55" i="29"/>
  <c r="I56" i="29" s="1"/>
  <c r="H55" i="29"/>
  <c r="H56" i="29" s="1"/>
  <c r="J55" i="29"/>
  <c r="J56" i="29" s="1"/>
  <c r="K55" i="29"/>
  <c r="AE36" i="11"/>
  <c r="AE37" i="11" s="1"/>
  <c r="D31" i="19"/>
  <c r="E55" i="26"/>
  <c r="E56" i="26" s="1"/>
  <c r="D31" i="26"/>
  <c r="D31" i="17"/>
  <c r="F55" i="19"/>
  <c r="F56" i="19" s="1"/>
  <c r="E55" i="24"/>
  <c r="E56" i="24" s="1"/>
  <c r="G55" i="17"/>
  <c r="G56" i="17" s="1"/>
  <c r="I55" i="24"/>
  <c r="I56" i="24" s="1"/>
  <c r="J55" i="17"/>
  <c r="J56" i="17" s="1"/>
  <c r="J55" i="19"/>
  <c r="J56" i="19" s="1"/>
  <c r="F55" i="17"/>
  <c r="F56" i="17" s="1"/>
  <c r="G55" i="24"/>
  <c r="G56" i="24" s="1"/>
  <c r="J55" i="26"/>
  <c r="J56" i="26" s="1"/>
  <c r="I55" i="26"/>
  <c r="I56" i="26" s="1"/>
  <c r="E55" i="17"/>
  <c r="E56" i="17" s="1"/>
  <c r="E55" i="19"/>
  <c r="E56" i="19" s="1"/>
  <c r="H55" i="19"/>
  <c r="H56" i="19" s="1"/>
  <c r="H55" i="17"/>
  <c r="H56" i="17" s="1"/>
  <c r="K55" i="17"/>
  <c r="K55" i="26"/>
  <c r="I55" i="17"/>
  <c r="I56" i="17" s="1"/>
  <c r="J55" i="24"/>
  <c r="J56" i="24" s="1"/>
  <c r="K55" i="24"/>
  <c r="H55" i="26"/>
  <c r="H56" i="26" s="1"/>
  <c r="K55" i="19"/>
  <c r="D31" i="24"/>
  <c r="G55" i="19"/>
  <c r="G56" i="19" s="1"/>
  <c r="I55" i="19"/>
  <c r="I56" i="19" s="1"/>
  <c r="H55" i="24"/>
  <c r="H56" i="24" s="1"/>
  <c r="F55" i="24"/>
  <c r="F56" i="24" s="1"/>
  <c r="G55" i="26"/>
  <c r="G56" i="26" s="1"/>
  <c r="F55" i="26"/>
  <c r="F56" i="26" s="1"/>
  <c r="AF35" i="11"/>
  <c r="AG34" i="11" s="1"/>
  <c r="U18" i="3"/>
  <c r="V57" i="3"/>
  <c r="V58" i="3" s="1"/>
  <c r="D27" i="13"/>
  <c r="D16" i="13"/>
  <c r="F70" i="45" l="1"/>
  <c r="J55" i="21"/>
  <c r="J55" i="45" s="1"/>
  <c r="J56" i="45" s="1"/>
  <c r="I55" i="21"/>
  <c r="I56" i="21" s="1"/>
  <c r="F55" i="21"/>
  <c r="F56" i="21" s="1"/>
  <c r="F51" i="45"/>
  <c r="F54" i="45"/>
  <c r="L54" i="45" s="1"/>
  <c r="F31" i="45"/>
  <c r="H55" i="21"/>
  <c r="H55" i="45" s="1"/>
  <c r="H56" i="45" s="1"/>
  <c r="K55" i="21"/>
  <c r="K56" i="21" s="1"/>
  <c r="G55" i="21"/>
  <c r="G56" i="21" s="1"/>
  <c r="E27" i="13"/>
  <c r="D31" i="21"/>
  <c r="D31" i="45" s="1"/>
  <c r="F54" i="44"/>
  <c r="E55" i="21"/>
  <c r="E55" i="45" s="1"/>
  <c r="E56" i="45" s="1"/>
  <c r="E55" i="20"/>
  <c r="E56" i="20" s="1"/>
  <c r="D31" i="20"/>
  <c r="G55" i="20"/>
  <c r="G56" i="20" s="1"/>
  <c r="F52" i="44"/>
  <c r="I55" i="20"/>
  <c r="I56" i="20" s="1"/>
  <c r="L52" i="45"/>
  <c r="L53" i="45"/>
  <c r="F53" i="44"/>
  <c r="F31" i="44"/>
  <c r="G51" i="22"/>
  <c r="K31" i="44"/>
  <c r="J70" i="44"/>
  <c r="K55" i="45"/>
  <c r="K56" i="45" s="1"/>
  <c r="M49" i="53"/>
  <c r="G53" i="44"/>
  <c r="E31" i="44"/>
  <c r="G52" i="44"/>
  <c r="F55" i="20"/>
  <c r="F56" i="20" s="1"/>
  <c r="E52" i="44"/>
  <c r="J56" i="21"/>
  <c r="G31" i="53"/>
  <c r="G52" i="22"/>
  <c r="E70" i="44"/>
  <c r="G51" i="44"/>
  <c r="F70" i="44"/>
  <c r="K54" i="44"/>
  <c r="H53" i="44"/>
  <c r="H55" i="44" s="1"/>
  <c r="H56" i="44" s="1"/>
  <c r="J51" i="44"/>
  <c r="J55" i="44" s="1"/>
  <c r="J56" i="44" s="1"/>
  <c r="E51" i="44"/>
  <c r="H31" i="44"/>
  <c r="F51" i="44"/>
  <c r="L49" i="45"/>
  <c r="E16" i="13"/>
  <c r="K55" i="20"/>
  <c r="K56" i="20" s="1"/>
  <c r="K51" i="44"/>
  <c r="H55" i="20"/>
  <c r="H56" i="20" s="1"/>
  <c r="J55" i="20"/>
  <c r="J56" i="20" s="1"/>
  <c r="J70" i="22"/>
  <c r="F70" i="22"/>
  <c r="F53" i="22"/>
  <c r="E51" i="22"/>
  <c r="E54" i="22"/>
  <c r="H53" i="22"/>
  <c r="H52" i="22"/>
  <c r="I31" i="22"/>
  <c r="H51" i="22"/>
  <c r="K52" i="22"/>
  <c r="E70" i="22"/>
  <c r="D56" i="22"/>
  <c r="K53" i="22"/>
  <c r="F51" i="22"/>
  <c r="F31" i="22"/>
  <c r="I70" i="22"/>
  <c r="E31" i="22"/>
  <c r="K51" i="22"/>
  <c r="G53" i="22"/>
  <c r="J52" i="22"/>
  <c r="F52" i="22"/>
  <c r="K70" i="22"/>
  <c r="H70" i="22"/>
  <c r="E52" i="22"/>
  <c r="E53" i="22"/>
  <c r="H54" i="22"/>
  <c r="H31" i="22"/>
  <c r="K31" i="22"/>
  <c r="I52" i="22"/>
  <c r="I54" i="22"/>
  <c r="F54" i="22"/>
  <c r="K54" i="22"/>
  <c r="I53" i="22"/>
  <c r="J51" i="22"/>
  <c r="I51" i="22"/>
  <c r="J54" i="22"/>
  <c r="J53" i="22"/>
  <c r="G70" i="22"/>
  <c r="J31" i="22"/>
  <c r="L51" i="45"/>
  <c r="G54" i="22"/>
  <c r="I72" i="53"/>
  <c r="I73" i="53" s="1"/>
  <c r="D56" i="53"/>
  <c r="I73" i="45"/>
  <c r="D56" i="45"/>
  <c r="M56" i="45" s="1"/>
  <c r="L49" i="53"/>
  <c r="M56" i="44"/>
  <c r="H75" i="23"/>
  <c r="G75" i="23"/>
  <c r="F75" i="23"/>
  <c r="G75" i="25"/>
  <c r="H75" i="25"/>
  <c r="F75" i="25"/>
  <c r="I55" i="44"/>
  <c r="I56" i="44" s="1"/>
  <c r="G75" i="26"/>
  <c r="F75" i="24"/>
  <c r="H75" i="26"/>
  <c r="H75" i="24"/>
  <c r="F75" i="26"/>
  <c r="G75" i="24"/>
  <c r="H75" i="19"/>
  <c r="G75" i="19"/>
  <c r="F75" i="19"/>
  <c r="D18" i="27"/>
  <c r="F18" i="28"/>
  <c r="D18" i="28" s="1"/>
  <c r="K56" i="19"/>
  <c r="K56" i="29"/>
  <c r="K56" i="24"/>
  <c r="K56" i="26"/>
  <c r="K56" i="17"/>
  <c r="AF36" i="11"/>
  <c r="AF37" i="11" s="1"/>
  <c r="AG35" i="11"/>
  <c r="AH34" i="11" s="1"/>
  <c r="I11" i="7"/>
  <c r="K19" i="7"/>
  <c r="J19" i="7"/>
  <c r="G11" i="7"/>
  <c r="G19" i="7"/>
  <c r="H19" i="7"/>
  <c r="F11" i="7"/>
  <c r="J11" i="7"/>
  <c r="L19" i="7"/>
  <c r="L27" i="13"/>
  <c r="H11" i="7"/>
  <c r="K11" i="7"/>
  <c r="D38" i="13"/>
  <c r="L11" i="7"/>
  <c r="L16" i="13"/>
  <c r="F55" i="45" l="1"/>
  <c r="F56" i="45" s="1"/>
  <c r="L54" i="44"/>
  <c r="H56" i="21"/>
  <c r="G75" i="21" s="1"/>
  <c r="G75" i="45" s="1"/>
  <c r="G55" i="45"/>
  <c r="G56" i="45" s="1"/>
  <c r="L56" i="45" s="1"/>
  <c r="E56" i="21"/>
  <c r="F75" i="20"/>
  <c r="F75" i="21"/>
  <c r="F75" i="45" s="1"/>
  <c r="F11" i="43"/>
  <c r="H75" i="21"/>
  <c r="H75" i="45" s="1"/>
  <c r="F55" i="44"/>
  <c r="F56" i="44" s="1"/>
  <c r="L52" i="44"/>
  <c r="H11" i="43"/>
  <c r="G55" i="44"/>
  <c r="G56" i="44" s="1"/>
  <c r="E55" i="44"/>
  <c r="E56" i="44" s="1"/>
  <c r="M56" i="53"/>
  <c r="D31" i="44"/>
  <c r="M31" i="44" s="1"/>
  <c r="G19" i="43"/>
  <c r="H19" i="43"/>
  <c r="K19" i="43"/>
  <c r="G11" i="43"/>
  <c r="K51" i="53"/>
  <c r="L53" i="44"/>
  <c r="G75" i="20"/>
  <c r="H75" i="20"/>
  <c r="J31" i="53"/>
  <c r="J53" i="53"/>
  <c r="E53" i="53"/>
  <c r="F52" i="53"/>
  <c r="E31" i="53"/>
  <c r="K53" i="53"/>
  <c r="H51" i="53"/>
  <c r="E54" i="53"/>
  <c r="J70" i="53"/>
  <c r="L51" i="44"/>
  <c r="G52" i="53"/>
  <c r="L31" i="45"/>
  <c r="M31" i="45"/>
  <c r="J51" i="53"/>
  <c r="K70" i="53"/>
  <c r="K52" i="53"/>
  <c r="G70" i="53"/>
  <c r="J54" i="53"/>
  <c r="K54" i="53"/>
  <c r="K31" i="53"/>
  <c r="E52" i="53"/>
  <c r="J52" i="53"/>
  <c r="E51" i="53"/>
  <c r="G51" i="53"/>
  <c r="H54" i="53"/>
  <c r="F51" i="53"/>
  <c r="H53" i="53"/>
  <c r="F70" i="53"/>
  <c r="G54" i="53"/>
  <c r="I55" i="22"/>
  <c r="I56" i="22" s="1"/>
  <c r="F54" i="53"/>
  <c r="H31" i="53"/>
  <c r="H70" i="53"/>
  <c r="G53" i="53"/>
  <c r="F31" i="53"/>
  <c r="E70" i="53"/>
  <c r="H52" i="53"/>
  <c r="F53" i="53"/>
  <c r="K11" i="43"/>
  <c r="I11" i="43"/>
  <c r="K55" i="44"/>
  <c r="K56" i="44" s="1"/>
  <c r="E38" i="13"/>
  <c r="D31" i="22"/>
  <c r="H55" i="22"/>
  <c r="G55" i="22"/>
  <c r="E55" i="22"/>
  <c r="J55" i="22"/>
  <c r="K55" i="22"/>
  <c r="F55" i="22"/>
  <c r="L19" i="43"/>
  <c r="L11" i="43"/>
  <c r="F18" i="29"/>
  <c r="E11" i="7"/>
  <c r="AG36" i="11"/>
  <c r="AG37" i="11" s="1"/>
  <c r="AH35" i="11"/>
  <c r="AI34" i="11" s="1"/>
  <c r="L38" i="13"/>
  <c r="J27" i="7"/>
  <c r="I19" i="7"/>
  <c r="F19" i="7"/>
  <c r="L55" i="45" l="1"/>
  <c r="I19" i="43"/>
  <c r="F19" i="43"/>
  <c r="E19" i="7"/>
  <c r="L31" i="44"/>
  <c r="L75" i="45"/>
  <c r="L52" i="53"/>
  <c r="L53" i="53"/>
  <c r="L54" i="53"/>
  <c r="F56" i="22"/>
  <c r="F55" i="53"/>
  <c r="F56" i="53" s="1"/>
  <c r="J56" i="22"/>
  <c r="J55" i="53"/>
  <c r="J56" i="53" s="1"/>
  <c r="E56" i="22"/>
  <c r="E55" i="53"/>
  <c r="D31" i="53"/>
  <c r="M31" i="53" s="1"/>
  <c r="K55" i="53"/>
  <c r="K56" i="53" s="1"/>
  <c r="G56" i="22"/>
  <c r="G55" i="53"/>
  <c r="G56" i="53" s="1"/>
  <c r="H56" i="22"/>
  <c r="H55" i="53"/>
  <c r="H56" i="53" s="1"/>
  <c r="E11" i="43"/>
  <c r="L55" i="44"/>
  <c r="K56" i="22"/>
  <c r="L56" i="44"/>
  <c r="L51" i="53"/>
  <c r="F75" i="44"/>
  <c r="G75" i="44"/>
  <c r="H75" i="44"/>
  <c r="D18" i="29"/>
  <c r="F18" i="34"/>
  <c r="AH36" i="11"/>
  <c r="AH37" i="11" s="1"/>
  <c r="AI35" i="11"/>
  <c r="AJ34" i="11" s="1"/>
  <c r="L27" i="7"/>
  <c r="H27" i="7"/>
  <c r="F27" i="7"/>
  <c r="K27" i="7"/>
  <c r="G27" i="7"/>
  <c r="I27" i="7"/>
  <c r="E19" i="43" l="1"/>
  <c r="G75" i="22"/>
  <c r="H75" i="22"/>
  <c r="H75" i="53"/>
  <c r="I27" i="43"/>
  <c r="H27" i="43"/>
  <c r="G27" i="43"/>
  <c r="F27" i="43"/>
  <c r="K27" i="43"/>
  <c r="F75" i="22"/>
  <c r="L31" i="53"/>
  <c r="F75" i="53"/>
  <c r="G75" i="53"/>
  <c r="L27" i="43"/>
  <c r="E27" i="7"/>
  <c r="E56" i="53"/>
  <c r="L56" i="53" s="1"/>
  <c r="L55" i="53"/>
  <c r="L75" i="44"/>
  <c r="D18" i="34"/>
  <c r="AI36" i="11"/>
  <c r="AI37" i="11" s="1"/>
  <c r="AJ35" i="11"/>
  <c r="AK34" i="11" s="1"/>
  <c r="AK35" i="11" s="1"/>
  <c r="E27" i="43" l="1"/>
  <c r="L75" i="53"/>
  <c r="AJ36" i="11"/>
  <c r="AJ37" i="11" s="1"/>
  <c r="AK36" i="11"/>
  <c r="AK37" i="11" s="1"/>
  <c r="G10" i="6" l="1"/>
  <c r="H10" i="6"/>
  <c r="I7" i="6"/>
  <c r="G6" i="6"/>
  <c r="H6" i="6"/>
  <c r="I9" i="6"/>
  <c r="H9" i="6"/>
  <c r="G9" i="6"/>
  <c r="H7" i="6"/>
  <c r="G7" i="6"/>
  <c r="M12" i="7"/>
  <c r="I10" i="6"/>
  <c r="I6" i="6"/>
  <c r="M12" i="43" l="1"/>
  <c r="M20" i="7"/>
  <c r="U6" i="5"/>
  <c r="B6" i="5" s="1"/>
  <c r="V8" i="5"/>
  <c r="V25" i="5" s="1"/>
  <c r="U8" i="5"/>
  <c r="U25" i="5" s="1"/>
  <c r="Y10" i="5"/>
  <c r="V6" i="5"/>
  <c r="X10" i="5"/>
  <c r="X7" i="5"/>
  <c r="X8" i="5"/>
  <c r="X25" i="5" s="1"/>
  <c r="V9" i="5"/>
  <c r="W6" i="5"/>
  <c r="Y7" i="5"/>
  <c r="Y8" i="5"/>
  <c r="Y25" i="5" s="1"/>
  <c r="V10" i="5"/>
  <c r="W10" i="5"/>
  <c r="V7" i="5"/>
  <c r="W9" i="5"/>
  <c r="X9" i="5"/>
  <c r="U9" i="5"/>
  <c r="W7" i="5"/>
  <c r="X6" i="5"/>
  <c r="U7" i="5"/>
  <c r="B5" i="5" s="1"/>
  <c r="Y9" i="5"/>
  <c r="W8" i="5"/>
  <c r="W25" i="5" s="1"/>
  <c r="Y6" i="5"/>
  <c r="M28" i="7"/>
  <c r="S38" i="3"/>
  <c r="U38" i="3"/>
  <c r="S40" i="3"/>
  <c r="P38" i="3"/>
  <c r="P39" i="3"/>
  <c r="O36" i="3"/>
  <c r="F10" i="3" s="1"/>
  <c r="R40" i="3"/>
  <c r="P37" i="3"/>
  <c r="V37" i="3"/>
  <c r="R39" i="3"/>
  <c r="V39" i="3"/>
  <c r="S39" i="3"/>
  <c r="V36" i="3"/>
  <c r="V40" i="3"/>
  <c r="O39" i="3"/>
  <c r="R37" i="3"/>
  <c r="S36" i="3"/>
  <c r="O37" i="3"/>
  <c r="F9" i="3" s="1"/>
  <c r="O38" i="3"/>
  <c r="R38" i="3"/>
  <c r="U39" i="3"/>
  <c r="R36" i="3"/>
  <c r="U40" i="3"/>
  <c r="V38" i="3"/>
  <c r="U37" i="3"/>
  <c r="P40" i="3"/>
  <c r="S37" i="3"/>
  <c r="P36" i="3"/>
  <c r="U36" i="3"/>
  <c r="M28" i="43" l="1"/>
  <c r="M20" i="43"/>
  <c r="K5" i="5"/>
  <c r="H6" i="5"/>
  <c r="O9" i="3"/>
  <c r="H8" i="5"/>
  <c r="E5" i="5"/>
  <c r="H5" i="5"/>
  <c r="E6" i="5"/>
  <c r="N6" i="5"/>
  <c r="I10" i="3"/>
  <c r="N8" i="5"/>
  <c r="O11" i="3"/>
  <c r="L9" i="3"/>
  <c r="L10" i="3"/>
  <c r="O10" i="3"/>
  <c r="L14" i="3"/>
  <c r="R55" i="3"/>
  <c r="O55" i="3"/>
  <c r="O56" i="3" s="1"/>
  <c r="F14" i="3"/>
  <c r="F16" i="3" s="1"/>
  <c r="R9" i="3"/>
  <c r="N5" i="5"/>
  <c r="R10" i="3"/>
  <c r="R11" i="3"/>
  <c r="K8" i="5"/>
  <c r="L11" i="3"/>
  <c r="R14" i="3"/>
  <c r="U55" i="3"/>
  <c r="V55" i="3"/>
  <c r="U14" i="3"/>
  <c r="K6" i="5"/>
  <c r="U10" i="3"/>
  <c r="U11" i="3"/>
  <c r="I9" i="3"/>
  <c r="S55" i="3"/>
  <c r="O14" i="3"/>
  <c r="U9" i="3"/>
  <c r="P55" i="3"/>
  <c r="I14" i="3"/>
  <c r="I11" i="3"/>
  <c r="P56" i="3" l="1"/>
  <c r="S56" i="3"/>
  <c r="R56" i="3"/>
  <c r="O16" i="3"/>
  <c r="U56" i="3"/>
  <c r="L16" i="3"/>
  <c r="I16" i="3"/>
  <c r="R16" i="3"/>
  <c r="U16" i="3"/>
  <c r="V56" i="3"/>
  <c r="O27" i="11" l="1"/>
  <c r="V27" i="11"/>
  <c r="W27" i="11"/>
  <c r="S27" i="11"/>
  <c r="Q27" i="11"/>
  <c r="R27" i="11"/>
  <c r="P27" i="11"/>
  <c r="U27" i="11"/>
  <c r="T27" i="11"/>
  <c r="Q28" i="11" l="1"/>
  <c r="R28" i="11"/>
  <c r="P28" i="11"/>
  <c r="O28" i="11"/>
  <c r="W28" i="11"/>
  <c r="T28" i="11"/>
  <c r="U28" i="11"/>
  <c r="X27" i="11"/>
  <c r="X28" i="11" s="1"/>
  <c r="S28" i="11"/>
  <c r="V28" i="11"/>
  <c r="E37" i="9" l="1"/>
  <c r="E51" i="9" s="1"/>
  <c r="D37" i="9"/>
  <c r="D51" i="9" s="1"/>
  <c r="F37" i="9"/>
  <c r="F51" i="9" s="1"/>
  <c r="M37" i="9"/>
  <c r="M51" i="9" s="1"/>
  <c r="J37" i="9"/>
  <c r="J51" i="9" s="1"/>
  <c r="K37" i="9"/>
  <c r="K51" i="9" s="1"/>
  <c r="H37" i="9"/>
  <c r="H51" i="9" s="1"/>
  <c r="L37" i="9"/>
  <c r="L51" i="9" s="1"/>
  <c r="I37" i="9"/>
  <c r="I51" i="9" s="1"/>
  <c r="G37" i="9"/>
  <c r="G51" i="9" s="1"/>
  <c r="G52" i="9" s="1"/>
  <c r="Y27" i="11"/>
  <c r="Y28" i="11" s="1"/>
  <c r="N37" i="9" l="1"/>
  <c r="N51" i="9" s="1"/>
  <c r="Z27" i="11"/>
  <c r="Z28" i="11" s="1"/>
  <c r="O37" i="9" s="1"/>
  <c r="O51" i="9" s="1"/>
  <c r="AA27" i="11" l="1"/>
  <c r="AA28" i="11" s="1"/>
  <c r="P37" i="9" s="1"/>
  <c r="P51" i="9" s="1"/>
  <c r="AB27" i="11" l="1"/>
  <c r="AB28" i="11" s="1"/>
  <c r="Q37" i="9" s="1"/>
  <c r="Q51" i="9" s="1"/>
  <c r="AE17" i="11" l="1" a="1"/>
  <c r="AE17" i="11" s="1"/>
  <c r="AC27" i="11"/>
  <c r="AD27" i="11" l="1"/>
  <c r="AD28" i="11" s="1"/>
  <c r="S37" i="9" s="1"/>
  <c r="S51" i="9" s="1"/>
  <c r="AC28" i="11"/>
  <c r="R37" i="9" s="1"/>
  <c r="R51" i="9" s="1"/>
  <c r="B15" i="4"/>
  <c r="B31" i="4"/>
  <c r="AE27" i="11" l="1"/>
  <c r="AE28" i="11" s="1"/>
  <c r="T37" i="9" s="1"/>
  <c r="T51" i="9" s="1"/>
  <c r="C15" i="4"/>
  <c r="B41" i="4"/>
  <c r="D15" i="4"/>
  <c r="E15" i="4"/>
  <c r="E31" i="4"/>
  <c r="AF27" i="11" l="1"/>
  <c r="AF28" i="11" s="1"/>
  <c r="U37" i="9" s="1"/>
  <c r="U51" i="9" s="1"/>
  <c r="D31" i="4"/>
  <c r="C41" i="4"/>
  <c r="AG27" i="11" l="1"/>
  <c r="AG28" i="11" s="1"/>
  <c r="V37" i="9" s="1"/>
  <c r="V51" i="9" s="1"/>
  <c r="F15" i="4"/>
  <c r="F31" i="4"/>
  <c r="G31" i="4"/>
  <c r="G15" i="4"/>
  <c r="AI27" i="11" l="1"/>
  <c r="AH27" i="11"/>
  <c r="AH28" i="11" s="1"/>
  <c r="W37" i="9" s="1"/>
  <c r="W51" i="9" s="1"/>
  <c r="B48" i="4"/>
  <c r="B59" i="4" s="1"/>
  <c r="B21" i="4"/>
  <c r="D41" i="4"/>
  <c r="H15" i="4"/>
  <c r="AK27" i="11" l="1"/>
  <c r="AJ27" i="11"/>
  <c r="AI28" i="11"/>
  <c r="X37" i="9" s="1"/>
  <c r="X51" i="9" s="1"/>
  <c r="C21" i="4"/>
  <c r="B26" i="4"/>
  <c r="H31" i="4"/>
  <c r="C48" i="4"/>
  <c r="I31" i="4"/>
  <c r="I15" i="4"/>
  <c r="B58" i="4"/>
  <c r="B60" i="4"/>
  <c r="AA37" i="9" l="1"/>
  <c r="AA51" i="9" s="1"/>
  <c r="AK28" i="11"/>
  <c r="Z37" i="9" s="1"/>
  <c r="Z51" i="9" s="1"/>
  <c r="AJ28" i="11"/>
  <c r="Y37" i="9" s="1"/>
  <c r="Y51" i="9" s="1"/>
  <c r="D48" i="4"/>
  <c r="D59" i="4" s="1"/>
  <c r="D21" i="4"/>
  <c r="C26" i="4"/>
  <c r="B61" i="4"/>
  <c r="E41" i="4"/>
  <c r="B54" i="4"/>
  <c r="B66" i="4" s="1"/>
  <c r="C54" i="4"/>
  <c r="C66" i="4" s="1"/>
  <c r="J15" i="4"/>
  <c r="C58" i="4"/>
  <c r="C60" i="4"/>
  <c r="E21" i="4"/>
  <c r="C59" i="4"/>
  <c r="AB37" i="9" l="1"/>
  <c r="AB51" i="9" s="1"/>
  <c r="AC37" i="9"/>
  <c r="AC51" i="9" s="1"/>
  <c r="D26" i="4"/>
  <c r="F48" i="4"/>
  <c r="F21" i="4"/>
  <c r="B36" i="4"/>
  <c r="L15" i="4"/>
  <c r="E26" i="4"/>
  <c r="J31" i="4"/>
  <c r="C61" i="4"/>
  <c r="C65" i="4"/>
  <c r="C64" i="4"/>
  <c r="K31" i="4"/>
  <c r="K15" i="4"/>
  <c r="E48" i="4"/>
  <c r="E59" i="4" s="1"/>
  <c r="D58" i="4"/>
  <c r="D60" i="4"/>
  <c r="B65" i="4"/>
  <c r="B64" i="4"/>
  <c r="D54" i="4"/>
  <c r="D66" i="4" s="1"/>
  <c r="G48" i="4" l="1"/>
  <c r="F26" i="4"/>
  <c r="B67" i="4"/>
  <c r="D61" i="4"/>
  <c r="C36" i="4"/>
  <c r="C67" i="4"/>
  <c r="F41" i="4"/>
  <c r="M31" i="4"/>
  <c r="M15" i="4"/>
  <c r="F58" i="4"/>
  <c r="F60" i="4"/>
  <c r="F54" i="4"/>
  <c r="E58" i="4"/>
  <c r="E60" i="4"/>
  <c r="D65" i="4"/>
  <c r="D64" i="4"/>
  <c r="F59" i="4"/>
  <c r="L31" i="4"/>
  <c r="G26" i="4" l="1"/>
  <c r="H48" i="4"/>
  <c r="H58" i="4" s="1"/>
  <c r="H21" i="4"/>
  <c r="G41" i="4"/>
  <c r="E61" i="4"/>
  <c r="F64" i="4"/>
  <c r="F65" i="4"/>
  <c r="D67" i="4"/>
  <c r="N15" i="4"/>
  <c r="F61" i="4"/>
  <c r="E54" i="4"/>
  <c r="E66" i="4" s="1"/>
  <c r="G58" i="4"/>
  <c r="G60" i="4"/>
  <c r="G59" i="4"/>
  <c r="F66" i="4"/>
  <c r="H26" i="4" l="1"/>
  <c r="G54" i="4"/>
  <c r="G66" i="4" s="1"/>
  <c r="D36" i="4"/>
  <c r="H60" i="4"/>
  <c r="I21" i="4"/>
  <c r="H59" i="4"/>
  <c r="G61" i="4"/>
  <c r="N31" i="4"/>
  <c r="F67" i="4"/>
  <c r="I48" i="4"/>
  <c r="I59" i="4" s="1"/>
  <c r="E65" i="4"/>
  <c r="E64" i="4"/>
  <c r="H54" i="4"/>
  <c r="H66" i="4" s="1"/>
  <c r="J21" i="4" l="1"/>
  <c r="J48" i="4"/>
  <c r="J59" i="4" s="1"/>
  <c r="H61" i="4"/>
  <c r="I26" i="4"/>
  <c r="G65" i="4"/>
  <c r="G64" i="4"/>
  <c r="H64" i="4"/>
  <c r="H65" i="4"/>
  <c r="I58" i="4"/>
  <c r="I60" i="4"/>
  <c r="E67" i="4"/>
  <c r="J26" i="4" l="1"/>
  <c r="K21" i="4"/>
  <c r="K48" i="4"/>
  <c r="K59" i="4" s="1"/>
  <c r="J60" i="4"/>
  <c r="J58" i="4"/>
  <c r="E36" i="4"/>
  <c r="L48" i="4"/>
  <c r="J54" i="4"/>
  <c r="J66" i="4" s="1"/>
  <c r="I61" i="4"/>
  <c r="I54" i="4"/>
  <c r="H67" i="4"/>
  <c r="G67" i="4"/>
  <c r="J61" i="4" l="1"/>
  <c r="M21" i="4"/>
  <c r="M48" i="4"/>
  <c r="M59" i="4" s="1"/>
  <c r="I65" i="4"/>
  <c r="I64" i="4"/>
  <c r="J64" i="4"/>
  <c r="J65" i="4"/>
  <c r="K58" i="4"/>
  <c r="K60" i="4"/>
  <c r="I66" i="4"/>
  <c r="L26" i="4"/>
  <c r="L58" i="4"/>
  <c r="L60" i="4"/>
  <c r="L59" i="4"/>
  <c r="K26" i="4"/>
  <c r="F36" i="4"/>
  <c r="N48" i="4" l="1"/>
  <c r="N59" i="4" s="1"/>
  <c r="M26" i="4"/>
  <c r="K54" i="4"/>
  <c r="L61" i="4"/>
  <c r="J67" i="4"/>
  <c r="K61" i="4"/>
  <c r="I67" i="4"/>
  <c r="L54" i="4"/>
  <c r="M54" i="4"/>
  <c r="M58" i="4"/>
  <c r="M60" i="4"/>
  <c r="G36" i="4" l="1"/>
  <c r="M61" i="4"/>
  <c r="K65" i="4"/>
  <c r="K64" i="4"/>
  <c r="K66" i="4"/>
  <c r="M65" i="4"/>
  <c r="M64" i="4"/>
  <c r="L64" i="4"/>
  <c r="L65" i="4"/>
  <c r="N26" i="4"/>
  <c r="L66" i="4"/>
  <c r="M66" i="4"/>
  <c r="N58" i="4"/>
  <c r="N60" i="4"/>
  <c r="M67" i="4" l="1"/>
  <c r="K67" i="4"/>
  <c r="N61" i="4"/>
  <c r="N54" i="4"/>
  <c r="L67" i="4"/>
  <c r="N65" i="4" l="1"/>
  <c r="N64" i="4"/>
  <c r="N66" i="4"/>
  <c r="N67" i="4" l="1"/>
  <c r="C31" i="4" l="1"/>
  <c r="G21" i="4" l="1"/>
  <c r="L21" i="4" l="1"/>
  <c r="N21" i="4" l="1"/>
  <c r="O40" i="3" l="1"/>
  <c r="U10" i="5"/>
  <c r="E8" i="5" s="1"/>
  <c r="B8" i="5" l="1"/>
  <c r="F11" i="3"/>
  <c r="AJ40" i="3" l="1"/>
  <c r="AI40" i="3"/>
  <c r="AH40" i="3" l="1"/>
  <c r="AG40" i="3" l="1"/>
  <c r="AE40" i="3" l="1"/>
  <c r="AF40" i="3"/>
  <c r="I32" i="37" l="1"/>
  <c r="E32" i="37" l="1"/>
  <c r="F32" i="37"/>
  <c r="K32" i="37"/>
  <c r="H32" i="37"/>
  <c r="G32" i="37"/>
  <c r="J32" i="37"/>
  <c r="D21" i="37" l="1"/>
  <c r="S17" i="11" l="1" a="1"/>
  <c r="S17" i="11" s="1"/>
  <c r="O17" i="11" a="1"/>
  <c r="O17" i="11" s="1"/>
  <c r="R17" i="11" l="1" a="1"/>
  <c r="R17" i="11" s="1"/>
  <c r="T17" i="11" a="1"/>
  <c r="T17" i="11" s="1"/>
  <c r="P17" i="11" a="1"/>
  <c r="P17" i="11" s="1"/>
  <c r="Q17" i="11" a="1"/>
  <c r="Q17" i="11" s="1"/>
  <c r="U17" i="11" a="1"/>
  <c r="U17" i="11" s="1"/>
  <c r="V17" i="11" l="1" a="1"/>
  <c r="V17" i="11" s="1"/>
  <c r="W17" i="11" a="1"/>
  <c r="W17" i="11" s="1"/>
  <c r="X17" i="11" l="1" a="1"/>
  <c r="X17" i="11" s="1"/>
  <c r="Y17" i="11" l="1" a="1"/>
  <c r="Y17" i="11" s="1"/>
  <c r="AA17" i="11" l="1" a="1"/>
  <c r="AA17" i="11" s="1"/>
  <c r="Z17" i="11" a="1"/>
  <c r="Z17" i="11" s="1"/>
  <c r="AB17" i="11" l="1" a="1"/>
  <c r="AB17" i="11" s="1"/>
  <c r="AC17" i="11" l="1" a="1"/>
  <c r="AC17" i="11" s="1"/>
  <c r="AD17" i="11" l="1" a="1"/>
  <c r="AD17" i="11" s="1"/>
  <c r="AF17" i="11" l="1" a="1"/>
  <c r="AF17" i="11" s="1"/>
  <c r="AG17" i="11" l="1" a="1"/>
  <c r="AG17" i="11" s="1"/>
  <c r="AH17" i="11" l="1" a="1"/>
  <c r="AH17" i="11" s="1"/>
  <c r="AI17" i="11" l="1" a="1"/>
  <c r="AI17" i="11" s="1"/>
  <c r="AJ17" i="11" l="1" a="1"/>
  <c r="AJ17" i="11" s="1"/>
  <c r="AK17" i="11" l="1" a="1"/>
  <c r="AK17" i="11" s="1"/>
  <c r="J71" i="37" l="1"/>
  <c r="J72" i="37" s="1"/>
  <c r="H71" i="37"/>
  <c r="H72" i="37" s="1"/>
  <c r="I71" i="37"/>
  <c r="I72" i="37" s="1"/>
  <c r="E71" i="37" l="1"/>
  <c r="E72" i="37" s="1"/>
  <c r="G71" i="37"/>
  <c r="G72" i="37" s="1"/>
  <c r="F71" i="37"/>
  <c r="F72" i="37" s="1"/>
  <c r="K71" i="37"/>
  <c r="K72" i="37" s="1"/>
  <c r="D67" i="37" l="1"/>
  <c r="D71" i="37" s="1"/>
  <c r="D72" i="37"/>
  <c r="K33" i="37" l="1"/>
  <c r="O19" i="11" l="1"/>
  <c r="O20" i="11" l="1"/>
  <c r="P19" i="11" s="1"/>
  <c r="C36" i="9" l="1"/>
  <c r="C38" i="9" s="1"/>
  <c r="P20" i="11"/>
  <c r="Q19" i="11" s="1"/>
  <c r="O21" i="11"/>
  <c r="O25" i="11" s="1"/>
  <c r="Q20" i="11" l="1"/>
  <c r="R19" i="11" s="1"/>
  <c r="P21" i="11"/>
  <c r="P25" i="11" s="1"/>
  <c r="O29" i="11" l="1"/>
  <c r="O38" i="11" s="1"/>
  <c r="D36" i="9" s="1"/>
  <c r="D54" i="9" s="1"/>
  <c r="D57" i="9" s="1"/>
  <c r="P29" i="11"/>
  <c r="P38" i="11" s="1"/>
  <c r="E36" i="9" s="1"/>
  <c r="R20" i="11"/>
  <c r="S19" i="11" s="1"/>
  <c r="Q21" i="11"/>
  <c r="Q25" i="11" s="1"/>
  <c r="E24" i="6" l="1"/>
  <c r="E54" i="9"/>
  <c r="E57" i="9" s="1"/>
  <c r="D52" i="9"/>
  <c r="D58" i="9" s="1"/>
  <c r="D38" i="9"/>
  <c r="Q29" i="11"/>
  <c r="Q38" i="11" s="1"/>
  <c r="S20" i="11"/>
  <c r="T19" i="11" s="1"/>
  <c r="R21" i="11"/>
  <c r="R25" i="11" s="1"/>
  <c r="R29" i="11" s="1"/>
  <c r="R38" i="11" s="1"/>
  <c r="E52" i="9" l="1"/>
  <c r="E58" i="9" s="1"/>
  <c r="F36" i="9"/>
  <c r="E38" i="9"/>
  <c r="D62" i="9"/>
  <c r="AC39" i="3"/>
  <c r="F24" i="6"/>
  <c r="G36" i="9"/>
  <c r="G54" i="9" s="1"/>
  <c r="S21" i="11"/>
  <c r="S25" i="11" s="1"/>
  <c r="S29" i="11" s="1"/>
  <c r="S38" i="11" s="1"/>
  <c r="T20" i="11"/>
  <c r="U19" i="11" s="1"/>
  <c r="G57" i="9" l="1"/>
  <c r="F52" i="9"/>
  <c r="F54" i="9"/>
  <c r="F57" i="9" s="1"/>
  <c r="F38" i="9"/>
  <c r="E62" i="9"/>
  <c r="G38" i="9"/>
  <c r="G39" i="9" s="1"/>
  <c r="H36" i="9"/>
  <c r="H54" i="9" s="1"/>
  <c r="H57" i="9" s="1"/>
  <c r="U20" i="11"/>
  <c r="V19" i="11" s="1"/>
  <c r="T21" i="11"/>
  <c r="T25" i="11" s="1"/>
  <c r="T29" i="11" s="1"/>
  <c r="T38" i="11" s="1"/>
  <c r="G58" i="9" l="1"/>
  <c r="G62" i="9" s="1"/>
  <c r="F58" i="9"/>
  <c r="AD39" i="3" s="1"/>
  <c r="E65" i="6"/>
  <c r="H38" i="9"/>
  <c r="H52" i="9"/>
  <c r="H58" i="9" s="1"/>
  <c r="I36" i="9"/>
  <c r="I54" i="9" s="1"/>
  <c r="I57" i="9" s="1"/>
  <c r="U21" i="11"/>
  <c r="U25" i="11" s="1"/>
  <c r="U29" i="11" s="1"/>
  <c r="U38" i="11" s="1"/>
  <c r="V20" i="11"/>
  <c r="W19" i="11" s="1"/>
  <c r="F62" i="9" l="1"/>
  <c r="H62" i="9"/>
  <c r="M61" i="9"/>
  <c r="M56" i="9"/>
  <c r="G65" i="6"/>
  <c r="E57" i="6"/>
  <c r="I38" i="9"/>
  <c r="I52" i="9"/>
  <c r="I58" i="9" s="1"/>
  <c r="J36" i="9"/>
  <c r="J54" i="9" s="1"/>
  <c r="J57" i="9" s="1"/>
  <c r="G57" i="6"/>
  <c r="AE39" i="3"/>
  <c r="V21" i="11"/>
  <c r="V25" i="11" s="1"/>
  <c r="V29" i="11" s="1"/>
  <c r="V38" i="11" s="1"/>
  <c r="W20" i="11"/>
  <c r="X19" i="11" s="1"/>
  <c r="E24" i="42" l="1"/>
  <c r="F65" i="6"/>
  <c r="I62" i="9"/>
  <c r="N56" i="9"/>
  <c r="N61" i="9"/>
  <c r="H65" i="6"/>
  <c r="J38" i="9"/>
  <c r="J52" i="9"/>
  <c r="J58" i="9" s="1"/>
  <c r="K36" i="9"/>
  <c r="K54" i="9" s="1"/>
  <c r="K57" i="9" s="1"/>
  <c r="X20" i="11"/>
  <c r="Y19" i="11" s="1"/>
  <c r="W21" i="11"/>
  <c r="W25" i="11" s="1"/>
  <c r="W29" i="11" s="1"/>
  <c r="W38" i="11" s="1"/>
  <c r="F57" i="6" l="1"/>
  <c r="J62" i="9"/>
  <c r="K38" i="9"/>
  <c r="K52" i="9"/>
  <c r="K58" i="9" s="1"/>
  <c r="L36" i="9"/>
  <c r="L54" i="9" s="1"/>
  <c r="L57" i="9" s="1"/>
  <c r="AF39" i="3"/>
  <c r="H57" i="6"/>
  <c r="X21" i="11"/>
  <c r="X25" i="11" s="1"/>
  <c r="X29" i="11" s="1"/>
  <c r="X38" i="11" s="1"/>
  <c r="Y20" i="11"/>
  <c r="Z19" i="11" s="1"/>
  <c r="F24" i="42" l="1"/>
  <c r="D24" i="42"/>
  <c r="K62" i="9"/>
  <c r="L38" i="9"/>
  <c r="L52" i="9"/>
  <c r="L58" i="9" s="1"/>
  <c r="M36" i="9"/>
  <c r="M54" i="9" s="1"/>
  <c r="M57" i="9" s="1"/>
  <c r="I65" i="6"/>
  <c r="Z20" i="11"/>
  <c r="AA19" i="11" s="1"/>
  <c r="Y21" i="11"/>
  <c r="Y25" i="11" s="1"/>
  <c r="Y29" i="11" s="1"/>
  <c r="Y38" i="11" s="1"/>
  <c r="L62" i="9" l="1"/>
  <c r="M38" i="9"/>
  <c r="M52" i="9"/>
  <c r="M58" i="9" s="1"/>
  <c r="N36" i="9"/>
  <c r="AG39" i="3"/>
  <c r="I57" i="6"/>
  <c r="Z21" i="11"/>
  <c r="Z25" i="11" s="1"/>
  <c r="Z29" i="11" s="1"/>
  <c r="Z38" i="11" s="1"/>
  <c r="AA20" i="11"/>
  <c r="AB19" i="11" s="1"/>
  <c r="G24" i="42" l="1"/>
  <c r="N52" i="9"/>
  <c r="N54" i="9"/>
  <c r="N57" i="9" s="1"/>
  <c r="M62" i="9"/>
  <c r="N38" i="9"/>
  <c r="O36" i="9"/>
  <c r="AH39" i="3"/>
  <c r="AI39" i="3" s="1"/>
  <c r="AJ39" i="3" s="1"/>
  <c r="AB20" i="11"/>
  <c r="AC19" i="11" s="1"/>
  <c r="AA21" i="11"/>
  <c r="AA25" i="11" s="1"/>
  <c r="AA29" i="11" s="1"/>
  <c r="AA38" i="11" s="1"/>
  <c r="N58" i="9" l="1"/>
  <c r="N62" i="9" s="1"/>
  <c r="O52" i="9"/>
  <c r="O54" i="9"/>
  <c r="O57" i="9" s="1"/>
  <c r="P36" i="9"/>
  <c r="O38" i="9"/>
  <c r="AC20" i="11"/>
  <c r="AD19" i="11" s="1"/>
  <c r="AB21" i="11"/>
  <c r="AB25" i="11" s="1"/>
  <c r="AB29" i="11" s="1"/>
  <c r="AB38" i="11" s="1"/>
  <c r="O58" i="9" l="1"/>
  <c r="O62" i="9" s="1"/>
  <c r="P52" i="9"/>
  <c r="P54" i="9"/>
  <c r="P57" i="9" s="1"/>
  <c r="P38" i="9"/>
  <c r="Q36" i="9"/>
  <c r="AC21" i="11"/>
  <c r="AC25" i="11" s="1"/>
  <c r="AC29" i="11" s="1"/>
  <c r="AC38" i="11" s="1"/>
  <c r="AD20" i="11"/>
  <c r="AE19" i="11" s="1"/>
  <c r="P58" i="9" l="1"/>
  <c r="P62" i="9" s="1"/>
  <c r="Q52" i="9"/>
  <c r="Q54" i="9"/>
  <c r="Q57" i="9" s="1"/>
  <c r="Q38" i="9"/>
  <c r="R36" i="9"/>
  <c r="AD21" i="11"/>
  <c r="AD25" i="11" s="1"/>
  <c r="AD29" i="11" s="1"/>
  <c r="AD38" i="11" s="1"/>
  <c r="AE20" i="11"/>
  <c r="AF19" i="11" s="1"/>
  <c r="Q58" i="9" l="1"/>
  <c r="Q62" i="9" s="1"/>
  <c r="R52" i="9"/>
  <c r="R54" i="9"/>
  <c r="R57" i="9" s="1"/>
  <c r="R38" i="9"/>
  <c r="S36" i="9"/>
  <c r="AF20" i="11"/>
  <c r="AG19" i="11" s="1"/>
  <c r="AE21" i="11"/>
  <c r="AE25" i="11" s="1"/>
  <c r="AE29" i="11" s="1"/>
  <c r="AE38" i="11" s="1"/>
  <c r="R58" i="9" l="1"/>
  <c r="S52" i="9"/>
  <c r="S54" i="9"/>
  <c r="S57" i="9" s="1"/>
  <c r="R62" i="9"/>
  <c r="S38" i="9"/>
  <c r="T36" i="9"/>
  <c r="AF21" i="11"/>
  <c r="AF25" i="11" s="1"/>
  <c r="AF29" i="11" s="1"/>
  <c r="AF38" i="11" s="1"/>
  <c r="AG20" i="11"/>
  <c r="AH19" i="11" s="1"/>
  <c r="S58" i="9" l="1"/>
  <c r="S62" i="9" s="1"/>
  <c r="T52" i="9"/>
  <c r="T54" i="9"/>
  <c r="T57" i="9" s="1"/>
  <c r="T38" i="9"/>
  <c r="U36" i="9"/>
  <c r="AG21" i="11"/>
  <c r="AG25" i="11" s="1"/>
  <c r="AG29" i="11" s="1"/>
  <c r="AG38" i="11" s="1"/>
  <c r="AH20" i="11"/>
  <c r="AI19" i="11" s="1"/>
  <c r="T58" i="9" l="1"/>
  <c r="T62" i="9" s="1"/>
  <c r="U52" i="9"/>
  <c r="U54" i="9"/>
  <c r="U57" i="9" s="1"/>
  <c r="U38" i="9"/>
  <c r="V36" i="9"/>
  <c r="AH21" i="11"/>
  <c r="AH25" i="11" s="1"/>
  <c r="AH29" i="11" s="1"/>
  <c r="AH38" i="11" s="1"/>
  <c r="AI20" i="11"/>
  <c r="AJ19" i="11" s="1"/>
  <c r="U58" i="9" l="1"/>
  <c r="V52" i="9"/>
  <c r="V54" i="9"/>
  <c r="V57" i="9" s="1"/>
  <c r="U62" i="9"/>
  <c r="V38" i="9"/>
  <c r="W36" i="9"/>
  <c r="AJ20" i="11"/>
  <c r="AK19" i="11" s="1"/>
  <c r="AI21" i="11"/>
  <c r="AI25" i="11" s="1"/>
  <c r="AI29" i="11" s="1"/>
  <c r="AI38" i="11" s="1"/>
  <c r="V58" i="9" l="1"/>
  <c r="V62" i="9" s="1"/>
  <c r="W52" i="9"/>
  <c r="W54" i="9"/>
  <c r="W57" i="9" s="1"/>
  <c r="W38" i="9"/>
  <c r="X36" i="9"/>
  <c r="AA36" i="9"/>
  <c r="AJ21" i="11"/>
  <c r="AJ25" i="11" s="1"/>
  <c r="AJ29" i="11" s="1"/>
  <c r="AJ38" i="11" s="1"/>
  <c r="AK20" i="11"/>
  <c r="AK21" i="11" s="1"/>
  <c r="AK25" i="11" s="1"/>
  <c r="AK29" i="11" s="1"/>
  <c r="W58" i="9" l="1"/>
  <c r="W62" i="9" s="1"/>
  <c r="AA52" i="9"/>
  <c r="AA54" i="9"/>
  <c r="AA57" i="9" s="1"/>
  <c r="X52" i="9"/>
  <c r="X54" i="9"/>
  <c r="X57" i="9" s="1"/>
  <c r="AK38" i="11"/>
  <c r="Z36" i="9" s="1"/>
  <c r="Z54" i="9" s="1"/>
  <c r="Z57" i="9" s="1"/>
  <c r="X38" i="9"/>
  <c r="AA38" i="9"/>
  <c r="Y36" i="9"/>
  <c r="AB36" i="9"/>
  <c r="AC36" i="9"/>
  <c r="AA58" i="9" l="1"/>
  <c r="AA62" i="9" s="1"/>
  <c r="X58" i="9"/>
  <c r="X62" i="9" s="1"/>
  <c r="AC52" i="9"/>
  <c r="AC54" i="9"/>
  <c r="AC57" i="9" s="1"/>
  <c r="Y52" i="9"/>
  <c r="Y54" i="9"/>
  <c r="Y57" i="9" s="1"/>
  <c r="AB52" i="9"/>
  <c r="AB54" i="9"/>
  <c r="AB57" i="9" s="1"/>
  <c r="Z52" i="9"/>
  <c r="Z58" i="9" s="1"/>
  <c r="Z38" i="9"/>
  <c r="AC38" i="9"/>
  <c r="AB38" i="9"/>
  <c r="Y38" i="9"/>
  <c r="AB58" i="9" l="1"/>
  <c r="Y58" i="9"/>
  <c r="Y62" i="9" s="1"/>
  <c r="AC58" i="9"/>
  <c r="AC62" i="9" s="1"/>
  <c r="Z62" i="9"/>
  <c r="AB62" i="9" l="1"/>
  <c r="J33" i="37" l="1"/>
  <c r="G33" i="37"/>
  <c r="F33" i="37"/>
  <c r="I33" i="37"/>
  <c r="H33" i="37"/>
  <c r="E33" i="37" l="1"/>
  <c r="D33" i="37" s="1"/>
  <c r="D30" i="37"/>
  <c r="F17" i="38" l="1"/>
  <c r="D17" i="38" l="1"/>
  <c r="F19" i="38"/>
  <c r="H19" i="2"/>
  <c r="F24" i="38" l="1"/>
  <c r="D19" i="38"/>
  <c r="D20" i="38" s="1"/>
  <c r="D21" i="38" l="1"/>
  <c r="F17" i="17" l="1"/>
  <c r="D17" i="17" l="1"/>
  <c r="F19" i="17"/>
  <c r="I19" i="2"/>
  <c r="D19" i="17" l="1"/>
  <c r="D20" i="17" s="1"/>
  <c r="F24" i="17"/>
  <c r="D21" i="17" l="1"/>
  <c r="D17" i="18" l="1"/>
  <c r="F19" i="18"/>
  <c r="J19" i="2"/>
  <c r="F24" i="18" l="1"/>
  <c r="D19" i="18"/>
  <c r="F23" i="19" l="1"/>
  <c r="F17" i="19" l="1"/>
  <c r="D17" i="19" l="1"/>
  <c r="F19" i="19"/>
  <c r="K19" i="2"/>
  <c r="F24" i="19" l="1"/>
  <c r="D19" i="19"/>
  <c r="F23" i="20" l="1"/>
  <c r="F17" i="20" l="1"/>
  <c r="F17" i="44" l="1"/>
  <c r="E22" i="6"/>
  <c r="D17" i="20"/>
  <c r="F19" i="20"/>
  <c r="L19" i="2"/>
  <c r="F19" i="44" l="1"/>
  <c r="F24" i="44" s="1"/>
  <c r="F26" i="44" s="1"/>
  <c r="D17" i="44"/>
  <c r="F24" i="20"/>
  <c r="D19" i="20"/>
  <c r="M17" i="44" l="1"/>
  <c r="L17" i="44"/>
  <c r="D26" i="44"/>
  <c r="L26" i="44" s="1"/>
  <c r="D19" i="44"/>
  <c r="F23" i="21"/>
  <c r="F17" i="21"/>
  <c r="F23" i="45" l="1"/>
  <c r="F17" i="45"/>
  <c r="M19" i="44"/>
  <c r="L19" i="44"/>
  <c r="F22" i="6"/>
  <c r="M19" i="2"/>
  <c r="D17" i="21"/>
  <c r="F19" i="21"/>
  <c r="F19" i="45" l="1"/>
  <c r="D17" i="45"/>
  <c r="M17" i="45" s="1"/>
  <c r="F24" i="21"/>
  <c r="D19" i="21"/>
  <c r="L17" i="45" l="1"/>
  <c r="F24" i="45"/>
  <c r="D19" i="45"/>
  <c r="M19" i="45" s="1"/>
  <c r="F23" i="22"/>
  <c r="F17" i="22"/>
  <c r="F23" i="53" l="1"/>
  <c r="F17" i="53"/>
  <c r="D17" i="53" s="1"/>
  <c r="L19" i="45"/>
  <c r="G22" i="6"/>
  <c r="D17" i="22"/>
  <c r="F19" i="22"/>
  <c r="N19" i="2"/>
  <c r="M17" i="53" l="1"/>
  <c r="F19" i="53"/>
  <c r="D19" i="53" s="1"/>
  <c r="D19" i="22"/>
  <c r="F24" i="22"/>
  <c r="M19" i="53" l="1"/>
  <c r="F24" i="53"/>
  <c r="F23" i="23"/>
  <c r="H22" i="6" l="1"/>
  <c r="O19" i="2"/>
  <c r="F23" i="24" l="1"/>
  <c r="F17" i="24" l="1"/>
  <c r="I22" i="6" l="1"/>
  <c r="P19" i="2"/>
  <c r="D17" i="24"/>
  <c r="F19" i="24"/>
  <c r="F24" i="24" l="1"/>
  <c r="D19" i="24"/>
  <c r="Q19" i="2" l="1"/>
  <c r="F17" i="25" l="1"/>
  <c r="R19" i="2"/>
  <c r="F17" i="26" l="1"/>
  <c r="F23" i="25"/>
  <c r="F19" i="25"/>
  <c r="D17" i="25"/>
  <c r="S19" i="2"/>
  <c r="F23" i="26" l="1"/>
  <c r="F17" i="27"/>
  <c r="D17" i="27" s="1"/>
  <c r="F24" i="25"/>
  <c r="D19" i="25"/>
  <c r="F19" i="26"/>
  <c r="D17" i="26"/>
  <c r="F17" i="29"/>
  <c r="T19" i="2"/>
  <c r="F23" i="27" l="1"/>
  <c r="F17" i="28"/>
  <c r="D17" i="28" s="1"/>
  <c r="F19" i="27"/>
  <c r="D19" i="27" s="1"/>
  <c r="D19" i="26"/>
  <c r="F24" i="26"/>
  <c r="U19" i="2"/>
  <c r="F23" i="29"/>
  <c r="F17" i="34"/>
  <c r="D17" i="29"/>
  <c r="F19" i="29"/>
  <c r="F19" i="28" l="1"/>
  <c r="D19" i="28" s="1"/>
  <c r="F24" i="27"/>
  <c r="F23" i="28"/>
  <c r="V19" i="2"/>
  <c r="F23" i="34"/>
  <c r="F19" i="34"/>
  <c r="D17" i="34"/>
  <c r="F24" i="29"/>
  <c r="D19" i="29"/>
  <c r="F24" i="28" l="1"/>
  <c r="W19" i="2"/>
  <c r="D19" i="34"/>
  <c r="F24" i="34"/>
  <c r="X19" i="2" l="1"/>
  <c r="Y19" i="2" l="1"/>
  <c r="Z19" i="2" l="1"/>
  <c r="AA19" i="2" l="1"/>
  <c r="AB19" i="2" l="1"/>
  <c r="AC19" i="2" l="1"/>
  <c r="AD19" i="2" l="1"/>
  <c r="AE19" i="2" l="1"/>
  <c r="F17" i="23" l="1"/>
  <c r="AF19" i="2"/>
  <c r="D17" i="23" l="1"/>
  <c r="F19" i="23"/>
  <c r="F26" i="37"/>
  <c r="D26" i="37" s="1"/>
  <c r="D28" i="37" s="1"/>
  <c r="D19" i="23" l="1"/>
  <c r="F24" i="23"/>
  <c r="F26" i="38"/>
  <c r="D26" i="38" s="1"/>
  <c r="D27" i="38" s="1"/>
  <c r="D28" i="38" l="1"/>
  <c r="J21" i="2" l="1"/>
  <c r="J26" i="2" s="1"/>
  <c r="F5" i="6" l="1"/>
  <c r="G5" i="6"/>
  <c r="O35" i="3" l="1"/>
  <c r="U5" i="5"/>
  <c r="B4" i="5" s="1"/>
  <c r="B9" i="5" s="1"/>
  <c r="H5" i="6"/>
  <c r="I5" i="6"/>
  <c r="M11" i="7" l="1"/>
  <c r="F8" i="3"/>
  <c r="O53" i="3"/>
  <c r="O54" i="3" s="1"/>
  <c r="S35" i="3"/>
  <c r="X5" i="5"/>
  <c r="M27" i="7"/>
  <c r="W5" i="5"/>
  <c r="R35" i="3"/>
  <c r="M19" i="7"/>
  <c r="V5" i="5"/>
  <c r="E4" i="5" s="1"/>
  <c r="P35" i="3"/>
  <c r="N19" i="7" l="1"/>
  <c r="M19" i="43"/>
  <c r="N27" i="7"/>
  <c r="M27" i="43"/>
  <c r="N11" i="7"/>
  <c r="M11" i="43"/>
  <c r="F12" i="3"/>
  <c r="F20" i="3" s="1"/>
  <c r="G8" i="3" s="1"/>
  <c r="G12" i="3" s="1"/>
  <c r="P53" i="3"/>
  <c r="P54" i="3" s="1"/>
  <c r="I8" i="3"/>
  <c r="I12" i="3" s="1"/>
  <c r="I20" i="3" s="1"/>
  <c r="R53" i="3"/>
  <c r="L8" i="3"/>
  <c r="L12" i="3" s="1"/>
  <c r="L20" i="3" s="1"/>
  <c r="O8" i="3"/>
  <c r="S53" i="3"/>
  <c r="H4" i="5"/>
  <c r="E9" i="5"/>
  <c r="K4" i="5"/>
  <c r="N27" i="43" l="1"/>
  <c r="N11" i="43"/>
  <c r="N19" i="43"/>
  <c r="U35" i="3"/>
  <c r="U53" i="3" s="1"/>
  <c r="U54" i="3" s="1"/>
  <c r="Y5" i="5"/>
  <c r="N4" i="5" s="1"/>
  <c r="N9" i="5" s="1"/>
  <c r="G10" i="3"/>
  <c r="G14" i="3"/>
  <c r="G16" i="3" s="1"/>
  <c r="G18" i="3"/>
  <c r="G11" i="3"/>
  <c r="G15" i="3"/>
  <c r="G9" i="3"/>
  <c r="S54" i="3"/>
  <c r="R54" i="3"/>
  <c r="J8" i="3"/>
  <c r="J12" i="3" s="1"/>
  <c r="J9" i="3"/>
  <c r="J18" i="3"/>
  <c r="J11" i="3"/>
  <c r="J10" i="3"/>
  <c r="J14" i="3"/>
  <c r="J15" i="3"/>
  <c r="K9" i="5"/>
  <c r="O12" i="3"/>
  <c r="O20" i="3" s="1"/>
  <c r="P8" i="3" s="1"/>
  <c r="P12" i="3" s="1"/>
  <c r="M8" i="3"/>
  <c r="M12" i="3" s="1"/>
  <c r="M15" i="3"/>
  <c r="M18" i="3"/>
  <c r="M14" i="3"/>
  <c r="M16" i="3" s="1"/>
  <c r="M9" i="3"/>
  <c r="M11" i="3"/>
  <c r="M10" i="3"/>
  <c r="H9" i="5"/>
  <c r="R8" i="3" l="1"/>
  <c r="R12" i="3" s="1"/>
  <c r="R20" i="3" s="1"/>
  <c r="S8" i="3" s="1"/>
  <c r="S12" i="3" s="1"/>
  <c r="J16" i="3"/>
  <c r="P10" i="3"/>
  <c r="P11" i="3"/>
  <c r="P18" i="3"/>
  <c r="P9" i="3"/>
  <c r="P15" i="3"/>
  <c r="P14" i="3"/>
  <c r="P16" i="3" s="1"/>
  <c r="S10" i="3" l="1"/>
  <c r="S15" i="3"/>
  <c r="S14" i="3"/>
  <c r="S16" i="3" s="1"/>
  <c r="S18" i="3"/>
  <c r="S9" i="3"/>
  <c r="S11" i="3"/>
  <c r="V35" i="3"/>
  <c r="U8" i="3" s="1"/>
  <c r="U12" i="3" s="1"/>
  <c r="U20" i="3" s="1"/>
  <c r="V8" i="3" s="1"/>
  <c r="V12" i="3" s="1"/>
  <c r="V53" i="3" l="1"/>
  <c r="V54" i="3" s="1"/>
  <c r="V18" i="3"/>
  <c r="V15" i="3"/>
  <c r="V11" i="3"/>
  <c r="V14" i="3"/>
  <c r="V16" i="3" s="1"/>
  <c r="V10" i="3"/>
  <c r="V9" i="3"/>
  <c r="F26" i="17" l="1"/>
  <c r="D26" i="17" s="1"/>
  <c r="D27" i="17" s="1"/>
  <c r="D28" i="17" l="1"/>
  <c r="F32" i="38" l="1"/>
  <c r="F33" i="38" s="1"/>
  <c r="H32" i="38"/>
  <c r="H33" i="38" s="1"/>
  <c r="K32" i="38"/>
  <c r="I32" i="38"/>
  <c r="I33" i="38" s="1"/>
  <c r="E32" i="38"/>
  <c r="E33" i="38" s="1"/>
  <c r="G32" i="38"/>
  <c r="G33" i="38" s="1"/>
  <c r="J32" i="38"/>
  <c r="J33" i="38" s="1"/>
  <c r="F26" i="29" l="1"/>
  <c r="D26" i="29" s="1"/>
  <c r="F26" i="34" l="1"/>
  <c r="D26" i="34" s="1"/>
  <c r="D14" i="34" l="1"/>
  <c r="E15" i="34" s="1"/>
  <c r="D14" i="29"/>
  <c r="E15" i="29" s="1"/>
  <c r="E67" i="34" l="1"/>
  <c r="D15" i="34"/>
  <c r="D15" i="29"/>
  <c r="E67" i="29"/>
  <c r="I15" i="34"/>
  <c r="I67" i="34" s="1"/>
  <c r="I71" i="34" s="1"/>
  <c r="I72" i="34" s="1"/>
  <c r="I15" i="29"/>
  <c r="I67" i="29" s="1"/>
  <c r="I71" i="29" s="1"/>
  <c r="I72" i="29" s="1"/>
  <c r="D67" i="29" l="1"/>
  <c r="D71" i="29" s="1"/>
  <c r="E71" i="29"/>
  <c r="E72" i="29" s="1"/>
  <c r="D72" i="29" s="1"/>
  <c r="H15" i="34"/>
  <c r="H67" i="34" s="1"/>
  <c r="H71" i="34" s="1"/>
  <c r="H72" i="34" s="1"/>
  <c r="H15" i="29"/>
  <c r="H67" i="29" s="1"/>
  <c r="H71" i="29" s="1"/>
  <c r="H72" i="29" s="1"/>
  <c r="E71" i="34"/>
  <c r="E72" i="34" s="1"/>
  <c r="D72" i="34" s="1"/>
  <c r="D67" i="34"/>
  <c r="D71" i="34" s="1"/>
  <c r="J15" i="29" l="1"/>
  <c r="J67" i="29" s="1"/>
  <c r="J71" i="29" s="1"/>
  <c r="J72" i="29" s="1"/>
  <c r="J15" i="34"/>
  <c r="J67" i="34" s="1"/>
  <c r="J71" i="34" s="1"/>
  <c r="J72" i="34" s="1"/>
  <c r="G15" i="29"/>
  <c r="G67" i="29" s="1"/>
  <c r="G71" i="29" s="1"/>
  <c r="G72" i="29" s="1"/>
  <c r="G15" i="34"/>
  <c r="G67" i="34" s="1"/>
  <c r="G71" i="34" s="1"/>
  <c r="G72" i="34" s="1"/>
  <c r="F15" i="29" l="1"/>
  <c r="F67" i="29" s="1"/>
  <c r="F71" i="29" s="1"/>
  <c r="F72" i="29" s="1"/>
  <c r="F15" i="34"/>
  <c r="F67" i="34" s="1"/>
  <c r="F71" i="34" s="1"/>
  <c r="F72" i="34" s="1"/>
  <c r="H32" i="17" l="1"/>
  <c r="H33" i="17" s="1"/>
  <c r="G32" i="17"/>
  <c r="G33" i="17" s="1"/>
  <c r="F32" i="17"/>
  <c r="F33" i="17" s="1"/>
  <c r="J32" i="17"/>
  <c r="J33" i="17" s="1"/>
  <c r="I32" i="17"/>
  <c r="I33" i="17" s="1"/>
  <c r="K32" i="17"/>
  <c r="E32" i="17"/>
  <c r="E33" i="17" s="1"/>
  <c r="D30" i="38" l="1"/>
  <c r="K33" i="38"/>
  <c r="D33" i="38" s="1"/>
  <c r="D30" i="17" l="1"/>
  <c r="K33" i="17"/>
  <c r="D33" i="17" s="1"/>
  <c r="D30" i="29" l="1"/>
  <c r="D30" i="34" l="1"/>
  <c r="K15" i="29" l="1"/>
  <c r="K67" i="29" s="1"/>
  <c r="K71" i="29" s="1"/>
  <c r="K72" i="29" s="1"/>
  <c r="K15" i="34"/>
  <c r="K67" i="34" s="1"/>
  <c r="K71" i="34" s="1"/>
  <c r="K72" i="34" s="1"/>
  <c r="D14" i="37" l="1"/>
  <c r="E15" i="37" s="1"/>
  <c r="E20" i="37" l="1"/>
  <c r="E21" i="37" s="1"/>
  <c r="E27" i="37"/>
  <c r="E28" i="37" s="1"/>
  <c r="J15" i="37"/>
  <c r="I15" i="37"/>
  <c r="G15" i="37"/>
  <c r="H15" i="37"/>
  <c r="K15" i="37"/>
  <c r="F15" i="37"/>
  <c r="H20" i="37" l="1"/>
  <c r="H21" i="37" s="1"/>
  <c r="H27" i="37"/>
  <c r="H28" i="37" s="1"/>
  <c r="D15" i="37"/>
  <c r="K27" i="37"/>
  <c r="K28" i="37" s="1"/>
  <c r="K20" i="37"/>
  <c r="K21" i="37" s="1"/>
  <c r="G27" i="37"/>
  <c r="G28" i="37" s="1"/>
  <c r="G20" i="37"/>
  <c r="G21" i="37" s="1"/>
  <c r="J20" i="37"/>
  <c r="J21" i="37" s="1"/>
  <c r="J27" i="37"/>
  <c r="J28" i="37" s="1"/>
  <c r="F27" i="37"/>
  <c r="F28" i="37" s="1"/>
  <c r="F20" i="37"/>
  <c r="F21" i="37" s="1"/>
  <c r="I20" i="37"/>
  <c r="I21" i="37" s="1"/>
  <c r="I27" i="37"/>
  <c r="I28" i="37" s="1"/>
  <c r="D14" i="38" l="1"/>
  <c r="G15" i="38" l="1"/>
  <c r="F15" i="38"/>
  <c r="E15" i="38"/>
  <c r="K15" i="38"/>
  <c r="H15" i="38"/>
  <c r="I15" i="38"/>
  <c r="J15" i="38"/>
  <c r="J20" i="38" l="1"/>
  <c r="J21" i="38" s="1"/>
  <c r="J27" i="38"/>
  <c r="J28" i="38" s="1"/>
  <c r="J67" i="38"/>
  <c r="J71" i="38" s="1"/>
  <c r="J72" i="38" s="1"/>
  <c r="D15" i="38"/>
  <c r="E67" i="38"/>
  <c r="E27" i="38"/>
  <c r="E28" i="38" s="1"/>
  <c r="E20" i="38"/>
  <c r="E21" i="38" s="1"/>
  <c r="I67" i="38"/>
  <c r="I71" i="38" s="1"/>
  <c r="I72" i="38" s="1"/>
  <c r="I27" i="38"/>
  <c r="I28" i="38" s="1"/>
  <c r="I20" i="38"/>
  <c r="I21" i="38" s="1"/>
  <c r="F67" i="38"/>
  <c r="F71" i="38" s="1"/>
  <c r="F72" i="38" s="1"/>
  <c r="F27" i="38"/>
  <c r="F28" i="38" s="1"/>
  <c r="F20" i="38"/>
  <c r="F21" i="38" s="1"/>
  <c r="K20" i="38"/>
  <c r="K21" i="38" s="1"/>
  <c r="K27" i="38"/>
  <c r="K28" i="38" s="1"/>
  <c r="K67" i="38"/>
  <c r="K71" i="38" s="1"/>
  <c r="K72" i="38" s="1"/>
  <c r="H20" i="38"/>
  <c r="H21" i="38" s="1"/>
  <c r="H27" i="38"/>
  <c r="H28" i="38" s="1"/>
  <c r="H67" i="38"/>
  <c r="H71" i="38" s="1"/>
  <c r="H72" i="38" s="1"/>
  <c r="G27" i="38"/>
  <c r="G28" i="38" s="1"/>
  <c r="G67" i="38"/>
  <c r="G71" i="38" s="1"/>
  <c r="G72" i="38" s="1"/>
  <c r="G20" i="38"/>
  <c r="G21" i="38" s="1"/>
  <c r="E71" i="38" l="1"/>
  <c r="E72" i="38" s="1"/>
  <c r="D72" i="38" s="1"/>
  <c r="D67" i="38"/>
  <c r="D71" i="38" s="1"/>
  <c r="D14" i="17" l="1"/>
  <c r="J15" i="17" s="1"/>
  <c r="G15" i="17" l="1"/>
  <c r="G67" i="17" s="1"/>
  <c r="G71" i="17" s="1"/>
  <c r="G72" i="17" s="1"/>
  <c r="K15" i="17"/>
  <c r="K27" i="17" s="1"/>
  <c r="K28" i="17" s="1"/>
  <c r="F15" i="17"/>
  <c r="F67" i="17" s="1"/>
  <c r="F71" i="17" s="1"/>
  <c r="F72" i="17" s="1"/>
  <c r="E15" i="17"/>
  <c r="E20" i="17" s="1"/>
  <c r="E21" i="17" s="1"/>
  <c r="J20" i="17"/>
  <c r="J21" i="17" s="1"/>
  <c r="J67" i="17"/>
  <c r="J71" i="17" s="1"/>
  <c r="J72" i="17" s="1"/>
  <c r="J27" i="17"/>
  <c r="J28" i="17" s="1"/>
  <c r="I15" i="17"/>
  <c r="H15" i="17"/>
  <c r="K67" i="17" l="1"/>
  <c r="K71" i="17" s="1"/>
  <c r="K72" i="17" s="1"/>
  <c r="K20" i="17"/>
  <c r="K21" i="17" s="1"/>
  <c r="G27" i="17"/>
  <c r="G28" i="17" s="1"/>
  <c r="G20" i="17"/>
  <c r="G21" i="17" s="1"/>
  <c r="E67" i="17"/>
  <c r="E71" i="17" s="1"/>
  <c r="E72" i="17" s="1"/>
  <c r="D15" i="17"/>
  <c r="E27" i="17"/>
  <c r="E28" i="17" s="1"/>
  <c r="F27" i="17"/>
  <c r="F28" i="17" s="1"/>
  <c r="F20" i="17"/>
  <c r="F21" i="17" s="1"/>
  <c r="I67" i="17"/>
  <c r="I71" i="17" s="1"/>
  <c r="I72" i="17" s="1"/>
  <c r="I20" i="17"/>
  <c r="I21" i="17" s="1"/>
  <c r="I27" i="17"/>
  <c r="I28" i="17" s="1"/>
  <c r="H20" i="17"/>
  <c r="H21" i="17" s="1"/>
  <c r="H67" i="17"/>
  <c r="H71" i="17" s="1"/>
  <c r="H72" i="17" s="1"/>
  <c r="H27" i="17"/>
  <c r="H28" i="17" s="1"/>
  <c r="D72" i="17" l="1"/>
  <c r="D67" i="17"/>
  <c r="D71" i="17" s="1"/>
  <c r="I32" i="29" l="1"/>
  <c r="I33" i="29" s="1"/>
  <c r="F32" i="29"/>
  <c r="F33" i="29" s="1"/>
  <c r="H32" i="29"/>
  <c r="H33" i="29" s="1"/>
  <c r="J32" i="29"/>
  <c r="J33" i="29" s="1"/>
  <c r="K32" i="29"/>
  <c r="K33" i="29" s="1"/>
  <c r="E32" i="29"/>
  <c r="E33" i="29" s="1"/>
  <c r="G32" i="29"/>
  <c r="G33" i="29" s="1"/>
  <c r="D33" i="29" l="1"/>
  <c r="G32" i="34" l="1"/>
  <c r="G33" i="34" s="1"/>
  <c r="F32" i="34"/>
  <c r="F33" i="34" s="1"/>
  <c r="I32" i="34"/>
  <c r="I33" i="34" s="1"/>
  <c r="J32" i="34"/>
  <c r="J33" i="34" s="1"/>
  <c r="K32" i="34"/>
  <c r="K33" i="34" s="1"/>
  <c r="E32" i="34"/>
  <c r="E33" i="34" s="1"/>
  <c r="H32" i="34"/>
  <c r="H33" i="34" s="1"/>
  <c r="D33" i="34" l="1"/>
  <c r="F26" i="19" l="1"/>
  <c r="D26" i="19" s="1"/>
  <c r="F26" i="20"/>
  <c r="D26" i="20" s="1"/>
  <c r="F26" i="18"/>
  <c r="D26" i="18" s="1"/>
  <c r="M26" i="44" l="1"/>
  <c r="F26" i="27"/>
  <c r="D26" i="27" s="1"/>
  <c r="F26" i="24"/>
  <c r="D26" i="24" s="1"/>
  <c r="F26" i="25"/>
  <c r="D26" i="25" s="1"/>
  <c r="F26" i="28"/>
  <c r="D26" i="28" s="1"/>
  <c r="F26" i="26"/>
  <c r="D26" i="26" s="1"/>
  <c r="F26" i="21"/>
  <c r="F26" i="22"/>
  <c r="F26" i="23"/>
  <c r="D26" i="23" s="1"/>
  <c r="D26" i="22" l="1"/>
  <c r="F26" i="53"/>
  <c r="D26" i="53" s="1"/>
  <c r="M26" i="53" s="1"/>
  <c r="D26" i="21"/>
  <c r="F26" i="45"/>
  <c r="D26" i="45" s="1"/>
  <c r="M26" i="45" l="1"/>
  <c r="C30" i="42"/>
  <c r="G32" i="18" l="1"/>
  <c r="K32" i="18"/>
  <c r="F32" i="18"/>
  <c r="J32" i="18"/>
  <c r="I32" i="18"/>
  <c r="H32" i="18"/>
  <c r="E32" i="18"/>
  <c r="K32" i="19" l="1"/>
  <c r="E32" i="19"/>
  <c r="G32" i="19"/>
  <c r="J32" i="19"/>
  <c r="H32" i="19"/>
  <c r="F32" i="19"/>
  <c r="I32" i="19"/>
  <c r="F32" i="21" l="1"/>
  <c r="K32" i="21"/>
  <c r="G32" i="21"/>
  <c r="E32" i="21"/>
  <c r="J32" i="21"/>
  <c r="H32" i="21"/>
  <c r="I32" i="21"/>
  <c r="J32" i="20"/>
  <c r="G32" i="20"/>
  <c r="F32" i="20"/>
  <c r="K32" i="20"/>
  <c r="E32" i="20"/>
  <c r="H32" i="20"/>
  <c r="I32" i="20"/>
  <c r="J32" i="44" l="1"/>
  <c r="J33" i="44" s="1"/>
  <c r="K32" i="44"/>
  <c r="K33" i="44" s="1"/>
  <c r="G32" i="45"/>
  <c r="G33" i="45" s="1"/>
  <c r="E32" i="45"/>
  <c r="E33" i="45" s="1"/>
  <c r="E32" i="44"/>
  <c r="E33" i="44" s="1"/>
  <c r="H32" i="45"/>
  <c r="H33" i="45" s="1"/>
  <c r="K32" i="45"/>
  <c r="K33" i="45" s="1"/>
  <c r="H32" i="44"/>
  <c r="H33" i="44" s="1"/>
  <c r="G32" i="44"/>
  <c r="G33" i="44" s="1"/>
  <c r="J32" i="45"/>
  <c r="J33" i="45" s="1"/>
  <c r="F32" i="45"/>
  <c r="F33" i="45" s="1"/>
  <c r="F32" i="44"/>
  <c r="F32" i="22"/>
  <c r="E32" i="22"/>
  <c r="G32" i="22"/>
  <c r="H32" i="22"/>
  <c r="J32" i="22"/>
  <c r="K32" i="22"/>
  <c r="I32" i="22"/>
  <c r="K32" i="53" l="1"/>
  <c r="K33" i="53" s="1"/>
  <c r="E32" i="53"/>
  <c r="E33" i="53" s="1"/>
  <c r="J32" i="53"/>
  <c r="J33" i="53" s="1"/>
  <c r="F32" i="53"/>
  <c r="F33" i="53" s="1"/>
  <c r="H32" i="53"/>
  <c r="H33" i="53" s="1"/>
  <c r="G32" i="53"/>
  <c r="G33" i="53" s="1"/>
  <c r="L32" i="44"/>
  <c r="F33" i="44"/>
  <c r="E32" i="23"/>
  <c r="H32" i="23"/>
  <c r="I32" i="23"/>
  <c r="F32" i="23"/>
  <c r="K32" i="23"/>
  <c r="G32" i="23"/>
  <c r="J32" i="23"/>
  <c r="D33" i="44" l="1"/>
  <c r="L33" i="44" s="1"/>
  <c r="E32" i="24"/>
  <c r="J32" i="24"/>
  <c r="I32" i="24"/>
  <c r="F32" i="24"/>
  <c r="K32" i="24"/>
  <c r="G32" i="24"/>
  <c r="H32" i="24"/>
  <c r="J32" i="25" l="1"/>
  <c r="F32" i="25"/>
  <c r="G32" i="25"/>
  <c r="H32" i="25"/>
  <c r="K32" i="25"/>
  <c r="I32" i="25"/>
  <c r="E32" i="25"/>
  <c r="H32" i="26" l="1"/>
  <c r="G32" i="26"/>
  <c r="F32" i="26"/>
  <c r="E32" i="26"/>
  <c r="K32" i="26"/>
  <c r="J32" i="26"/>
  <c r="I32" i="26"/>
  <c r="K32" i="27" l="1"/>
  <c r="I32" i="27"/>
  <c r="G32" i="27"/>
  <c r="F32" i="27"/>
  <c r="J32" i="27"/>
  <c r="E32" i="27"/>
  <c r="H32" i="27"/>
  <c r="G32" i="28" l="1"/>
  <c r="H32" i="28"/>
  <c r="E32" i="28"/>
  <c r="F32" i="28"/>
  <c r="J32" i="28"/>
  <c r="K32" i="28"/>
  <c r="I32" i="28"/>
  <c r="H33" i="18" l="1"/>
  <c r="G33" i="18"/>
  <c r="F33" i="18"/>
  <c r="I33" i="18"/>
  <c r="J33" i="18"/>
  <c r="F33" i="19"/>
  <c r="E33" i="18" l="1"/>
  <c r="J33" i="19"/>
  <c r="G33" i="19" l="1"/>
  <c r="I33" i="19" l="1"/>
  <c r="G33" i="20"/>
  <c r="H33" i="19"/>
  <c r="H13" i="7"/>
  <c r="H13" i="43" l="1"/>
  <c r="E33" i="19"/>
  <c r="F33" i="20"/>
  <c r="G13" i="7"/>
  <c r="I33" i="20" l="1"/>
  <c r="J33" i="20"/>
  <c r="J13" i="7"/>
  <c r="K13" i="7"/>
  <c r="K13" i="43" l="1"/>
  <c r="G13" i="43"/>
  <c r="H33" i="20"/>
  <c r="G33" i="21"/>
  <c r="K33" i="18"/>
  <c r="D33" i="18" s="1"/>
  <c r="D30" i="18"/>
  <c r="J33" i="21"/>
  <c r="I13" i="7"/>
  <c r="K21" i="7"/>
  <c r="H21" i="7"/>
  <c r="H21" i="43" l="1"/>
  <c r="K21" i="43"/>
  <c r="I13" i="43"/>
  <c r="E12" i="6"/>
  <c r="E45" i="6"/>
  <c r="F33" i="21"/>
  <c r="E33" i="20"/>
  <c r="G21" i="7"/>
  <c r="F13" i="7"/>
  <c r="F13" i="43" l="1"/>
  <c r="E71" i="6"/>
  <c r="E41" i="6" s="1"/>
  <c r="I33" i="21"/>
  <c r="J21" i="7"/>
  <c r="G21" i="43" l="1"/>
  <c r="E33" i="21"/>
  <c r="E52" i="6"/>
  <c r="E67" i="6" s="1"/>
  <c r="E69" i="6" s="1"/>
  <c r="E40" i="6"/>
  <c r="E30" i="6" s="1"/>
  <c r="H33" i="21"/>
  <c r="G33" i="22"/>
  <c r="K33" i="19"/>
  <c r="D33" i="19" s="1"/>
  <c r="D30" i="19"/>
  <c r="J33" i="22"/>
  <c r="I21" i="7"/>
  <c r="K29" i="7"/>
  <c r="H29" i="7"/>
  <c r="F21" i="7"/>
  <c r="H29" i="43" l="1"/>
  <c r="K29" i="43"/>
  <c r="I21" i="43"/>
  <c r="F21" i="43"/>
  <c r="E32" i="6"/>
  <c r="E25" i="6"/>
  <c r="E26" i="6" s="1"/>
  <c r="F45" i="6"/>
  <c r="F12" i="6"/>
  <c r="U12" i="5"/>
  <c r="O42" i="3"/>
  <c r="AE34" i="3" s="1"/>
  <c r="F33" i="22"/>
  <c r="I33" i="22"/>
  <c r="J29" i="7"/>
  <c r="G29" i="7"/>
  <c r="G29" i="43" l="1"/>
  <c r="H33" i="22"/>
  <c r="K33" i="20"/>
  <c r="D30" i="20"/>
  <c r="D20" i="18"/>
  <c r="E28" i="6"/>
  <c r="E34" i="6" s="1"/>
  <c r="E33" i="22"/>
  <c r="U13" i="5"/>
  <c r="O43" i="3"/>
  <c r="D27" i="18"/>
  <c r="F71" i="6"/>
  <c r="F41" i="6" s="1"/>
  <c r="E20" i="13"/>
  <c r="F29" i="7"/>
  <c r="L13" i="7"/>
  <c r="I29" i="7"/>
  <c r="M30" i="44" l="1"/>
  <c r="F29" i="43"/>
  <c r="I29" i="43"/>
  <c r="L13" i="43"/>
  <c r="E13" i="43" s="1"/>
  <c r="E13" i="7"/>
  <c r="D20" i="13"/>
  <c r="D28" i="18"/>
  <c r="D33" i="20"/>
  <c r="D21" i="18"/>
  <c r="F52" i="6"/>
  <c r="F67" i="6" s="1"/>
  <c r="F69" i="6" s="1"/>
  <c r="F40" i="6"/>
  <c r="F30" i="6" s="1"/>
  <c r="G33" i="23"/>
  <c r="F33" i="23"/>
  <c r="M33" i="44" l="1"/>
  <c r="F25" i="6"/>
  <c r="F26" i="6" s="1"/>
  <c r="H33" i="23"/>
  <c r="K33" i="21"/>
  <c r="D30" i="21"/>
  <c r="J33" i="23"/>
  <c r="M13" i="7"/>
  <c r="G45" i="6"/>
  <c r="G12" i="6"/>
  <c r="I33" i="23"/>
  <c r="F32" i="6"/>
  <c r="O49" i="3"/>
  <c r="AE36" i="3" s="1"/>
  <c r="V12" i="5"/>
  <c r="E31" i="13"/>
  <c r="L21" i="7"/>
  <c r="D30" i="45" l="1"/>
  <c r="M30" i="45" s="1"/>
  <c r="N13" i="7"/>
  <c r="M13" i="43"/>
  <c r="L21" i="43"/>
  <c r="E21" i="43" s="1"/>
  <c r="D31" i="13"/>
  <c r="E21" i="7"/>
  <c r="E33" i="23"/>
  <c r="D27" i="19"/>
  <c r="U17" i="5"/>
  <c r="P42" i="3"/>
  <c r="AF34" i="3" s="1"/>
  <c r="D33" i="21"/>
  <c r="G33" i="24"/>
  <c r="G71" i="6"/>
  <c r="G41" i="6" s="1"/>
  <c r="D20" i="19"/>
  <c r="O45" i="3"/>
  <c r="U15" i="5"/>
  <c r="F28" i="6"/>
  <c r="F34" i="6" s="1"/>
  <c r="U19" i="5" s="1"/>
  <c r="M21" i="7"/>
  <c r="H12" i="6"/>
  <c r="V13" i="5" s="1"/>
  <c r="H45" i="6"/>
  <c r="L30" i="45" l="1"/>
  <c r="M21" i="43"/>
  <c r="N13" i="43"/>
  <c r="P43" i="3"/>
  <c r="O60" i="3"/>
  <c r="O61" i="3" s="1"/>
  <c r="AE35" i="3"/>
  <c r="AE37" i="3" s="1"/>
  <c r="O47" i="3"/>
  <c r="F33" i="24"/>
  <c r="K33" i="22"/>
  <c r="D30" i="22"/>
  <c r="G52" i="6"/>
  <c r="G67" i="6" s="1"/>
  <c r="G69" i="6" s="1"/>
  <c r="B4" i="12" s="1"/>
  <c r="B7" i="12" s="1"/>
  <c r="B9" i="12" s="1"/>
  <c r="G40" i="6"/>
  <c r="G30" i="6" s="1"/>
  <c r="D21" i="19"/>
  <c r="D28" i="19"/>
  <c r="N21" i="7"/>
  <c r="H33" i="24"/>
  <c r="J33" i="24"/>
  <c r="I33" i="24"/>
  <c r="H71" i="6"/>
  <c r="H41" i="6" s="1"/>
  <c r="U21" i="5"/>
  <c r="B14" i="5" s="1"/>
  <c r="E42" i="13"/>
  <c r="L29" i="7"/>
  <c r="D30" i="53" l="1"/>
  <c r="M30" i="53" s="1"/>
  <c r="L29" i="43"/>
  <c r="E29" i="43" s="1"/>
  <c r="D42" i="13"/>
  <c r="E29" i="7"/>
  <c r="B16" i="5"/>
  <c r="G32" i="6"/>
  <c r="D33" i="22"/>
  <c r="H52" i="6"/>
  <c r="H67" i="6" s="1"/>
  <c r="H69" i="6" s="1"/>
  <c r="C4" i="12" s="1"/>
  <c r="H40" i="6"/>
  <c r="H30" i="6" s="1"/>
  <c r="H32" i="6" s="1"/>
  <c r="E33" i="24"/>
  <c r="C6" i="12"/>
  <c r="B11" i="12" l="1"/>
  <c r="B22" i="12" s="1"/>
  <c r="G25" i="6" s="1"/>
  <c r="G26" i="6" s="1"/>
  <c r="G28" i="6" s="1"/>
  <c r="G34" i="6" s="1"/>
  <c r="L30" i="53"/>
  <c r="I28" i="44"/>
  <c r="P49" i="3"/>
  <c r="AF36" i="3" s="1"/>
  <c r="D27" i="21"/>
  <c r="M23" i="7"/>
  <c r="D27" i="20"/>
  <c r="M15" i="7"/>
  <c r="V17" i="5"/>
  <c r="B20" i="5"/>
  <c r="C18" i="5" s="1"/>
  <c r="I33" i="25"/>
  <c r="J33" i="25"/>
  <c r="G33" i="25"/>
  <c r="C7" i="12"/>
  <c r="D6" i="12" s="1"/>
  <c r="M29" i="7"/>
  <c r="I12" i="6"/>
  <c r="I45" i="6"/>
  <c r="K33" i="23"/>
  <c r="D30" i="23"/>
  <c r="D20" i="20" l="1"/>
  <c r="M14" i="7"/>
  <c r="M14" i="43" s="1"/>
  <c r="D27" i="45"/>
  <c r="M27" i="45" s="1"/>
  <c r="M15" i="43"/>
  <c r="M23" i="43"/>
  <c r="I28" i="45"/>
  <c r="D27" i="44"/>
  <c r="D28" i="44" s="1"/>
  <c r="N29" i="7"/>
  <c r="M29" i="43"/>
  <c r="F33" i="25"/>
  <c r="D33" i="23"/>
  <c r="C9" i="12"/>
  <c r="C11" i="12" s="1"/>
  <c r="C22" i="12" s="1"/>
  <c r="H25" i="6" s="1"/>
  <c r="H26" i="6" s="1"/>
  <c r="H33" i="25"/>
  <c r="I71" i="6"/>
  <c r="I41" i="6" s="1"/>
  <c r="E33" i="25"/>
  <c r="D28" i="20"/>
  <c r="M16" i="7"/>
  <c r="C16" i="5"/>
  <c r="D28" i="21"/>
  <c r="D20" i="44" l="1"/>
  <c r="D21" i="20"/>
  <c r="D28" i="45"/>
  <c r="M28" i="45" s="1"/>
  <c r="M16" i="43"/>
  <c r="M27" i="44"/>
  <c r="M28" i="44"/>
  <c r="N29" i="43"/>
  <c r="C14" i="5"/>
  <c r="C8" i="5"/>
  <c r="C11" i="5"/>
  <c r="C12" i="5" s="1"/>
  <c r="C6" i="5"/>
  <c r="C7" i="5"/>
  <c r="C5" i="5"/>
  <c r="C4" i="5"/>
  <c r="I40" i="6"/>
  <c r="I30" i="6" s="1"/>
  <c r="I52" i="6"/>
  <c r="I67" i="6" s="1"/>
  <c r="I69" i="6" s="1"/>
  <c r="D4" i="12" s="1"/>
  <c r="D7" i="12" s="1"/>
  <c r="W12" i="5"/>
  <c r="R42" i="3"/>
  <c r="AG34" i="3" s="1"/>
  <c r="J33" i="26"/>
  <c r="D20" i="21"/>
  <c r="M22" i="7"/>
  <c r="H28" i="6"/>
  <c r="H34" i="6" s="1"/>
  <c r="V15" i="5"/>
  <c r="P45" i="3"/>
  <c r="K33" i="24"/>
  <c r="D30" i="24"/>
  <c r="K33" i="25"/>
  <c r="M20" i="44" l="1"/>
  <c r="D21" i="44"/>
  <c r="D20" i="45"/>
  <c r="M20" i="45" s="1"/>
  <c r="M22" i="43"/>
  <c r="M24" i="43" s="1"/>
  <c r="D30" i="25"/>
  <c r="C9" i="5"/>
  <c r="AF35" i="3"/>
  <c r="AF37" i="3" s="1"/>
  <c r="P47" i="3"/>
  <c r="P60" i="3"/>
  <c r="P61" i="3" s="1"/>
  <c r="D21" i="21"/>
  <c r="W13" i="5"/>
  <c r="R43" i="3"/>
  <c r="H33" i="26"/>
  <c r="D9" i="12"/>
  <c r="D11" i="12" s="1"/>
  <c r="D22" i="12" s="1"/>
  <c r="I25" i="6" s="1"/>
  <c r="I26" i="6" s="1"/>
  <c r="G33" i="26"/>
  <c r="D33" i="24"/>
  <c r="M24" i="7"/>
  <c r="V19" i="5"/>
  <c r="D33" i="25"/>
  <c r="I32" i="6"/>
  <c r="I33" i="26"/>
  <c r="V21" i="5"/>
  <c r="E14" i="5" s="1"/>
  <c r="E16" i="5" s="1"/>
  <c r="E33" i="26"/>
  <c r="M21" i="44" l="1"/>
  <c r="D21" i="45"/>
  <c r="M21" i="45" s="1"/>
  <c r="I21" i="45"/>
  <c r="J33" i="27"/>
  <c r="E20" i="5"/>
  <c r="F18" i="5" s="1"/>
  <c r="D27" i="22"/>
  <c r="M31" i="7"/>
  <c r="D20" i="22"/>
  <c r="M30" i="7"/>
  <c r="I28" i="6"/>
  <c r="I34" i="6" s="1"/>
  <c r="S42" i="3"/>
  <c r="AH34" i="3" s="1"/>
  <c r="K33" i="26"/>
  <c r="D20" i="53" l="1"/>
  <c r="M20" i="53" s="1"/>
  <c r="D27" i="53"/>
  <c r="M27" i="53" s="1"/>
  <c r="M31" i="43"/>
  <c r="M30" i="43"/>
  <c r="I28" i="53"/>
  <c r="I33" i="45"/>
  <c r="L32" i="45"/>
  <c r="F16" i="5"/>
  <c r="F5" i="5" s="1"/>
  <c r="D28" i="22"/>
  <c r="E33" i="27"/>
  <c r="S43" i="3"/>
  <c r="D21" i="22"/>
  <c r="R49" i="3"/>
  <c r="AG36" i="3" s="1"/>
  <c r="M32" i="7"/>
  <c r="F33" i="26"/>
  <c r="D30" i="26"/>
  <c r="K33" i="27"/>
  <c r="D21" i="53" l="1"/>
  <c r="M21" i="53" s="1"/>
  <c r="D28" i="53"/>
  <c r="M28" i="53" s="1"/>
  <c r="M32" i="43"/>
  <c r="I21" i="53"/>
  <c r="D33" i="45"/>
  <c r="M33" i="45" s="1"/>
  <c r="F7" i="5"/>
  <c r="F4" i="5"/>
  <c r="F8" i="5"/>
  <c r="R45" i="3"/>
  <c r="R60" i="3" s="1"/>
  <c r="R61" i="3" s="1"/>
  <c r="F11" i="5"/>
  <c r="F12" i="5" s="1"/>
  <c r="W15" i="5"/>
  <c r="D20" i="23"/>
  <c r="D21" i="23" s="1"/>
  <c r="F14" i="5"/>
  <c r="F6" i="5"/>
  <c r="D27" i="23"/>
  <c r="W17" i="5"/>
  <c r="G33" i="27"/>
  <c r="J33" i="28"/>
  <c r="I33" i="27"/>
  <c r="D33" i="26"/>
  <c r="H33" i="27"/>
  <c r="L33" i="45" l="1"/>
  <c r="I33" i="53"/>
  <c r="L32" i="53"/>
  <c r="R47" i="3"/>
  <c r="AG35" i="3"/>
  <c r="AG37" i="3" s="1"/>
  <c r="F9" i="5"/>
  <c r="W19" i="5"/>
  <c r="S49" i="3"/>
  <c r="AH36" i="3" s="1"/>
  <c r="D27" i="25"/>
  <c r="D28" i="23"/>
  <c r="X12" i="5"/>
  <c r="E33" i="28"/>
  <c r="W21" i="5"/>
  <c r="H14" i="5" s="1"/>
  <c r="H16" i="5" s="1"/>
  <c r="K33" i="28"/>
  <c r="D33" i="53" l="1"/>
  <c r="M33" i="53" s="1"/>
  <c r="D28" i="25"/>
  <c r="F33" i="27"/>
  <c r="D30" i="27"/>
  <c r="G33" i="28"/>
  <c r="D20" i="24"/>
  <c r="I33" i="28"/>
  <c r="H33" i="28"/>
  <c r="X13" i="5"/>
  <c r="D27" i="24"/>
  <c r="H20" i="5"/>
  <c r="I18" i="5" s="1"/>
  <c r="L33" i="53" l="1"/>
  <c r="S45" i="3"/>
  <c r="S60" i="3" s="1"/>
  <c r="S61" i="3" s="1"/>
  <c r="D33" i="27"/>
  <c r="I16" i="5"/>
  <c r="D21" i="24"/>
  <c r="D20" i="25"/>
  <c r="D28" i="24"/>
  <c r="S47" i="3" l="1"/>
  <c r="AH35" i="3"/>
  <c r="AH37" i="3" s="1"/>
  <c r="I14" i="5"/>
  <c r="I6" i="5"/>
  <c r="I11" i="5"/>
  <c r="I12" i="5" s="1"/>
  <c r="I5" i="5"/>
  <c r="I7" i="5"/>
  <c r="I8" i="5"/>
  <c r="I4" i="5"/>
  <c r="U42" i="3"/>
  <c r="AI34" i="3" s="1"/>
  <c r="F33" i="28"/>
  <c r="D30" i="28"/>
  <c r="D21" i="25"/>
  <c r="I9" i="5" l="1"/>
  <c r="D27" i="26"/>
  <c r="X17" i="5"/>
  <c r="U43" i="3"/>
  <c r="D33" i="28"/>
  <c r="D20" i="26"/>
  <c r="X15" i="5"/>
  <c r="D21" i="26" l="1"/>
  <c r="D28" i="26"/>
  <c r="X19" i="5"/>
  <c r="X21" i="5"/>
  <c r="K14" i="5" s="1"/>
  <c r="K16" i="5" l="1"/>
  <c r="U49" i="3"/>
  <c r="AI36" i="3" s="1"/>
  <c r="D27" i="27" l="1"/>
  <c r="D27" i="29"/>
  <c r="D20" i="27"/>
  <c r="D20" i="29"/>
  <c r="U45" i="3"/>
  <c r="K20" i="5"/>
  <c r="L18" i="5" s="1"/>
  <c r="D28" i="27" l="1"/>
  <c r="U60" i="3"/>
  <c r="U61" i="3" s="1"/>
  <c r="U47" i="3"/>
  <c r="AI35" i="3"/>
  <c r="AI37" i="3" s="1"/>
  <c r="D21" i="29"/>
  <c r="J20" i="29"/>
  <c r="J21" i="29" s="1"/>
  <c r="F20" i="29"/>
  <c r="F21" i="29" s="1"/>
  <c r="H20" i="29"/>
  <c r="H21" i="29" s="1"/>
  <c r="I20" i="29"/>
  <c r="I21" i="29" s="1"/>
  <c r="K20" i="29"/>
  <c r="K21" i="29" s="1"/>
  <c r="E20" i="29"/>
  <c r="E21" i="29" s="1"/>
  <c r="G20" i="29"/>
  <c r="G21" i="29" s="1"/>
  <c r="V42" i="3"/>
  <c r="AJ34" i="3" s="1"/>
  <c r="Y12" i="5"/>
  <c r="L16" i="5"/>
  <c r="D21" i="27"/>
  <c r="I27" i="29"/>
  <c r="I28" i="29" s="1"/>
  <c r="J27" i="29"/>
  <c r="J28" i="29" s="1"/>
  <c r="K27" i="29"/>
  <c r="K28" i="29" s="1"/>
  <c r="G27" i="29"/>
  <c r="G28" i="29" s="1"/>
  <c r="H27" i="29"/>
  <c r="H28" i="29" s="1"/>
  <c r="F27" i="29"/>
  <c r="F28" i="29" s="1"/>
  <c r="E27" i="29"/>
  <c r="E28" i="29" s="1"/>
  <c r="D28" i="29"/>
  <c r="N28" i="42" l="1"/>
  <c r="O28" i="42" s="1"/>
  <c r="P28" i="42" s="1"/>
  <c r="Q28" i="42" s="1"/>
  <c r="R28" i="42" s="1"/>
  <c r="S28" i="42" s="1"/>
  <c r="L14" i="5"/>
  <c r="L4" i="5"/>
  <c r="L7" i="5"/>
  <c r="L6" i="5"/>
  <c r="L5" i="5"/>
  <c r="L8" i="5"/>
  <c r="L11" i="5"/>
  <c r="L12" i="5" s="1"/>
  <c r="Y13" i="5"/>
  <c r="V43" i="3"/>
  <c r="L9" i="5" l="1"/>
  <c r="V49" i="3" l="1"/>
  <c r="AJ36" i="3" s="1"/>
  <c r="D20" i="28" l="1"/>
  <c r="D20" i="34"/>
  <c r="Y15" i="5"/>
  <c r="D27" i="28"/>
  <c r="D27" i="34"/>
  <c r="Y17" i="5"/>
  <c r="Y21" i="5" l="1"/>
  <c r="N14" i="5" s="1"/>
  <c r="Y19" i="5"/>
  <c r="H20" i="34"/>
  <c r="H21" i="34" s="1"/>
  <c r="G20" i="34"/>
  <c r="G21" i="34" s="1"/>
  <c r="I20" i="34"/>
  <c r="I21" i="34" s="1"/>
  <c r="F20" i="34"/>
  <c r="F21" i="34" s="1"/>
  <c r="E20" i="34"/>
  <c r="E21" i="34" s="1"/>
  <c r="J20" i="34"/>
  <c r="J21" i="34" s="1"/>
  <c r="K20" i="34"/>
  <c r="K21" i="34" s="1"/>
  <c r="D21" i="34"/>
  <c r="K27" i="34"/>
  <c r="K28" i="34" s="1"/>
  <c r="D28" i="34"/>
  <c r="G27" i="34"/>
  <c r="G28" i="34" s="1"/>
  <c r="E27" i="34"/>
  <c r="E28" i="34" s="1"/>
  <c r="I27" i="34"/>
  <c r="I28" i="34" s="1"/>
  <c r="H27" i="34"/>
  <c r="H28" i="34" s="1"/>
  <c r="J27" i="34"/>
  <c r="J28" i="34" s="1"/>
  <c r="F27" i="34"/>
  <c r="F28" i="34" s="1"/>
  <c r="D21" i="28"/>
  <c r="D28" i="28"/>
  <c r="V45" i="3" l="1"/>
  <c r="N16" i="5"/>
  <c r="N20" i="5" l="1"/>
  <c r="O18" i="5" s="1"/>
  <c r="AJ35" i="3"/>
  <c r="AJ37" i="3" s="1"/>
  <c r="V60" i="3"/>
  <c r="V61" i="3" s="1"/>
  <c r="V47" i="3"/>
  <c r="O16" i="5" l="1"/>
  <c r="O14" i="5" l="1"/>
  <c r="O11" i="5"/>
  <c r="O12" i="5" s="1"/>
  <c r="O5" i="5"/>
  <c r="O8" i="5"/>
  <c r="O4" i="5"/>
  <c r="O7" i="5"/>
  <c r="O6" i="5"/>
  <c r="O9" i="5" l="1"/>
  <c r="D14" i="42" l="1"/>
  <c r="E15" i="42" l="1"/>
  <c r="E14" i="42" s="1"/>
  <c r="D14" i="19"/>
  <c r="I15" i="19" s="1"/>
  <c r="D14" i="18"/>
  <c r="E15" i="18" s="1"/>
  <c r="H15" i="19" l="1"/>
  <c r="F15" i="42"/>
  <c r="F14" i="42" s="1"/>
  <c r="J15" i="19"/>
  <c r="J20" i="19" s="1"/>
  <c r="J21" i="19" s="1"/>
  <c r="G15" i="19"/>
  <c r="G68" i="19" s="1"/>
  <c r="G72" i="19" s="1"/>
  <c r="G73" i="19" s="1"/>
  <c r="G77" i="19" s="1"/>
  <c r="K15" i="19"/>
  <c r="K20" i="19" s="1"/>
  <c r="K21" i="19" s="1"/>
  <c r="F15" i="19"/>
  <c r="F20" i="19" s="1"/>
  <c r="F21" i="19" s="1"/>
  <c r="H15" i="18"/>
  <c r="H68" i="18" s="1"/>
  <c r="H72" i="18" s="1"/>
  <c r="H73" i="18" s="1"/>
  <c r="H77" i="18" s="1"/>
  <c r="J15" i="18"/>
  <c r="J20" i="18" s="1"/>
  <c r="J21" i="18" s="1"/>
  <c r="E15" i="19"/>
  <c r="E68" i="19" s="1"/>
  <c r="D14" i="20"/>
  <c r="E68" i="18"/>
  <c r="E27" i="18"/>
  <c r="E28" i="18" s="1"/>
  <c r="E20" i="18"/>
  <c r="E21" i="18" s="1"/>
  <c r="I15" i="18"/>
  <c r="K15" i="18"/>
  <c r="G15" i="18"/>
  <c r="H68" i="19"/>
  <c r="H72" i="19" s="1"/>
  <c r="H73" i="19" s="1"/>
  <c r="H77" i="19" s="1"/>
  <c r="H27" i="19"/>
  <c r="H28" i="19" s="1"/>
  <c r="H20" i="19"/>
  <c r="H21" i="19" s="1"/>
  <c r="F15" i="18"/>
  <c r="I68" i="19"/>
  <c r="I72" i="19" s="1"/>
  <c r="I73" i="19" s="1"/>
  <c r="I77" i="19" s="1"/>
  <c r="I27" i="19"/>
  <c r="I28" i="19" s="1"/>
  <c r="I20" i="19"/>
  <c r="I21" i="19" s="1"/>
  <c r="J68" i="19" l="1"/>
  <c r="J72" i="19" s="1"/>
  <c r="J73" i="19" s="1"/>
  <c r="J77" i="19" s="1"/>
  <c r="G27" i="19"/>
  <c r="G28" i="19" s="1"/>
  <c r="J27" i="19"/>
  <c r="J28" i="19" s="1"/>
  <c r="G15" i="42"/>
  <c r="G14" i="42" s="1"/>
  <c r="G20" i="19"/>
  <c r="G21" i="19" s="1"/>
  <c r="I15" i="20"/>
  <c r="I68" i="20" s="1"/>
  <c r="I72" i="20" s="1"/>
  <c r="I73" i="20" s="1"/>
  <c r="D14" i="44"/>
  <c r="J68" i="18"/>
  <c r="J72" i="18" s="1"/>
  <c r="J73" i="18" s="1"/>
  <c r="J77" i="18" s="1"/>
  <c r="K68" i="19"/>
  <c r="K72" i="19" s="1"/>
  <c r="K73" i="19" s="1"/>
  <c r="K77" i="19" s="1"/>
  <c r="K27" i="19"/>
  <c r="K28" i="19" s="1"/>
  <c r="F68" i="19"/>
  <c r="F72" i="19" s="1"/>
  <c r="F73" i="19" s="1"/>
  <c r="F77" i="19" s="1"/>
  <c r="H27" i="18"/>
  <c r="H28" i="18" s="1"/>
  <c r="H20" i="18"/>
  <c r="H21" i="18" s="1"/>
  <c r="J15" i="20"/>
  <c r="J27" i="18"/>
  <c r="J28" i="18" s="1"/>
  <c r="E20" i="19"/>
  <c r="E21" i="19" s="1"/>
  <c r="D15" i="19"/>
  <c r="E27" i="19"/>
  <c r="E28" i="19" s="1"/>
  <c r="F27" i="19"/>
  <c r="F28" i="19" s="1"/>
  <c r="E15" i="20"/>
  <c r="K15" i="20"/>
  <c r="H15" i="20"/>
  <c r="F68" i="18"/>
  <c r="F72" i="18" s="1"/>
  <c r="F73" i="18" s="1"/>
  <c r="F77" i="18" s="1"/>
  <c r="F27" i="18"/>
  <c r="F28" i="18" s="1"/>
  <c r="F20" i="18"/>
  <c r="F21" i="18" s="1"/>
  <c r="G68" i="18"/>
  <c r="G72" i="18" s="1"/>
  <c r="G73" i="18" s="1"/>
  <c r="G77" i="18" s="1"/>
  <c r="G27" i="18"/>
  <c r="G28" i="18" s="1"/>
  <c r="G20" i="18"/>
  <c r="G21" i="18" s="1"/>
  <c r="E72" i="19"/>
  <c r="E73" i="19" s="1"/>
  <c r="K68" i="18"/>
  <c r="K72" i="18" s="1"/>
  <c r="K73" i="18" s="1"/>
  <c r="K27" i="18"/>
  <c r="K28" i="18" s="1"/>
  <c r="K20" i="18"/>
  <c r="K21" i="18" s="1"/>
  <c r="D15" i="18"/>
  <c r="G15" i="20"/>
  <c r="D14" i="21"/>
  <c r="I68" i="18"/>
  <c r="I72" i="18" s="1"/>
  <c r="I73" i="18" s="1"/>
  <c r="I77" i="18" s="1"/>
  <c r="I20" i="18"/>
  <c r="I21" i="18" s="1"/>
  <c r="I27" i="18"/>
  <c r="I28" i="18" s="1"/>
  <c r="E72" i="18"/>
  <c r="E73" i="18" s="1"/>
  <c r="E77" i="18" s="1"/>
  <c r="F15" i="20"/>
  <c r="J12" i="7"/>
  <c r="H15" i="42" l="1"/>
  <c r="H14" i="42" s="1"/>
  <c r="G15" i="44"/>
  <c r="I27" i="20"/>
  <c r="I28" i="20" s="1"/>
  <c r="F15" i="44"/>
  <c r="I20" i="20"/>
  <c r="I21" i="20" s="1"/>
  <c r="D14" i="45"/>
  <c r="H27" i="20"/>
  <c r="H15" i="44"/>
  <c r="J27" i="20"/>
  <c r="J15" i="44"/>
  <c r="K20" i="20"/>
  <c r="K15" i="44"/>
  <c r="E27" i="20"/>
  <c r="E15" i="44"/>
  <c r="J20" i="20"/>
  <c r="L14" i="44"/>
  <c r="M14" i="44"/>
  <c r="D68" i="19"/>
  <c r="D72" i="19" s="1"/>
  <c r="J68" i="20"/>
  <c r="E20" i="20"/>
  <c r="E68" i="20"/>
  <c r="K15" i="21"/>
  <c r="H20" i="20"/>
  <c r="K68" i="20"/>
  <c r="H68" i="20"/>
  <c r="K27" i="20"/>
  <c r="D15" i="20"/>
  <c r="D68" i="18"/>
  <c r="D72" i="18" s="1"/>
  <c r="E15" i="21"/>
  <c r="F15" i="21"/>
  <c r="D73" i="19"/>
  <c r="E77" i="19"/>
  <c r="F68" i="20"/>
  <c r="F27" i="20"/>
  <c r="F20" i="20"/>
  <c r="G68" i="20"/>
  <c r="G27" i="20"/>
  <c r="G20" i="20"/>
  <c r="D73" i="18"/>
  <c r="K77" i="18"/>
  <c r="H15" i="21"/>
  <c r="J15" i="21"/>
  <c r="I15" i="21"/>
  <c r="G15" i="21"/>
  <c r="D17" i="13"/>
  <c r="J15" i="7"/>
  <c r="J14" i="7"/>
  <c r="I15" i="42" l="1"/>
  <c r="I14" i="42" s="1"/>
  <c r="J15" i="45"/>
  <c r="F27" i="44"/>
  <c r="F28" i="44" s="1"/>
  <c r="E27" i="44"/>
  <c r="E28" i="44" s="1"/>
  <c r="J27" i="44"/>
  <c r="J28" i="44" s="1"/>
  <c r="H15" i="45"/>
  <c r="G27" i="44"/>
  <c r="G28" i="44" s="1"/>
  <c r="F15" i="45"/>
  <c r="K27" i="44"/>
  <c r="K28" i="44" s="1"/>
  <c r="G15" i="45"/>
  <c r="E15" i="45"/>
  <c r="K20" i="44"/>
  <c r="K21" i="44" s="1"/>
  <c r="H27" i="44"/>
  <c r="H28" i="44" s="1"/>
  <c r="F20" i="44"/>
  <c r="F21" i="44" s="1"/>
  <c r="L14" i="45"/>
  <c r="M14" i="45"/>
  <c r="G72" i="20"/>
  <c r="G73" i="20" s="1"/>
  <c r="G68" i="44"/>
  <c r="G72" i="44" s="1"/>
  <c r="G73" i="44" s="1"/>
  <c r="H72" i="20"/>
  <c r="H73" i="20" s="1"/>
  <c r="H68" i="44"/>
  <c r="H72" i="44" s="1"/>
  <c r="H73" i="44" s="1"/>
  <c r="J72" i="20"/>
  <c r="J73" i="20" s="1"/>
  <c r="J68" i="44"/>
  <c r="J72" i="44" s="1"/>
  <c r="J73" i="44" s="1"/>
  <c r="F72" i="20"/>
  <c r="F73" i="20" s="1"/>
  <c r="F68" i="44"/>
  <c r="F72" i="44" s="1"/>
  <c r="F73" i="44" s="1"/>
  <c r="K72" i="20"/>
  <c r="K73" i="20" s="1"/>
  <c r="K68" i="44"/>
  <c r="K72" i="44" s="1"/>
  <c r="K73" i="44" s="1"/>
  <c r="E72" i="20"/>
  <c r="E73" i="20" s="1"/>
  <c r="E68" i="44"/>
  <c r="E72" i="44" s="1"/>
  <c r="E73" i="44" s="1"/>
  <c r="J28" i="20"/>
  <c r="K21" i="20"/>
  <c r="E28" i="20"/>
  <c r="G20" i="44"/>
  <c r="G21" i="44" s="1"/>
  <c r="H20" i="44"/>
  <c r="H21" i="44" s="1"/>
  <c r="E20" i="44"/>
  <c r="J20" i="44"/>
  <c r="J21" i="44" s="1"/>
  <c r="K27" i="21"/>
  <c r="K15" i="45"/>
  <c r="J21" i="20"/>
  <c r="H28" i="20"/>
  <c r="G28" i="20"/>
  <c r="D15" i="44"/>
  <c r="M15" i="44" s="1"/>
  <c r="F28" i="20"/>
  <c r="K28" i="20"/>
  <c r="F21" i="20"/>
  <c r="I72" i="44"/>
  <c r="I73" i="44" s="1"/>
  <c r="I21" i="44"/>
  <c r="E21" i="20"/>
  <c r="G21" i="20"/>
  <c r="H21" i="20"/>
  <c r="K20" i="21"/>
  <c r="K68" i="21"/>
  <c r="J16" i="7"/>
  <c r="F15" i="22"/>
  <c r="E17" i="13"/>
  <c r="D18" i="13"/>
  <c r="I68" i="21"/>
  <c r="I72" i="21" s="1"/>
  <c r="I73" i="21" s="1"/>
  <c r="I27" i="21"/>
  <c r="I28" i="21" s="1"/>
  <c r="I20" i="21"/>
  <c r="I21" i="21" s="1"/>
  <c r="K15" i="22"/>
  <c r="E68" i="21"/>
  <c r="D15" i="21"/>
  <c r="E27" i="21"/>
  <c r="E20" i="21"/>
  <c r="G15" i="22"/>
  <c r="J68" i="21"/>
  <c r="J27" i="21"/>
  <c r="J20" i="21"/>
  <c r="E15" i="22"/>
  <c r="I15" i="22"/>
  <c r="G68" i="21"/>
  <c r="G27" i="21"/>
  <c r="G20" i="21"/>
  <c r="H68" i="21"/>
  <c r="H27" i="21"/>
  <c r="H20" i="21"/>
  <c r="D68" i="20"/>
  <c r="J15" i="22"/>
  <c r="F68" i="21"/>
  <c r="F27" i="21"/>
  <c r="F20" i="21"/>
  <c r="H15" i="22"/>
  <c r="J22" i="7"/>
  <c r="I15" i="7"/>
  <c r="F14" i="7"/>
  <c r="L15" i="7"/>
  <c r="L17" i="13"/>
  <c r="I14" i="7"/>
  <c r="J23" i="7"/>
  <c r="I12" i="7"/>
  <c r="G14" i="7"/>
  <c r="L14" i="7"/>
  <c r="F15" i="7"/>
  <c r="H15" i="7"/>
  <c r="H12" i="7"/>
  <c r="K14" i="7"/>
  <c r="D28" i="13"/>
  <c r="F12" i="7"/>
  <c r="K12" i="7"/>
  <c r="H14" i="7"/>
  <c r="G15" i="7"/>
  <c r="K15" i="7"/>
  <c r="E22" i="13"/>
  <c r="G12" i="7"/>
  <c r="L12" i="7"/>
  <c r="J20" i="7"/>
  <c r="J15" i="42" l="1"/>
  <c r="J14" i="42" s="1"/>
  <c r="L27" i="44"/>
  <c r="F68" i="45"/>
  <c r="G20" i="45"/>
  <c r="G21" i="45" s="1"/>
  <c r="E15" i="53"/>
  <c r="J68" i="45"/>
  <c r="F15" i="53"/>
  <c r="K27" i="45"/>
  <c r="K28" i="45" s="1"/>
  <c r="H15" i="53"/>
  <c r="H20" i="45"/>
  <c r="H21" i="45" s="1"/>
  <c r="G27" i="45"/>
  <c r="G28" i="45" s="1"/>
  <c r="G15" i="53"/>
  <c r="E68" i="45"/>
  <c r="F20" i="45"/>
  <c r="F21" i="45" s="1"/>
  <c r="J15" i="53"/>
  <c r="H27" i="45"/>
  <c r="H28" i="45" s="1"/>
  <c r="G68" i="45"/>
  <c r="J20" i="45"/>
  <c r="J21" i="45" s="1"/>
  <c r="E20" i="45"/>
  <c r="K15" i="53"/>
  <c r="K68" i="45"/>
  <c r="F27" i="45"/>
  <c r="F28" i="45" s="1"/>
  <c r="H68" i="45"/>
  <c r="J27" i="45"/>
  <c r="J28" i="45" s="1"/>
  <c r="E27" i="45"/>
  <c r="E28" i="45" s="1"/>
  <c r="K20" i="45"/>
  <c r="K21" i="45" s="1"/>
  <c r="L18" i="13"/>
  <c r="E18" i="13"/>
  <c r="D73" i="20"/>
  <c r="K72" i="21"/>
  <c r="L12" i="43"/>
  <c r="L19" i="13"/>
  <c r="K12" i="43"/>
  <c r="H12" i="43"/>
  <c r="E12" i="7"/>
  <c r="N12" i="7" s="1"/>
  <c r="F12" i="43"/>
  <c r="G12" i="43"/>
  <c r="I12" i="43"/>
  <c r="D68" i="44"/>
  <c r="D72" i="44" s="1"/>
  <c r="L72" i="44" s="1"/>
  <c r="J72" i="21"/>
  <c r="F72" i="21"/>
  <c r="H72" i="21"/>
  <c r="G72" i="21"/>
  <c r="D15" i="45"/>
  <c r="M15" i="45" s="1"/>
  <c r="K15" i="43"/>
  <c r="F15" i="43"/>
  <c r="L14" i="43"/>
  <c r="L28" i="44"/>
  <c r="I15" i="43"/>
  <c r="K16" i="7"/>
  <c r="K14" i="43"/>
  <c r="H21" i="21"/>
  <c r="G28" i="21"/>
  <c r="K28" i="21"/>
  <c r="H28" i="21"/>
  <c r="J21" i="21"/>
  <c r="E21" i="21"/>
  <c r="F21" i="21"/>
  <c r="J28" i="21"/>
  <c r="E28" i="21"/>
  <c r="K21" i="21"/>
  <c r="L15" i="44"/>
  <c r="F28" i="21"/>
  <c r="G21" i="21"/>
  <c r="F27" i="22"/>
  <c r="L16" i="7"/>
  <c r="G16" i="7"/>
  <c r="G14" i="43"/>
  <c r="H15" i="43"/>
  <c r="L15" i="43"/>
  <c r="D22" i="13"/>
  <c r="E15" i="7"/>
  <c r="N15" i="7" s="1"/>
  <c r="G15" i="43"/>
  <c r="D73" i="44"/>
  <c r="L20" i="44"/>
  <c r="I14" i="43"/>
  <c r="I16" i="7"/>
  <c r="F14" i="43"/>
  <c r="E14" i="7"/>
  <c r="N14" i="7" s="1"/>
  <c r="F16" i="7"/>
  <c r="H14" i="43"/>
  <c r="H16" i="7"/>
  <c r="E28" i="13"/>
  <c r="D29" i="13"/>
  <c r="D72" i="20"/>
  <c r="F20" i="22"/>
  <c r="F68" i="22"/>
  <c r="J24" i="7"/>
  <c r="E68" i="22"/>
  <c r="D15" i="22"/>
  <c r="E20" i="22"/>
  <c r="E27" i="22"/>
  <c r="H68" i="22"/>
  <c r="H27" i="22"/>
  <c r="H20" i="22"/>
  <c r="J68" i="22"/>
  <c r="J27" i="22"/>
  <c r="J20" i="22"/>
  <c r="G68" i="22"/>
  <c r="G27" i="22"/>
  <c r="G20" i="22"/>
  <c r="D68" i="21"/>
  <c r="E72" i="21"/>
  <c r="D14" i="23"/>
  <c r="K68" i="22"/>
  <c r="K20" i="22"/>
  <c r="K27" i="22"/>
  <c r="D14" i="24"/>
  <c r="I68" i="22"/>
  <c r="I72" i="22" s="1"/>
  <c r="I73" i="22" s="1"/>
  <c r="I27" i="22"/>
  <c r="I28" i="22" s="1"/>
  <c r="I20" i="22"/>
  <c r="I21" i="22" s="1"/>
  <c r="I22" i="7"/>
  <c r="J30" i="7"/>
  <c r="F22" i="7"/>
  <c r="J28" i="7"/>
  <c r="H22" i="7"/>
  <c r="K23" i="7"/>
  <c r="G23" i="7"/>
  <c r="L28" i="13"/>
  <c r="D39" i="13"/>
  <c r="L23" i="7"/>
  <c r="J31" i="7"/>
  <c r="F23" i="7"/>
  <c r="H23" i="7"/>
  <c r="G22" i="7"/>
  <c r="K22" i="7"/>
  <c r="I23" i="7"/>
  <c r="E32" i="13"/>
  <c r="E33" i="13"/>
  <c r="L22" i="7"/>
  <c r="K15" i="42" l="1"/>
  <c r="K14" i="42" s="1"/>
  <c r="K68" i="53"/>
  <c r="K72" i="53" s="1"/>
  <c r="K73" i="53" s="1"/>
  <c r="J20" i="53"/>
  <c r="G20" i="53"/>
  <c r="G21" i="53" s="1"/>
  <c r="J27" i="53"/>
  <c r="J28" i="53" s="1"/>
  <c r="H68" i="53"/>
  <c r="H72" i="53" s="1"/>
  <c r="H73" i="53" s="1"/>
  <c r="E68" i="53"/>
  <c r="F68" i="53"/>
  <c r="F72" i="53" s="1"/>
  <c r="F73" i="53" s="1"/>
  <c r="F73" i="21"/>
  <c r="F72" i="45"/>
  <c r="F73" i="45" s="1"/>
  <c r="J68" i="53"/>
  <c r="J72" i="53" s="1"/>
  <c r="J73" i="53" s="1"/>
  <c r="E27" i="53"/>
  <c r="E28" i="53" s="1"/>
  <c r="F20" i="53"/>
  <c r="F21" i="53" s="1"/>
  <c r="F27" i="53"/>
  <c r="F28" i="53" s="1"/>
  <c r="H73" i="21"/>
  <c r="H72" i="45"/>
  <c r="H73" i="45" s="1"/>
  <c r="H27" i="53"/>
  <c r="H28" i="53" s="1"/>
  <c r="G73" i="21"/>
  <c r="G72" i="45"/>
  <c r="G73" i="45" s="1"/>
  <c r="J73" i="21"/>
  <c r="J72" i="45"/>
  <c r="J73" i="45" s="1"/>
  <c r="K27" i="53"/>
  <c r="K28" i="53" s="1"/>
  <c r="G27" i="53"/>
  <c r="G28" i="53" s="1"/>
  <c r="K20" i="53"/>
  <c r="K21" i="53" s="1"/>
  <c r="E73" i="21"/>
  <c r="E72" i="45"/>
  <c r="E73" i="45" s="1"/>
  <c r="G68" i="53"/>
  <c r="G72" i="53" s="1"/>
  <c r="G73" i="53" s="1"/>
  <c r="H20" i="53"/>
  <c r="H21" i="53" s="1"/>
  <c r="E20" i="53"/>
  <c r="M73" i="44"/>
  <c r="K73" i="21"/>
  <c r="K72" i="45"/>
  <c r="K73" i="45" s="1"/>
  <c r="L29" i="13"/>
  <c r="M19" i="13"/>
  <c r="E29" i="13"/>
  <c r="M68" i="44"/>
  <c r="L16" i="43"/>
  <c r="E12" i="43"/>
  <c r="N12" i="43" s="1"/>
  <c r="H72" i="22"/>
  <c r="H73" i="22" s="1"/>
  <c r="L15" i="45"/>
  <c r="G72" i="22"/>
  <c r="G73" i="22" s="1"/>
  <c r="J72" i="22"/>
  <c r="J73" i="22" s="1"/>
  <c r="D72" i="21"/>
  <c r="D68" i="45"/>
  <c r="F72" i="22"/>
  <c r="F73" i="22" s="1"/>
  <c r="K16" i="43"/>
  <c r="I16" i="43"/>
  <c r="F16" i="43"/>
  <c r="G22" i="43"/>
  <c r="L23" i="43"/>
  <c r="D33" i="13"/>
  <c r="I22" i="43"/>
  <c r="H22" i="43"/>
  <c r="E23" i="7"/>
  <c r="N23" i="7" s="1"/>
  <c r="F23" i="43"/>
  <c r="K22" i="43"/>
  <c r="D32" i="13"/>
  <c r="L22" i="43"/>
  <c r="K23" i="43"/>
  <c r="E22" i="7"/>
  <c r="N22" i="7" s="1"/>
  <c r="F22" i="43"/>
  <c r="I23" i="43"/>
  <c r="H23" i="43"/>
  <c r="G23" i="43"/>
  <c r="L28" i="45"/>
  <c r="K21" i="22"/>
  <c r="G28" i="22"/>
  <c r="J28" i="22"/>
  <c r="E21" i="22"/>
  <c r="H21" i="22"/>
  <c r="F28" i="22"/>
  <c r="K28" i="22"/>
  <c r="G21" i="22"/>
  <c r="J21" i="22"/>
  <c r="J21" i="53"/>
  <c r="H28" i="22"/>
  <c r="E28" i="22"/>
  <c r="D15" i="53"/>
  <c r="M15" i="53" s="1"/>
  <c r="E15" i="43"/>
  <c r="N15" i="43" s="1"/>
  <c r="H16" i="43"/>
  <c r="G16" i="43"/>
  <c r="L20" i="45"/>
  <c r="E16" i="7"/>
  <c r="N16" i="7" s="1"/>
  <c r="M72" i="44"/>
  <c r="L73" i="44"/>
  <c r="E14" i="43"/>
  <c r="N14" i="43" s="1"/>
  <c r="H15" i="23"/>
  <c r="H68" i="23" s="1"/>
  <c r="H72" i="23" s="1"/>
  <c r="H73" i="23" s="1"/>
  <c r="F21" i="22"/>
  <c r="F15" i="24"/>
  <c r="F68" i="24" s="1"/>
  <c r="F72" i="24" s="1"/>
  <c r="F73" i="24" s="1"/>
  <c r="E39" i="13"/>
  <c r="J15" i="23"/>
  <c r="J68" i="23" s="1"/>
  <c r="J72" i="23" s="1"/>
  <c r="J73" i="23" s="1"/>
  <c r="E15" i="23"/>
  <c r="E20" i="23" s="1"/>
  <c r="E21" i="23" s="1"/>
  <c r="J32" i="7"/>
  <c r="D40" i="13"/>
  <c r="F15" i="23"/>
  <c r="K15" i="24"/>
  <c r="G15" i="24"/>
  <c r="D68" i="22"/>
  <c r="E72" i="22"/>
  <c r="E73" i="22" s="1"/>
  <c r="E15" i="24"/>
  <c r="H15" i="24"/>
  <c r="I15" i="24"/>
  <c r="D14" i="25"/>
  <c r="J15" i="24"/>
  <c r="K72" i="22"/>
  <c r="K73" i="22" s="1"/>
  <c r="I15" i="23"/>
  <c r="G15" i="23"/>
  <c r="K15" i="23"/>
  <c r="E44" i="13"/>
  <c r="I31" i="7"/>
  <c r="L30" i="7"/>
  <c r="H30" i="7"/>
  <c r="K30" i="7"/>
  <c r="L39" i="13"/>
  <c r="G30" i="7"/>
  <c r="F31" i="7"/>
  <c r="G31" i="7"/>
  <c r="H28" i="7"/>
  <c r="K31" i="7"/>
  <c r="F30" i="7"/>
  <c r="F20" i="7"/>
  <c r="H31" i="7"/>
  <c r="G20" i="7"/>
  <c r="K20" i="7"/>
  <c r="L31" i="7"/>
  <c r="G28" i="7"/>
  <c r="I20" i="7"/>
  <c r="I28" i="7"/>
  <c r="I30" i="7"/>
  <c r="H20" i="7"/>
  <c r="L28" i="7"/>
  <c r="E43" i="13"/>
  <c r="F28" i="7"/>
  <c r="K28" i="7"/>
  <c r="L20" i="7"/>
  <c r="D73" i="45" l="1"/>
  <c r="L73" i="45" s="1"/>
  <c r="L15" i="42"/>
  <c r="L14" i="42" s="1"/>
  <c r="N21" i="43"/>
  <c r="L21" i="45"/>
  <c r="E21" i="53"/>
  <c r="L21" i="53" s="1"/>
  <c r="E21" i="13"/>
  <c r="I24" i="7"/>
  <c r="I20" i="43"/>
  <c r="I24" i="43" s="1"/>
  <c r="G20" i="43"/>
  <c r="G24" i="43" s="1"/>
  <c r="G24" i="7"/>
  <c r="F20" i="43"/>
  <c r="F24" i="43" s="1"/>
  <c r="E20" i="7"/>
  <c r="E24" i="7" s="1"/>
  <c r="N24" i="7" s="1"/>
  <c r="F24" i="7"/>
  <c r="H24" i="7"/>
  <c r="H20" i="43"/>
  <c r="H24" i="43" s="1"/>
  <c r="L30" i="13"/>
  <c r="M30" i="13" s="1"/>
  <c r="L20" i="43"/>
  <c r="L24" i="43" s="1"/>
  <c r="L24" i="7"/>
  <c r="K24" i="7"/>
  <c r="K20" i="43"/>
  <c r="K24" i="43" s="1"/>
  <c r="D72" i="45"/>
  <c r="M72" i="45" s="1"/>
  <c r="M68" i="45"/>
  <c r="D73" i="21"/>
  <c r="E40" i="13"/>
  <c r="E34" i="13"/>
  <c r="H28" i="43"/>
  <c r="G28" i="43"/>
  <c r="K28" i="43"/>
  <c r="I28" i="43"/>
  <c r="D72" i="22"/>
  <c r="D68" i="53"/>
  <c r="M68" i="53" s="1"/>
  <c r="D34" i="13"/>
  <c r="E22" i="43"/>
  <c r="N22" i="43" s="1"/>
  <c r="E23" i="43"/>
  <c r="N23" i="43" s="1"/>
  <c r="E68" i="23"/>
  <c r="E72" i="23" s="1"/>
  <c r="E73" i="23" s="1"/>
  <c r="I31" i="43"/>
  <c r="H32" i="7"/>
  <c r="H30" i="43"/>
  <c r="G31" i="43"/>
  <c r="F30" i="43"/>
  <c r="H31" i="43"/>
  <c r="F31" i="43"/>
  <c r="E31" i="7"/>
  <c r="N31" i="7" s="1"/>
  <c r="K30" i="43"/>
  <c r="K32" i="7"/>
  <c r="L31" i="43"/>
  <c r="D44" i="13"/>
  <c r="I32" i="7"/>
  <c r="I30" i="43"/>
  <c r="K31" i="43"/>
  <c r="D43" i="13"/>
  <c r="L30" i="43"/>
  <c r="L20" i="53"/>
  <c r="E72" i="53"/>
  <c r="L28" i="53"/>
  <c r="F27" i="24"/>
  <c r="F28" i="24" s="1"/>
  <c r="E16" i="43"/>
  <c r="N16" i="43" s="1"/>
  <c r="H20" i="23"/>
  <c r="H21" i="23" s="1"/>
  <c r="H27" i="23"/>
  <c r="H28" i="23" s="1"/>
  <c r="E27" i="23"/>
  <c r="E28" i="23" s="1"/>
  <c r="F20" i="24"/>
  <c r="F21" i="24" s="1"/>
  <c r="J27" i="23"/>
  <c r="J28" i="23" s="1"/>
  <c r="J20" i="23"/>
  <c r="J21" i="23" s="1"/>
  <c r="G32" i="7"/>
  <c r="E30" i="7"/>
  <c r="N30" i="7" s="1"/>
  <c r="G30" i="43"/>
  <c r="K15" i="25"/>
  <c r="K27" i="25" s="1"/>
  <c r="K28" i="25" s="1"/>
  <c r="L28" i="43"/>
  <c r="F28" i="43"/>
  <c r="E15" i="25"/>
  <c r="E20" i="25" s="1"/>
  <c r="E21" i="25" s="1"/>
  <c r="H15" i="25"/>
  <c r="H20" i="25" s="1"/>
  <c r="H21" i="25" s="1"/>
  <c r="L32" i="7"/>
  <c r="L41" i="13"/>
  <c r="E28" i="7"/>
  <c r="F32" i="7"/>
  <c r="K68" i="23"/>
  <c r="K20" i="23"/>
  <c r="K21" i="23" s="1"/>
  <c r="K27" i="23"/>
  <c r="K28" i="23" s="1"/>
  <c r="G68" i="23"/>
  <c r="G72" i="23" s="1"/>
  <c r="G73" i="23" s="1"/>
  <c r="G20" i="23"/>
  <c r="G21" i="23" s="1"/>
  <c r="G27" i="23"/>
  <c r="G28" i="23" s="1"/>
  <c r="F15" i="25"/>
  <c r="I15" i="25"/>
  <c r="L40" i="13"/>
  <c r="I68" i="23"/>
  <c r="I72" i="23" s="1"/>
  <c r="I73" i="23" s="1"/>
  <c r="I20" i="23"/>
  <c r="I21" i="23" s="1"/>
  <c r="I27" i="23"/>
  <c r="I28" i="23" s="1"/>
  <c r="F77" i="24"/>
  <c r="I68" i="24"/>
  <c r="I72" i="24" s="1"/>
  <c r="I73" i="24" s="1"/>
  <c r="I20" i="24"/>
  <c r="I21" i="24" s="1"/>
  <c r="I27" i="24"/>
  <c r="I28" i="24" s="1"/>
  <c r="J77" i="23"/>
  <c r="G68" i="24"/>
  <c r="G72" i="24" s="1"/>
  <c r="G73" i="24" s="1"/>
  <c r="G20" i="24"/>
  <c r="G21" i="24" s="1"/>
  <c r="G27" i="24"/>
  <c r="G28" i="24" s="1"/>
  <c r="D15" i="23"/>
  <c r="H68" i="24"/>
  <c r="H72" i="24" s="1"/>
  <c r="H73" i="24" s="1"/>
  <c r="H20" i="24"/>
  <c r="H21" i="24" s="1"/>
  <c r="H27" i="24"/>
  <c r="H28" i="24" s="1"/>
  <c r="E68" i="24"/>
  <c r="D15" i="24"/>
  <c r="E20" i="24"/>
  <c r="E21" i="24" s="1"/>
  <c r="E27" i="24"/>
  <c r="E28" i="24" s="1"/>
  <c r="K68" i="24"/>
  <c r="K27" i="24"/>
  <c r="K28" i="24" s="1"/>
  <c r="K20" i="24"/>
  <c r="K21" i="24" s="1"/>
  <c r="J15" i="25"/>
  <c r="H77" i="23"/>
  <c r="D14" i="26"/>
  <c r="J68" i="24"/>
  <c r="J72" i="24" s="1"/>
  <c r="J73" i="24" s="1"/>
  <c r="J27" i="24"/>
  <c r="J28" i="24" s="1"/>
  <c r="J20" i="24"/>
  <c r="J21" i="24" s="1"/>
  <c r="D73" i="22"/>
  <c r="F68" i="23"/>
  <c r="F72" i="23" s="1"/>
  <c r="F73" i="23" s="1"/>
  <c r="F20" i="23"/>
  <c r="F27" i="23"/>
  <c r="G15" i="25"/>
  <c r="L72" i="45" l="1"/>
  <c r="M73" i="45"/>
  <c r="D21" i="13"/>
  <c r="D23" i="13" s="1"/>
  <c r="L23" i="13" s="1"/>
  <c r="E23" i="13"/>
  <c r="K68" i="25"/>
  <c r="K72" i="25" s="1"/>
  <c r="K73" i="25" s="1"/>
  <c r="M15" i="42"/>
  <c r="M14" i="42" s="1"/>
  <c r="E45" i="13"/>
  <c r="N20" i="7"/>
  <c r="E20" i="43"/>
  <c r="E24" i="43" s="1"/>
  <c r="N24" i="43" s="1"/>
  <c r="L34" i="13"/>
  <c r="K32" i="43"/>
  <c r="D45" i="13"/>
  <c r="H32" i="43"/>
  <c r="I32" i="43"/>
  <c r="E31" i="43"/>
  <c r="N31" i="43" s="1"/>
  <c r="L32" i="43"/>
  <c r="D72" i="53"/>
  <c r="M72" i="53" s="1"/>
  <c r="G32" i="43"/>
  <c r="E73" i="53"/>
  <c r="E27" i="25"/>
  <c r="E28" i="25" s="1"/>
  <c r="K20" i="25"/>
  <c r="K21" i="25" s="1"/>
  <c r="H27" i="25"/>
  <c r="H28" i="25" s="1"/>
  <c r="H68" i="25"/>
  <c r="H72" i="25" s="1"/>
  <c r="H73" i="25" s="1"/>
  <c r="H77" i="25" s="1"/>
  <c r="E30" i="43"/>
  <c r="N30" i="43" s="1"/>
  <c r="F28" i="23"/>
  <c r="J15" i="26"/>
  <c r="J27" i="26" s="1"/>
  <c r="J28" i="26" s="1"/>
  <c r="E68" i="25"/>
  <c r="E72" i="25" s="1"/>
  <c r="E73" i="25" s="1"/>
  <c r="F21" i="23"/>
  <c r="E28" i="43"/>
  <c r="F32" i="43"/>
  <c r="E15" i="26"/>
  <c r="J68" i="25"/>
  <c r="J72" i="25" s="1"/>
  <c r="J73" i="25" s="1"/>
  <c r="J27" i="25"/>
  <c r="J28" i="25" s="1"/>
  <c r="J20" i="25"/>
  <c r="J21" i="25" s="1"/>
  <c r="G15" i="26"/>
  <c r="F68" i="25"/>
  <c r="F72" i="25" s="1"/>
  <c r="F73" i="25" s="1"/>
  <c r="F27" i="25"/>
  <c r="F20" i="25"/>
  <c r="H15" i="26"/>
  <c r="N28" i="7"/>
  <c r="E32" i="7"/>
  <c r="N32" i="7" s="1"/>
  <c r="F77" i="23"/>
  <c r="E77" i="23"/>
  <c r="K72" i="23"/>
  <c r="K73" i="23" s="1"/>
  <c r="D73" i="23" s="1"/>
  <c r="D14" i="27"/>
  <c r="I15" i="27" s="1"/>
  <c r="G68" i="25"/>
  <c r="G72" i="25" s="1"/>
  <c r="G73" i="25" s="1"/>
  <c r="G27" i="25"/>
  <c r="G28" i="25" s="1"/>
  <c r="G20" i="25"/>
  <c r="G21" i="25" s="1"/>
  <c r="J77" i="24"/>
  <c r="F15" i="26"/>
  <c r="H77" i="24"/>
  <c r="D68" i="23"/>
  <c r="D72" i="23" s="1"/>
  <c r="K15" i="26"/>
  <c r="M41" i="13"/>
  <c r="I15" i="26"/>
  <c r="K72" i="24"/>
  <c r="K73" i="24" s="1"/>
  <c r="D68" i="24"/>
  <c r="D72" i="24" s="1"/>
  <c r="E72" i="24"/>
  <c r="E73" i="24" s="1"/>
  <c r="G77" i="24"/>
  <c r="I77" i="24"/>
  <c r="D15" i="25"/>
  <c r="I77" i="23"/>
  <c r="I68" i="25"/>
  <c r="I72" i="25" s="1"/>
  <c r="I73" i="25" s="1"/>
  <c r="I27" i="25"/>
  <c r="I28" i="25" s="1"/>
  <c r="I20" i="25"/>
  <c r="I21" i="25" s="1"/>
  <c r="G77" i="23"/>
  <c r="N15" i="42" l="1"/>
  <c r="N14" i="42" s="1"/>
  <c r="N20" i="43"/>
  <c r="L45" i="13"/>
  <c r="L72" i="53"/>
  <c r="D73" i="53"/>
  <c r="J20" i="26"/>
  <c r="J21" i="26" s="1"/>
  <c r="J68" i="26"/>
  <c r="J72" i="26" s="1"/>
  <c r="J73" i="26" s="1"/>
  <c r="J77" i="26" s="1"/>
  <c r="F21" i="25"/>
  <c r="F28" i="25"/>
  <c r="N28" i="43"/>
  <c r="E32" i="43"/>
  <c r="N32" i="43" s="1"/>
  <c r="G15" i="27"/>
  <c r="G68" i="27" s="1"/>
  <c r="G72" i="27" s="1"/>
  <c r="G73" i="27" s="1"/>
  <c r="G77" i="25"/>
  <c r="D73" i="25"/>
  <c r="E77" i="25"/>
  <c r="D14" i="28"/>
  <c r="F15" i="28" s="1"/>
  <c r="K77" i="24"/>
  <c r="E15" i="27"/>
  <c r="F77" i="25"/>
  <c r="E68" i="26"/>
  <c r="E72" i="26" s="1"/>
  <c r="E73" i="26" s="1"/>
  <c r="D15" i="26"/>
  <c r="E20" i="26"/>
  <c r="E21" i="26" s="1"/>
  <c r="E27" i="26"/>
  <c r="E28" i="26" s="1"/>
  <c r="K20" i="26"/>
  <c r="K21" i="26" s="1"/>
  <c r="K68" i="26"/>
  <c r="K27" i="26"/>
  <c r="K28" i="26" s="1"/>
  <c r="F68" i="26"/>
  <c r="F72" i="26" s="1"/>
  <c r="F73" i="26" s="1"/>
  <c r="F27" i="26"/>
  <c r="F20" i="26"/>
  <c r="I77" i="25"/>
  <c r="I68" i="26"/>
  <c r="I72" i="26" s="1"/>
  <c r="I73" i="26" s="1"/>
  <c r="I20" i="26"/>
  <c r="I21" i="26" s="1"/>
  <c r="I27" i="26"/>
  <c r="I28" i="26" s="1"/>
  <c r="K77" i="25"/>
  <c r="I68" i="27"/>
  <c r="I72" i="27" s="1"/>
  <c r="I73" i="27" s="1"/>
  <c r="I27" i="27"/>
  <c r="I28" i="27" s="1"/>
  <c r="I20" i="27"/>
  <c r="I21" i="27" s="1"/>
  <c r="H68" i="26"/>
  <c r="H72" i="26" s="1"/>
  <c r="H73" i="26" s="1"/>
  <c r="H20" i="26"/>
  <c r="H21" i="26" s="1"/>
  <c r="H27" i="26"/>
  <c r="H28" i="26" s="1"/>
  <c r="G68" i="26"/>
  <c r="G72" i="26" s="1"/>
  <c r="G73" i="26" s="1"/>
  <c r="G27" i="26"/>
  <c r="G28" i="26" s="1"/>
  <c r="G20" i="26"/>
  <c r="G21" i="26" s="1"/>
  <c r="J15" i="27"/>
  <c r="K77" i="23"/>
  <c r="J77" i="25"/>
  <c r="D73" i="24"/>
  <c r="E77" i="24"/>
  <c r="K15" i="27"/>
  <c r="H15" i="27"/>
  <c r="D68" i="25"/>
  <c r="D72" i="25" s="1"/>
  <c r="F15" i="27"/>
  <c r="O15" i="42" l="1"/>
  <c r="O14" i="42" s="1"/>
  <c r="L73" i="53"/>
  <c r="M73" i="53"/>
  <c r="G20" i="27"/>
  <c r="G21" i="27" s="1"/>
  <c r="K15" i="28"/>
  <c r="K68" i="28" s="1"/>
  <c r="F21" i="26"/>
  <c r="G27" i="27"/>
  <c r="G28" i="27" s="1"/>
  <c r="F28" i="26"/>
  <c r="I15" i="28"/>
  <c r="I20" i="28" s="1"/>
  <c r="I21" i="28" s="1"/>
  <c r="E15" i="28"/>
  <c r="E68" i="28" s="1"/>
  <c r="F77" i="26"/>
  <c r="G77" i="26"/>
  <c r="G77" i="27"/>
  <c r="H68" i="27"/>
  <c r="H72" i="27" s="1"/>
  <c r="H73" i="27" s="1"/>
  <c r="H20" i="27"/>
  <c r="H21" i="27" s="1"/>
  <c r="H27" i="27"/>
  <c r="H28" i="27" s="1"/>
  <c r="J15" i="28"/>
  <c r="J68" i="27"/>
  <c r="J72" i="27" s="1"/>
  <c r="J73" i="27" s="1"/>
  <c r="J27" i="27"/>
  <c r="J28" i="27" s="1"/>
  <c r="J20" i="27"/>
  <c r="J21" i="27" s="1"/>
  <c r="D68" i="26"/>
  <c r="D72" i="26" s="1"/>
  <c r="K72" i="26"/>
  <c r="K73" i="26" s="1"/>
  <c r="E68" i="27"/>
  <c r="D15" i="27"/>
  <c r="E20" i="27"/>
  <c r="E21" i="27" s="1"/>
  <c r="E27" i="27"/>
  <c r="E28" i="27" s="1"/>
  <c r="G15" i="28"/>
  <c r="F68" i="27"/>
  <c r="F72" i="27" s="1"/>
  <c r="F73" i="27" s="1"/>
  <c r="F20" i="27"/>
  <c r="F21" i="27" s="1"/>
  <c r="F27" i="27"/>
  <c r="F28" i="27" s="1"/>
  <c r="H77" i="26"/>
  <c r="F68" i="28"/>
  <c r="F72" i="28" s="1"/>
  <c r="F73" i="28" s="1"/>
  <c r="F20" i="28"/>
  <c r="F21" i="28" s="1"/>
  <c r="F27" i="28"/>
  <c r="F28" i="28" s="1"/>
  <c r="H15" i="28"/>
  <c r="K68" i="27"/>
  <c r="K27" i="27"/>
  <c r="K28" i="27" s="1"/>
  <c r="K20" i="27"/>
  <c r="K21" i="27" s="1"/>
  <c r="I77" i="27"/>
  <c r="I77" i="26"/>
  <c r="E77" i="26"/>
  <c r="K27" i="28" l="1"/>
  <c r="K28" i="28" s="1"/>
  <c r="P15" i="42"/>
  <c r="P14" i="42" s="1"/>
  <c r="K20" i="28"/>
  <c r="K21" i="28" s="1"/>
  <c r="I68" i="28"/>
  <c r="I72" i="28" s="1"/>
  <c r="I73" i="28" s="1"/>
  <c r="I77" i="28" s="1"/>
  <c r="I27" i="28"/>
  <c r="I28" i="28" s="1"/>
  <c r="E27" i="28"/>
  <c r="E28" i="28" s="1"/>
  <c r="E20" i="28"/>
  <c r="E21" i="28" s="1"/>
  <c r="H68" i="28"/>
  <c r="H72" i="28" s="1"/>
  <c r="H73" i="28" s="1"/>
  <c r="H20" i="28"/>
  <c r="H21" i="28" s="1"/>
  <c r="H27" i="28"/>
  <c r="H28" i="28" s="1"/>
  <c r="G68" i="28"/>
  <c r="G72" i="28" s="1"/>
  <c r="G73" i="28" s="1"/>
  <c r="G27" i="28"/>
  <c r="G28" i="28" s="1"/>
  <c r="G20" i="28"/>
  <c r="G21" i="28" s="1"/>
  <c r="E72" i="27"/>
  <c r="E73" i="27" s="1"/>
  <c r="D68" i="27"/>
  <c r="D72" i="27" s="1"/>
  <c r="K72" i="27"/>
  <c r="K73" i="27" s="1"/>
  <c r="K72" i="28"/>
  <c r="K73" i="28" s="1"/>
  <c r="F77" i="27"/>
  <c r="K77" i="26"/>
  <c r="J77" i="27"/>
  <c r="H77" i="27"/>
  <c r="J68" i="28"/>
  <c r="J72" i="28" s="1"/>
  <c r="J73" i="28" s="1"/>
  <c r="J20" i="28"/>
  <c r="J21" i="28" s="1"/>
  <c r="J27" i="28"/>
  <c r="J28" i="28" s="1"/>
  <c r="D15" i="28"/>
  <c r="D73" i="26"/>
  <c r="F77" i="28"/>
  <c r="E72" i="28"/>
  <c r="E73" i="28" s="1"/>
  <c r="Q15" i="42" l="1"/>
  <c r="Q14" i="42" s="1"/>
  <c r="D68" i="28"/>
  <c r="D72" i="28" s="1"/>
  <c r="K77" i="28"/>
  <c r="G77" i="28"/>
  <c r="J77" i="28"/>
  <c r="D73" i="28"/>
  <c r="E77" i="28"/>
  <c r="H77" i="28"/>
  <c r="K77" i="27"/>
  <c r="E77" i="27"/>
  <c r="D73" i="27"/>
  <c r="R15" i="42" l="1"/>
  <c r="R14" i="42" s="1"/>
  <c r="S15" i="42" l="1"/>
  <c r="S14" i="42" s="1"/>
  <c r="S33" i="42" l="1"/>
  <c r="F29" i="42" l="1"/>
  <c r="G29" i="42" s="1"/>
  <c r="D27" i="42"/>
  <c r="F26" i="42"/>
  <c r="G26" i="42" s="1"/>
  <c r="H26" i="42" s="1"/>
  <c r="I26" i="42" s="1"/>
  <c r="J26" i="42" s="1"/>
  <c r="K26" i="42" s="1"/>
  <c r="L26" i="42" s="1"/>
  <c r="M26" i="42" s="1"/>
  <c r="N26" i="42" s="1"/>
  <c r="O26" i="42" s="1"/>
  <c r="P26" i="42" s="1"/>
  <c r="Q26" i="42" s="1"/>
  <c r="R26" i="42" s="1"/>
  <c r="S26" i="42" s="1"/>
  <c r="D22" i="42"/>
  <c r="D21" i="42" l="1"/>
  <c r="D30" i="42" s="1"/>
  <c r="H29" i="42"/>
  <c r="I29" i="42" s="1"/>
  <c r="J29" i="42" s="1"/>
  <c r="K29" i="42" s="1"/>
  <c r="L29" i="42" s="1"/>
  <c r="M29" i="42" s="1"/>
  <c r="N29" i="42" s="1"/>
  <c r="O29" i="42" s="1"/>
  <c r="P29" i="42" s="1"/>
  <c r="Q29" i="42" s="1"/>
  <c r="R29" i="42" s="1"/>
  <c r="S29" i="42" s="1"/>
  <c r="E22" i="42"/>
  <c r="E27" i="42"/>
  <c r="F27" i="42" s="1"/>
  <c r="G27" i="42" s="1"/>
  <c r="H27" i="42" s="1"/>
  <c r="I27" i="42" s="1"/>
  <c r="J27" i="42" l="1"/>
  <c r="K27" i="42" s="1"/>
  <c r="L27" i="42" s="1"/>
  <c r="M27" i="42" s="1"/>
  <c r="N27" i="42" s="1"/>
  <c r="O27" i="42" s="1"/>
  <c r="P27" i="42" s="1"/>
  <c r="Q27" i="42" s="1"/>
  <c r="R27" i="42" s="1"/>
  <c r="S27" i="42" s="1"/>
  <c r="F22" i="42"/>
  <c r="E21" i="42"/>
  <c r="E30" i="42" s="1"/>
  <c r="G22" i="42" l="1"/>
  <c r="F21" i="42"/>
  <c r="F30" i="42" s="1"/>
  <c r="H22" i="42" l="1"/>
  <c r="H21" i="42" s="1"/>
  <c r="G21" i="42"/>
  <c r="G30" i="42" s="1"/>
  <c r="I22" i="42" l="1"/>
  <c r="I21" i="42" s="1"/>
  <c r="H30" i="42"/>
  <c r="J22" i="42" l="1"/>
  <c r="J21" i="42" s="1"/>
  <c r="I30" i="42"/>
  <c r="K22" i="42" l="1"/>
  <c r="K21" i="42" s="1"/>
  <c r="J30" i="42"/>
  <c r="L22" i="42" l="1"/>
  <c r="L21" i="42" s="1"/>
  <c r="K30" i="42"/>
  <c r="M22" i="42" l="1"/>
  <c r="M21" i="42" s="1"/>
  <c r="L30" i="42"/>
  <c r="N22" i="42" l="1"/>
  <c r="N21" i="42" s="1"/>
  <c r="M30" i="42"/>
  <c r="O22" i="42" l="1"/>
  <c r="O21" i="42" s="1"/>
  <c r="N30" i="42"/>
  <c r="P22" i="42" l="1"/>
  <c r="P21" i="42" s="1"/>
  <c r="O30" i="42"/>
  <c r="Q22" i="42" l="1"/>
  <c r="Q21" i="42" s="1"/>
  <c r="P30" i="42"/>
  <c r="R22" i="42" l="1"/>
  <c r="R21" i="42" s="1"/>
  <c r="Q30" i="42"/>
  <c r="S22" i="42" l="1"/>
  <c r="S21" i="42" s="1"/>
  <c r="R30" i="42"/>
  <c r="S30" i="42"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BPA User</author>
  </authors>
  <commentList>
    <comment ref="D25" authorId="0" shapeId="0" xr:uid="{00000000-0006-0000-0000-000001000000}">
      <text>
        <r>
          <rPr>
            <b/>
            <sz val="9"/>
            <color indexed="81"/>
            <rFont val="Tahoma"/>
            <family val="2"/>
          </rPr>
          <t>Link to Plant Investment File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Stephanie Adams</author>
    <author>BPA User</author>
  </authors>
  <commentList>
    <comment ref="F38" authorId="0" shapeId="0" xr:uid="{00000000-0006-0000-0100-000001000000}">
      <text>
        <r>
          <rPr>
            <b/>
            <sz val="9"/>
            <color indexed="81"/>
            <rFont val="Tahoma"/>
            <family val="2"/>
          </rPr>
          <t>Stephanie Adams:</t>
        </r>
        <r>
          <rPr>
            <sz val="9"/>
            <color indexed="81"/>
            <rFont val="Tahoma"/>
            <family val="2"/>
          </rPr>
          <t xml:space="preserve">
Updated to reflect Errata, increase in Acq. And Ancil. From GM Comparison</t>
        </r>
      </text>
    </comment>
    <comment ref="F42" authorId="1" shapeId="0" xr:uid="{00000000-0006-0000-0100-000002000000}">
      <text>
        <r>
          <rPr>
            <b/>
            <sz val="9"/>
            <color indexed="81"/>
            <rFont val="Tahoma"/>
            <family val="2"/>
          </rPr>
          <t>Link to Plant Investment File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Michael D. Edwards</author>
  </authors>
  <commentList>
    <comment ref="U10" authorId="0" shapeId="0" xr:uid="{00000000-0006-0000-0200-000001000000}">
      <text>
        <r>
          <rPr>
            <b/>
            <sz val="9"/>
            <color indexed="81"/>
            <rFont val="Tahoma"/>
            <family val="2"/>
          </rPr>
          <t>Michael D. Edwards:</t>
        </r>
        <r>
          <rPr>
            <sz val="9"/>
            <color indexed="81"/>
            <rFont val="Tahoma"/>
            <family val="2"/>
          </rPr>
          <t xml:space="preserve">
At least partly revenue financing ($29 MM)</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Carlson,Tracy L (BPA)</author>
  </authors>
  <commentList>
    <comment ref="E10" authorId="0" shapeId="0" xr:uid="{00000000-0006-0000-0600-000003000000}">
      <text>
        <r>
          <rPr>
            <b/>
            <sz val="9"/>
            <color indexed="81"/>
            <rFont val="Tahoma"/>
            <family val="2"/>
          </rPr>
          <t>Lennox,Alexander (BPA) - FTR-2:</t>
        </r>
        <r>
          <rPr>
            <sz val="9"/>
            <color indexed="81"/>
            <rFont val="Tahoma"/>
            <family val="2"/>
          </rPr>
          <t xml:space="preserve">
if we're using cash to support a settlement or offset costs, it should show up here and not just in the revised revenue test.  The rev req is BPA's proposal so it should include everything.</t>
        </r>
      </text>
    </comment>
    <comment ref="A31" authorId="0" shapeId="0" xr:uid="{00000000-0006-0000-0600-000006000000}">
      <text>
        <r>
          <rPr>
            <b/>
            <sz val="9"/>
            <color indexed="81"/>
            <rFont val="Tahoma"/>
            <family val="2"/>
          </rPr>
          <t>Carlson,Tracy L (BPA):</t>
        </r>
        <r>
          <rPr>
            <sz val="9"/>
            <color indexed="81"/>
            <rFont val="Tahoma"/>
            <family val="2"/>
          </rPr>
          <t xml:space="preserve">
From outside source when they run their model, if there is a risk Fed repayment would not be made, they would provide "Planned Net Revenue for Risk"</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Michael D. Edwards</author>
    <author>Edwards,Michael D (BPA) - FTR-2</author>
    <author>BPA User</author>
  </authors>
  <commentList>
    <comment ref="B4" authorId="0" shapeId="0" xr:uid="{00000000-0006-0000-0700-000001000000}">
      <text>
        <r>
          <rPr>
            <b/>
            <sz val="9"/>
            <color indexed="81"/>
            <rFont val="Tahoma"/>
            <family val="2"/>
          </rPr>
          <t>Michael D. Edwards:</t>
        </r>
        <r>
          <rPr>
            <sz val="9"/>
            <color indexed="81"/>
            <rFont val="Tahoma"/>
            <family val="2"/>
          </rPr>
          <t xml:space="preserve">
Update to 3.00% after PreIPR, wasn't done given timing and its effect on Capital</t>
        </r>
      </text>
    </comment>
    <comment ref="A20" authorId="1" shapeId="0" xr:uid="{00000000-0006-0000-0700-000002000000}">
      <text>
        <r>
          <rPr>
            <b/>
            <sz val="9"/>
            <color indexed="81"/>
            <rFont val="Tahoma"/>
            <family val="2"/>
          </rPr>
          <t>Edwards,Michael D (BPA) - FTR-2:</t>
        </r>
        <r>
          <rPr>
            <sz val="9"/>
            <color indexed="81"/>
            <rFont val="Tahoma"/>
            <family val="2"/>
          </rPr>
          <t xml:space="preserve">
May not include Corpt portion, is reduced by radio spectrum.</t>
        </r>
      </text>
    </comment>
    <comment ref="J28" authorId="2" shapeId="0" xr:uid="{00000000-0006-0000-0700-000003000000}">
      <text>
        <r>
          <rPr>
            <b/>
            <sz val="9"/>
            <color indexed="81"/>
            <rFont val="Tahoma"/>
            <family val="2"/>
          </rPr>
          <t>BPA User:</t>
        </r>
        <r>
          <rPr>
            <sz val="9"/>
            <color indexed="81"/>
            <rFont val="Tahoma"/>
            <family val="2"/>
          </rPr>
          <t xml:space="preserve">
Latest forecast broken down by business line received from Kathy Rehmer.</t>
        </r>
      </text>
    </comment>
    <comment ref="M35" authorId="1" shapeId="0" xr:uid="{00000000-0006-0000-0700-000004000000}">
      <text>
        <r>
          <rPr>
            <b/>
            <sz val="9"/>
            <color indexed="81"/>
            <rFont val="Tahoma"/>
            <family val="2"/>
          </rPr>
          <t>Edwards,Michael D (BPA) - FTR-2:</t>
        </r>
        <r>
          <rPr>
            <sz val="9"/>
            <color indexed="81"/>
            <rFont val="Tahoma"/>
            <family val="2"/>
          </rPr>
          <t xml:space="preserve">
Lennox pointed out that AFUDC is not supposed to be calculated on customer funded projects</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Carlson,Tracy L (BPA)</author>
  </authors>
  <commentList>
    <comment ref="B23" authorId="0" shapeId="0" xr:uid="{00000000-0006-0000-0800-000001000000}">
      <text>
        <r>
          <rPr>
            <b/>
            <sz val="9"/>
            <color indexed="81"/>
            <rFont val="Tahoma"/>
            <family val="2"/>
          </rPr>
          <t>Carlson,Tracy L (BPA):</t>
        </r>
        <r>
          <rPr>
            <sz val="9"/>
            <color indexed="81"/>
            <rFont val="Tahoma"/>
            <family val="2"/>
          </rPr>
          <t xml:space="preserve">
remains constant at Fy22Q2 forecast number (was Rev Req Row 104)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Carlson,Tracy L (BPA)</author>
    <author>Edwards,Michael D (BPA) - FTR-2</author>
    <author>BPA User</author>
    <author>Stephanie Adams</author>
  </authors>
  <commentList>
    <comment ref="B18" authorId="0" shapeId="0" xr:uid="{00000000-0006-0000-0900-000001000000}">
      <text>
        <r>
          <rPr>
            <b/>
            <sz val="9"/>
            <color indexed="81"/>
            <rFont val="Tahoma"/>
            <family val="2"/>
          </rPr>
          <t>Carlson,Tracy L (BPA):</t>
        </r>
        <r>
          <rPr>
            <sz val="9"/>
            <color indexed="81"/>
            <rFont val="Tahoma"/>
            <family val="2"/>
          </rPr>
          <t xml:space="preserve">
Power section is used in the section below for input into Repayment Runs
</t>
        </r>
      </text>
    </comment>
    <comment ref="B24" authorId="1" shapeId="0" xr:uid="{00000000-0006-0000-0900-000002000000}">
      <text>
        <r>
          <rPr>
            <b/>
            <sz val="9"/>
            <color indexed="81"/>
            <rFont val="Tahoma"/>
            <family val="2"/>
          </rPr>
          <t>Edwards,Michael D (BPA) - FTR-2:</t>
        </r>
        <r>
          <rPr>
            <sz val="9"/>
            <color indexed="81"/>
            <rFont val="Tahoma"/>
            <family val="2"/>
          </rPr>
          <t xml:space="preserve">
Comes from Lennox, currently hard coded, previously linked</t>
        </r>
      </text>
    </comment>
    <comment ref="C31" authorId="2" shapeId="0" xr:uid="{00000000-0006-0000-0900-000003000000}">
      <text>
        <r>
          <rPr>
            <b/>
            <sz val="9"/>
            <color indexed="81"/>
            <rFont val="Tahoma"/>
            <family val="2"/>
          </rPr>
          <t>BPA User:</t>
        </r>
        <r>
          <rPr>
            <sz val="9"/>
            <color indexed="81"/>
            <rFont val="Tahoma"/>
            <family val="2"/>
          </rPr>
          <t xml:space="preserve">
Includes indirect (as this was the largest portion of spending, indirects applied here)</t>
        </r>
      </text>
    </comment>
    <comment ref="B35" authorId="0" shapeId="0" xr:uid="{00000000-0006-0000-0900-000004000000}">
      <text>
        <r>
          <rPr>
            <b/>
            <sz val="9"/>
            <color indexed="81"/>
            <rFont val="Tahoma"/>
            <family val="2"/>
          </rPr>
          <t>Carlson,Tracy L (BPA):</t>
        </r>
        <r>
          <rPr>
            <sz val="9"/>
            <color indexed="81"/>
            <rFont val="Tahoma"/>
            <family val="2"/>
          </rPr>
          <t xml:space="preserve">
Lapse Factor of -10% is built into the capital file</t>
        </r>
      </text>
    </comment>
    <comment ref="B43" authorId="1" shapeId="0" xr:uid="{00000000-0006-0000-0900-000005000000}">
      <text>
        <r>
          <rPr>
            <b/>
            <sz val="9"/>
            <color indexed="81"/>
            <rFont val="Tahoma"/>
            <family val="2"/>
          </rPr>
          <t>Edwards,Michael D (BPA) - FTR-2:</t>
        </r>
        <r>
          <rPr>
            <sz val="9"/>
            <color indexed="81"/>
            <rFont val="Tahoma"/>
            <family val="2"/>
          </rPr>
          <t xml:space="preserve">
IT Application/sustems support (Software) Doesn't exist on preliminary capital file, IT CORPT PROJECTS DOES</t>
        </r>
      </text>
    </comment>
    <comment ref="B44" authorId="3" shapeId="0" xr:uid="{00000000-0006-0000-0900-000006000000}">
      <text>
        <r>
          <rPr>
            <b/>
            <sz val="9"/>
            <color indexed="81"/>
            <rFont val="Tahoma"/>
            <family val="2"/>
          </rPr>
          <t>Stephanie Adams:</t>
        </r>
        <r>
          <rPr>
            <sz val="9"/>
            <color indexed="81"/>
            <rFont val="Tahoma"/>
            <family val="2"/>
          </rPr>
          <t xml:space="preserve">
This is 100% assigned to Power. It is the Pisces Project. </t>
        </r>
      </text>
    </comment>
    <comment ref="D58" authorId="0" shapeId="0" xr:uid="{00000000-0006-0000-0900-000007000000}">
      <text>
        <r>
          <rPr>
            <b/>
            <sz val="9"/>
            <color indexed="81"/>
            <rFont val="Tahoma"/>
            <family val="2"/>
          </rPr>
          <t>Carlson,Tracy L (BPA):</t>
        </r>
        <r>
          <rPr>
            <sz val="9"/>
            <color indexed="81"/>
            <rFont val="Tahoma"/>
            <family val="2"/>
          </rPr>
          <t xml:space="preserve">
used in Rev Req tab
</t>
        </r>
      </text>
    </comment>
    <comment ref="D67" authorId="0" shapeId="0" xr:uid="{00000000-0006-0000-0900-000008000000}">
      <text>
        <r>
          <rPr>
            <b/>
            <sz val="9"/>
            <color indexed="81"/>
            <rFont val="Tahoma"/>
            <family val="2"/>
          </rPr>
          <t>Carlson,Tracy L (BPA):</t>
        </r>
        <r>
          <rPr>
            <sz val="9"/>
            <color indexed="81"/>
            <rFont val="Tahoma"/>
            <family val="2"/>
          </rPr>
          <t xml:space="preserve">
Remove $5000 of Rev financing
</t>
        </r>
      </text>
    </comment>
    <comment ref="A76" authorId="0" shapeId="0" xr:uid="{00000000-0006-0000-0900-000009000000}">
      <text>
        <r>
          <rPr>
            <b/>
            <sz val="9"/>
            <color indexed="81"/>
            <rFont val="Tahoma"/>
            <family val="2"/>
          </rPr>
          <t>Carlson,Tracy L (BPA):</t>
        </r>
        <r>
          <rPr>
            <sz val="9"/>
            <color indexed="81"/>
            <rFont val="Tahoma"/>
            <family val="2"/>
          </rPr>
          <t xml:space="preserve">
This is no longer used as AFUDC is not calculated using Customer Funded Capital</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Carlson,Tracy L (BPA)</author>
    <author>Michael D. Edwards</author>
  </authors>
  <commentList>
    <comment ref="F6" authorId="0" shapeId="0" xr:uid="{00000000-0006-0000-0A00-000002000000}">
      <text>
        <r>
          <rPr>
            <b/>
            <sz val="9"/>
            <color indexed="81"/>
            <rFont val="Tahoma"/>
            <family val="2"/>
          </rPr>
          <t>Carlson,Tracy L (BPA):</t>
        </r>
        <r>
          <rPr>
            <sz val="9"/>
            <color indexed="81"/>
            <rFont val="Tahoma"/>
            <family val="2"/>
          </rPr>
          <t xml:space="preserve">
There is an error in the formula caught too late to change, for BP26, make sure the formula ends with adding the interest income line</t>
        </r>
      </text>
    </comment>
    <comment ref="A32" authorId="1" shapeId="0" xr:uid="{00000000-0006-0000-0A00-00000C000000}">
      <text>
        <r>
          <rPr>
            <b/>
            <sz val="9"/>
            <color indexed="81"/>
            <rFont val="Tahoma"/>
            <family val="2"/>
          </rPr>
          <t>Michael D. Edwards:</t>
        </r>
        <r>
          <rPr>
            <sz val="9"/>
            <color indexed="81"/>
            <rFont val="Tahoma"/>
            <family val="2"/>
          </rPr>
          <t xml:space="preserve">
While it appears these reference are off by one name in the repayment output, it is offset (minus 1) so that thetotal from the previous row is grabbed, this formula is not fool proof and should be regularly qc'd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Miranda Gestrin</author>
    <author>Stephanie Adams</author>
    <author>BPA User</author>
  </authors>
  <commentList>
    <comment ref="G25" authorId="0" shapeId="0" xr:uid="{00000000-0006-0000-0D00-000001000000}">
      <text>
        <r>
          <rPr>
            <b/>
            <sz val="9"/>
            <color indexed="81"/>
            <rFont val="Tahoma"/>
            <family val="2"/>
          </rPr>
          <t>Miranda Gestrin:</t>
        </r>
        <r>
          <rPr>
            <sz val="9"/>
            <color indexed="81"/>
            <rFont val="Tahoma"/>
            <family val="2"/>
          </rPr>
          <t xml:space="preserve">
COI depreciation (Southern Intertie) hardcoded for FY 2018 &amp; FY 2019 to BP-18 FP as COI is repaid in FY 2019 and it will no longer have an adjustment within the model moving forward</t>
        </r>
      </text>
    </comment>
    <comment ref="F30" authorId="1" shapeId="0" xr:uid="{00000000-0006-0000-0D00-000002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1" shapeId="0" xr:uid="{00000000-0006-0000-0D00-000003000000}">
      <text>
        <r>
          <rPr>
            <b/>
            <sz val="9"/>
            <color indexed="81"/>
            <rFont val="Tahoma"/>
            <family val="2"/>
          </rPr>
          <t>Stephanie Adams:</t>
        </r>
        <r>
          <rPr>
            <sz val="9"/>
            <color indexed="81"/>
            <rFont val="Tahoma"/>
            <family val="2"/>
          </rPr>
          <t xml:space="preserve">
Pick up Southern Intertie Intangible
</t>
        </r>
      </text>
    </comment>
    <comment ref="D41" authorId="1" shapeId="0" xr:uid="{00000000-0006-0000-0D00-000004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0" shapeId="0" xr:uid="{00000000-0006-0000-0D00-000005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0" shapeId="0" xr:uid="{00000000-0006-0000-0D00-000006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M41" authorId="0" shapeId="0" xr:uid="{00000000-0006-0000-0D00-000007000000}">
      <text>
        <r>
          <rPr>
            <b/>
            <sz val="9"/>
            <color indexed="81"/>
            <rFont val="Tahoma"/>
            <family val="2"/>
          </rPr>
          <t>Miranda Gestrin:</t>
        </r>
        <r>
          <rPr>
            <sz val="9"/>
            <color indexed="81"/>
            <rFont val="Tahoma"/>
            <family val="2"/>
          </rPr>
          <t xml:space="preserve">
From prior data structure, have to back out the TOP contracts to create the view for 2018/2019. Moving forward, TOP contracts do not need to be backed out of Tech Ops, because they are now separated into their own line item.</t>
        </r>
      </text>
    </comment>
    <comment ref="K53" authorId="2" shapeId="0" xr:uid="{00000000-0006-0000-0D00-000008000000}">
      <text>
        <r>
          <rPr>
            <b/>
            <sz val="9"/>
            <color indexed="81"/>
            <rFont val="Tahoma"/>
            <family val="2"/>
          </rPr>
          <t>BPA User:</t>
        </r>
        <r>
          <rPr>
            <sz val="9"/>
            <color indexed="81"/>
            <rFont val="Tahoma"/>
            <family val="2"/>
          </rPr>
          <t xml:space="preserve">
Hardcode adjustment for WECC PEAK Cost
</t>
        </r>
      </text>
    </comment>
    <comment ref="F59" authorId="2" shapeId="0" xr:uid="{00000000-0006-0000-0D00-000009000000}">
      <text>
        <r>
          <rPr>
            <b/>
            <sz val="9"/>
            <color indexed="81"/>
            <rFont val="Tahoma"/>
            <family val="2"/>
          </rPr>
          <t>BPA User:</t>
        </r>
        <r>
          <rPr>
            <sz val="9"/>
            <color indexed="81"/>
            <rFont val="Tahoma"/>
            <family val="2"/>
          </rPr>
          <t xml:space="preserve">
Percentage from Power Info from Alex</t>
        </r>
      </text>
    </comment>
    <comment ref="I59" authorId="2" shapeId="0" xr:uid="{00000000-0006-0000-0D00-00000A000000}">
      <text>
        <r>
          <rPr>
            <b/>
            <sz val="9"/>
            <color indexed="81"/>
            <rFont val="Tahoma"/>
            <family val="2"/>
          </rPr>
          <t>BPA User:</t>
        </r>
        <r>
          <rPr>
            <sz val="9"/>
            <color indexed="81"/>
            <rFont val="Tahoma"/>
            <family val="2"/>
          </rPr>
          <t xml:space="preserve">
Percentage from Power Info from Alex</t>
        </r>
      </text>
    </comment>
    <comment ref="G62" authorId="1" shapeId="0" xr:uid="{00000000-0006-0000-0D00-00000B000000}">
      <text>
        <r>
          <rPr>
            <b/>
            <sz val="9"/>
            <color indexed="81"/>
            <rFont val="Tahoma"/>
            <family val="2"/>
          </rPr>
          <t>Stephanie Adams:</t>
        </r>
        <r>
          <rPr>
            <sz val="9"/>
            <color indexed="81"/>
            <rFont val="Tahoma"/>
            <family val="2"/>
          </rPr>
          <t xml:space="preserve">
From Gen Inputs/Alex Tbl 4.1-4.3</t>
        </r>
      </text>
    </comment>
    <comment ref="A67" authorId="1" shapeId="0" xr:uid="{00000000-0006-0000-0D00-00000C000000}">
      <text>
        <r>
          <rPr>
            <b/>
            <sz val="9"/>
            <color indexed="81"/>
            <rFont val="Tahoma"/>
            <family val="2"/>
          </rPr>
          <t>Stephanie Adams:</t>
        </r>
        <r>
          <rPr>
            <sz val="9"/>
            <color indexed="81"/>
            <rFont val="Tahoma"/>
            <family val="2"/>
          </rPr>
          <t xml:space="preserve">
Based on net plant allocation</t>
        </r>
      </text>
    </comment>
    <comment ref="K67" authorId="0" shapeId="0" xr:uid="{00000000-0006-0000-0D00-00000D000000}">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Miranda Gestrin</author>
    <author>Stephanie Adams</author>
    <author>BPA User</author>
  </authors>
  <commentList>
    <comment ref="G25" authorId="0" shapeId="0" xr:uid="{00000000-0006-0000-0E00-000001000000}">
      <text>
        <r>
          <rPr>
            <b/>
            <sz val="9"/>
            <color indexed="81"/>
            <rFont val="Tahoma"/>
            <family val="2"/>
          </rPr>
          <t>Miranda Gestrin:</t>
        </r>
        <r>
          <rPr>
            <sz val="9"/>
            <color indexed="81"/>
            <rFont val="Tahoma"/>
            <family val="2"/>
          </rPr>
          <t xml:space="preserve">
COI depreciation (Southern Intertie) hardcoded for FY 2018 &amp; FY 2019 to BP-18 FP as COI is repaid in FY 2019 and it will no longer have an adjustment within the model moving forward</t>
        </r>
      </text>
    </comment>
    <comment ref="F30" authorId="1" shapeId="0" xr:uid="{00000000-0006-0000-0E00-000002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1" shapeId="0" xr:uid="{00000000-0006-0000-0E00-000003000000}">
      <text>
        <r>
          <rPr>
            <b/>
            <sz val="9"/>
            <color indexed="81"/>
            <rFont val="Tahoma"/>
            <family val="2"/>
          </rPr>
          <t>Stephanie Adams:</t>
        </r>
        <r>
          <rPr>
            <sz val="9"/>
            <color indexed="81"/>
            <rFont val="Tahoma"/>
            <family val="2"/>
          </rPr>
          <t xml:space="preserve">
Pick up Southern Intertie Intangible
</t>
        </r>
      </text>
    </comment>
    <comment ref="D41" authorId="1" shapeId="0" xr:uid="{00000000-0006-0000-0E00-000004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0" shapeId="0" xr:uid="{00000000-0006-0000-0E00-000005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0" shapeId="0" xr:uid="{00000000-0006-0000-0E00-000006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L41" authorId="0" shapeId="0" xr:uid="{00000000-0006-0000-0E00-000007000000}">
      <text>
        <r>
          <rPr>
            <b/>
            <sz val="9"/>
            <color indexed="81"/>
            <rFont val="Tahoma"/>
            <family val="2"/>
          </rPr>
          <t>Miranda Gestrin:</t>
        </r>
        <r>
          <rPr>
            <sz val="9"/>
            <color indexed="81"/>
            <rFont val="Tahoma"/>
            <family val="2"/>
          </rPr>
          <t xml:space="preserve">
From prior data structure, have to back out the TOP contracts to create the view for 2018/2019. Moving forward, TOP contracts do not need to be backed out of Tech Ops, because they are now separated into their own line item.</t>
        </r>
      </text>
    </comment>
    <comment ref="K53" authorId="2" shapeId="0" xr:uid="{00000000-0006-0000-0E00-000008000000}">
      <text>
        <r>
          <rPr>
            <b/>
            <sz val="9"/>
            <color indexed="81"/>
            <rFont val="Tahoma"/>
            <family val="2"/>
          </rPr>
          <t>BPA User:</t>
        </r>
        <r>
          <rPr>
            <sz val="9"/>
            <color indexed="81"/>
            <rFont val="Tahoma"/>
            <family val="2"/>
          </rPr>
          <t xml:space="preserve">
Hardcode adjustment for WECC PEAK Cost
</t>
        </r>
      </text>
    </comment>
    <comment ref="F59" authorId="2" shapeId="0" xr:uid="{00000000-0006-0000-0E00-000009000000}">
      <text>
        <r>
          <rPr>
            <b/>
            <sz val="9"/>
            <color indexed="81"/>
            <rFont val="Tahoma"/>
            <family val="2"/>
          </rPr>
          <t>BPA User:</t>
        </r>
        <r>
          <rPr>
            <sz val="9"/>
            <color indexed="81"/>
            <rFont val="Tahoma"/>
            <family val="2"/>
          </rPr>
          <t xml:space="preserve">
Percentage from Power Info from Alex</t>
        </r>
      </text>
    </comment>
    <comment ref="I59" authorId="2" shapeId="0" xr:uid="{00000000-0006-0000-0E00-00000A000000}">
      <text>
        <r>
          <rPr>
            <b/>
            <sz val="9"/>
            <color indexed="81"/>
            <rFont val="Tahoma"/>
            <family val="2"/>
          </rPr>
          <t>BPA User:</t>
        </r>
        <r>
          <rPr>
            <sz val="9"/>
            <color indexed="81"/>
            <rFont val="Tahoma"/>
            <family val="2"/>
          </rPr>
          <t xml:space="preserve">
Percentage from Power Info from Alex</t>
        </r>
      </text>
    </comment>
    <comment ref="G62" authorId="1" shapeId="0" xr:uid="{00000000-0006-0000-0E00-00000B000000}">
      <text>
        <r>
          <rPr>
            <b/>
            <sz val="9"/>
            <color indexed="81"/>
            <rFont val="Tahoma"/>
            <family val="2"/>
          </rPr>
          <t>Stephanie Adams:</t>
        </r>
        <r>
          <rPr>
            <sz val="9"/>
            <color indexed="81"/>
            <rFont val="Tahoma"/>
            <family val="2"/>
          </rPr>
          <t xml:space="preserve">
From Gen Inputs/Alex Tbl 4.1-4.3</t>
        </r>
      </text>
    </comment>
    <comment ref="A67" authorId="1" shapeId="0" xr:uid="{00000000-0006-0000-0E00-00000C000000}">
      <text>
        <r>
          <rPr>
            <b/>
            <sz val="9"/>
            <color indexed="81"/>
            <rFont val="Tahoma"/>
            <family val="2"/>
          </rPr>
          <t>Stephanie Adams:</t>
        </r>
        <r>
          <rPr>
            <sz val="9"/>
            <color indexed="81"/>
            <rFont val="Tahoma"/>
            <family val="2"/>
          </rPr>
          <t xml:space="preserve">
Based on net plant allocation</t>
        </r>
      </text>
    </comment>
    <comment ref="K67" authorId="0" shapeId="0" xr:uid="{00000000-0006-0000-0E00-00000D000000}">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0F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0F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0F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0F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0F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0F00-000006000000}">
      <text>
        <r>
          <rPr>
            <b/>
            <sz val="9"/>
            <color indexed="81"/>
            <rFont val="Tahoma"/>
            <family val="2"/>
          </rPr>
          <t>BPA User:</t>
        </r>
        <r>
          <rPr>
            <sz val="9"/>
            <color indexed="81"/>
            <rFont val="Tahoma"/>
            <family val="2"/>
          </rPr>
          <t xml:space="preserve">
Hardcode adjustment for WECC PEAK Cost
</t>
        </r>
      </text>
    </comment>
    <comment ref="F59" authorId="2" shapeId="0" xr:uid="{00000000-0006-0000-0F00-000007000000}">
      <text>
        <r>
          <rPr>
            <b/>
            <sz val="9"/>
            <color indexed="81"/>
            <rFont val="Tahoma"/>
            <family val="2"/>
          </rPr>
          <t>BPA User:</t>
        </r>
        <r>
          <rPr>
            <sz val="9"/>
            <color indexed="81"/>
            <rFont val="Tahoma"/>
            <family val="2"/>
          </rPr>
          <t xml:space="preserve">
Percentage from Power Info from Alex</t>
        </r>
      </text>
    </comment>
    <comment ref="I59" authorId="2" shapeId="0" xr:uid="{00000000-0006-0000-0F00-000008000000}">
      <text>
        <r>
          <rPr>
            <b/>
            <sz val="9"/>
            <color indexed="81"/>
            <rFont val="Tahoma"/>
            <family val="2"/>
          </rPr>
          <t>BPA User:</t>
        </r>
        <r>
          <rPr>
            <sz val="9"/>
            <color indexed="81"/>
            <rFont val="Tahoma"/>
            <family val="2"/>
          </rPr>
          <t xml:space="preserve">
Percentage from Power Info from Alex</t>
        </r>
      </text>
    </comment>
    <comment ref="G62" authorId="0" shapeId="0" xr:uid="{00000000-0006-0000-0F00-000009000000}">
      <text>
        <r>
          <rPr>
            <b/>
            <sz val="9"/>
            <color indexed="81"/>
            <rFont val="Tahoma"/>
            <family val="2"/>
          </rPr>
          <t>Stephanie Adams:</t>
        </r>
        <r>
          <rPr>
            <sz val="9"/>
            <color indexed="81"/>
            <rFont val="Tahoma"/>
            <family val="2"/>
          </rPr>
          <t xml:space="preserve">
From Gen Inputs/Alex Tbl 4.1-4.3</t>
        </r>
      </text>
    </comment>
    <comment ref="A67" authorId="0" shapeId="0" xr:uid="{00000000-0006-0000-0F00-00000A000000}">
      <text>
        <r>
          <rPr>
            <b/>
            <sz val="9"/>
            <color indexed="81"/>
            <rFont val="Tahoma"/>
            <family val="2"/>
          </rPr>
          <t>Stephanie Adams:</t>
        </r>
        <r>
          <rPr>
            <sz val="9"/>
            <color indexed="81"/>
            <rFont val="Tahoma"/>
            <family val="2"/>
          </rPr>
          <t xml:space="preserve">
Based on net plant allocation</t>
        </r>
      </text>
    </comment>
    <comment ref="K67" authorId="1" shapeId="0" xr:uid="{00000000-0006-0000-0F00-00000B000000}">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2.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Lennox,Alexander (BPA) - FTR-2</author>
  </authors>
  <commentList>
    <comment ref="F30" authorId="0" shapeId="0" xr:uid="{00000000-0006-0000-13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3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3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3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3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300-000006000000}">
      <text>
        <r>
          <rPr>
            <b/>
            <sz val="9"/>
            <color indexed="81"/>
            <rFont val="Tahoma"/>
            <family val="2"/>
          </rPr>
          <t>BPA User:</t>
        </r>
        <r>
          <rPr>
            <sz val="9"/>
            <color indexed="81"/>
            <rFont val="Tahoma"/>
            <family val="2"/>
          </rPr>
          <t xml:space="preserve">
Hardcode adjustment for WECC PEAK Cost
</t>
        </r>
      </text>
    </comment>
    <comment ref="F59" authorId="2" shapeId="0" xr:uid="{00000000-0006-0000-1300-000007000000}">
      <text>
        <r>
          <rPr>
            <b/>
            <sz val="9"/>
            <color indexed="81"/>
            <rFont val="Tahoma"/>
            <family val="2"/>
          </rPr>
          <t>BPA User:</t>
        </r>
        <r>
          <rPr>
            <sz val="9"/>
            <color indexed="81"/>
            <rFont val="Tahoma"/>
            <family val="2"/>
          </rPr>
          <t xml:space="preserve">
Percentage from Power Info from Alex</t>
        </r>
      </text>
    </comment>
    <comment ref="I59" authorId="2" shapeId="0" xr:uid="{00000000-0006-0000-1300-000008000000}">
      <text>
        <r>
          <rPr>
            <b/>
            <sz val="9"/>
            <color indexed="81"/>
            <rFont val="Tahoma"/>
            <family val="2"/>
          </rPr>
          <t>BPA User:</t>
        </r>
        <r>
          <rPr>
            <sz val="9"/>
            <color indexed="81"/>
            <rFont val="Tahoma"/>
            <family val="2"/>
          </rPr>
          <t xml:space="preserve">
Percentage from Power Info from Alex</t>
        </r>
      </text>
    </comment>
    <comment ref="A68" authorId="0" shapeId="0" xr:uid="{00000000-0006-0000-1300-000009000000}">
      <text>
        <r>
          <rPr>
            <b/>
            <sz val="9"/>
            <color indexed="81"/>
            <rFont val="Tahoma"/>
            <family val="2"/>
          </rPr>
          <t>Stephanie Adams:</t>
        </r>
        <r>
          <rPr>
            <sz val="9"/>
            <color indexed="81"/>
            <rFont val="Tahoma"/>
            <family val="2"/>
          </rPr>
          <t xml:space="preserve">
Based on net plant allocation</t>
        </r>
      </text>
    </comment>
    <comment ref="K68" authorId="1" shapeId="0" xr:uid="{00000000-0006-0000-1300-00000A000000}">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 ref="D76" authorId="3" shapeId="0" xr:uid="{00000000-0006-0000-1300-00000B000000}">
      <text>
        <r>
          <rPr>
            <b/>
            <sz val="9"/>
            <color indexed="81"/>
            <rFont val="Tahoma"/>
            <family val="2"/>
          </rPr>
          <t>Lennox,Alexander (BPA) - FTR-2:</t>
        </r>
        <r>
          <rPr>
            <sz val="9"/>
            <color indexed="81"/>
            <rFont val="Tahoma"/>
            <family val="2"/>
          </rPr>
          <t xml:space="preserve">
NEW EIM COST -- SAME FOR ALL YEARS THROUGH 2030</t>
        </r>
      </text>
    </comment>
  </commentList>
</comments>
</file>

<file path=xl/comments13.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4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4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4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4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4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400-000006000000}">
      <text>
        <r>
          <rPr>
            <b/>
            <sz val="9"/>
            <color indexed="81"/>
            <rFont val="Tahoma"/>
            <family val="2"/>
          </rPr>
          <t>BPA User:</t>
        </r>
        <r>
          <rPr>
            <sz val="9"/>
            <color indexed="81"/>
            <rFont val="Tahoma"/>
            <family val="2"/>
          </rPr>
          <t xml:space="preserve">
Hardcode adjustment for WECC PEAK Cost
</t>
        </r>
      </text>
    </comment>
    <comment ref="F59" authorId="2" shapeId="0" xr:uid="{00000000-0006-0000-1400-000007000000}">
      <text>
        <r>
          <rPr>
            <b/>
            <sz val="9"/>
            <color indexed="81"/>
            <rFont val="Tahoma"/>
            <family val="2"/>
          </rPr>
          <t>BPA User:</t>
        </r>
        <r>
          <rPr>
            <sz val="9"/>
            <color indexed="81"/>
            <rFont val="Tahoma"/>
            <family val="2"/>
          </rPr>
          <t xml:space="preserve">
Percentage from Power Info from Alex</t>
        </r>
      </text>
    </comment>
    <comment ref="I59" authorId="2" shapeId="0" xr:uid="{00000000-0006-0000-1400-000008000000}">
      <text>
        <r>
          <rPr>
            <b/>
            <sz val="9"/>
            <color indexed="81"/>
            <rFont val="Tahoma"/>
            <family val="2"/>
          </rPr>
          <t>BPA User:</t>
        </r>
        <r>
          <rPr>
            <sz val="9"/>
            <color indexed="81"/>
            <rFont val="Tahoma"/>
            <family val="2"/>
          </rPr>
          <t xml:space="preserve">
Percentage from Power Info from Alex</t>
        </r>
      </text>
    </comment>
    <comment ref="A68" authorId="0" shapeId="0" xr:uid="{00000000-0006-0000-1400-000009000000}">
      <text>
        <r>
          <rPr>
            <b/>
            <sz val="9"/>
            <color indexed="81"/>
            <rFont val="Tahoma"/>
            <family val="2"/>
          </rPr>
          <t>Stephanie Adams:</t>
        </r>
        <r>
          <rPr>
            <sz val="9"/>
            <color indexed="81"/>
            <rFont val="Tahoma"/>
            <family val="2"/>
          </rPr>
          <t xml:space="preserve">
Based on net plant allocation</t>
        </r>
      </text>
    </comment>
    <comment ref="K68" authorId="1" shapeId="0" xr:uid="{00000000-0006-0000-1400-00000A000000}">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4.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8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8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8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8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8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800-000006000000}">
      <text>
        <r>
          <rPr>
            <b/>
            <sz val="9"/>
            <color indexed="81"/>
            <rFont val="Tahoma"/>
            <family val="2"/>
          </rPr>
          <t>BPA User:</t>
        </r>
        <r>
          <rPr>
            <sz val="9"/>
            <color indexed="81"/>
            <rFont val="Tahoma"/>
            <family val="2"/>
          </rPr>
          <t xml:space="preserve">
Hardcode adjustment for WECC PEAK Cost
</t>
        </r>
      </text>
    </comment>
    <comment ref="F59" authorId="2" shapeId="0" xr:uid="{BF7D6F65-7E03-48DC-B888-FE50D6CFA10C}">
      <text>
        <r>
          <rPr>
            <b/>
            <sz val="9"/>
            <color indexed="81"/>
            <rFont val="Tahoma"/>
            <family val="2"/>
          </rPr>
          <t>BPA User:</t>
        </r>
        <r>
          <rPr>
            <sz val="9"/>
            <color indexed="81"/>
            <rFont val="Tahoma"/>
            <family val="2"/>
          </rPr>
          <t xml:space="preserve">
Percentage from Power Info from Alex</t>
        </r>
      </text>
    </comment>
    <comment ref="I59" authorId="2" shapeId="0" xr:uid="{F4F0E9B2-19DC-4EE9-BD6E-CA216F27DEE5}">
      <text>
        <r>
          <rPr>
            <b/>
            <sz val="9"/>
            <color indexed="81"/>
            <rFont val="Tahoma"/>
            <family val="2"/>
          </rPr>
          <t>BPA User:</t>
        </r>
        <r>
          <rPr>
            <sz val="9"/>
            <color indexed="81"/>
            <rFont val="Tahoma"/>
            <family val="2"/>
          </rPr>
          <t xml:space="preserve">
Percentage from Power Info from Alex</t>
        </r>
      </text>
    </comment>
    <comment ref="A68" authorId="0" shapeId="0" xr:uid="{00000000-0006-0000-1800-000009000000}">
      <text>
        <r>
          <rPr>
            <b/>
            <sz val="9"/>
            <color indexed="81"/>
            <rFont val="Tahoma"/>
            <family val="2"/>
          </rPr>
          <t>Stephanie Adams:</t>
        </r>
        <r>
          <rPr>
            <sz val="9"/>
            <color indexed="81"/>
            <rFont val="Tahoma"/>
            <family val="2"/>
          </rPr>
          <t xml:space="preserve">
Based on net plant allocation</t>
        </r>
      </text>
    </comment>
    <comment ref="K68" authorId="1" shapeId="0" xr:uid="{DAECC335-90E9-4C52-93F1-810F791A8D8D}">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5.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9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9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9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9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9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900-000006000000}">
      <text>
        <r>
          <rPr>
            <b/>
            <sz val="9"/>
            <color indexed="81"/>
            <rFont val="Tahoma"/>
            <family val="2"/>
          </rPr>
          <t>BPA User:</t>
        </r>
        <r>
          <rPr>
            <sz val="9"/>
            <color indexed="81"/>
            <rFont val="Tahoma"/>
            <family val="2"/>
          </rPr>
          <t xml:space="preserve">
Hardcode adjustment for WECC PEAK Cost
</t>
        </r>
      </text>
    </comment>
    <comment ref="F59" authorId="2" shapeId="0" xr:uid="{969384CE-3E7D-45CC-909A-DD331BDC0A3E}">
      <text>
        <r>
          <rPr>
            <b/>
            <sz val="9"/>
            <color indexed="81"/>
            <rFont val="Tahoma"/>
            <family val="2"/>
          </rPr>
          <t>BPA User:</t>
        </r>
        <r>
          <rPr>
            <sz val="9"/>
            <color indexed="81"/>
            <rFont val="Tahoma"/>
            <family val="2"/>
          </rPr>
          <t xml:space="preserve">
Percentage from Power Info from Alex</t>
        </r>
      </text>
    </comment>
    <comment ref="I59" authorId="2" shapeId="0" xr:uid="{A84E91DB-48A2-43EF-9751-77CD35A75977}">
      <text>
        <r>
          <rPr>
            <b/>
            <sz val="9"/>
            <color indexed="81"/>
            <rFont val="Tahoma"/>
            <family val="2"/>
          </rPr>
          <t>BPA User:</t>
        </r>
        <r>
          <rPr>
            <sz val="9"/>
            <color indexed="81"/>
            <rFont val="Tahoma"/>
            <family val="2"/>
          </rPr>
          <t xml:space="preserve">
Percentage from Power Info from Alex</t>
        </r>
      </text>
    </comment>
    <comment ref="A68" authorId="0" shapeId="0" xr:uid="{00000000-0006-0000-1900-000009000000}">
      <text>
        <r>
          <rPr>
            <b/>
            <sz val="9"/>
            <color indexed="81"/>
            <rFont val="Tahoma"/>
            <family val="2"/>
          </rPr>
          <t>Stephanie Adams:</t>
        </r>
        <r>
          <rPr>
            <sz val="9"/>
            <color indexed="81"/>
            <rFont val="Tahoma"/>
            <family val="2"/>
          </rPr>
          <t xml:space="preserve">
Based on net plant allocation</t>
        </r>
      </text>
    </comment>
    <comment ref="K68" authorId="1" shapeId="0" xr:uid="{48529DD7-16C8-497E-A3D8-606C13F4EA4C}">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6.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A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A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A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A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A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A00-000006000000}">
      <text>
        <r>
          <rPr>
            <b/>
            <sz val="9"/>
            <color indexed="81"/>
            <rFont val="Tahoma"/>
            <family val="2"/>
          </rPr>
          <t>BPA User:</t>
        </r>
        <r>
          <rPr>
            <sz val="9"/>
            <color indexed="81"/>
            <rFont val="Tahoma"/>
            <family val="2"/>
          </rPr>
          <t xml:space="preserve">
Hardcode adjustment for WECC PEAK Cost
</t>
        </r>
      </text>
    </comment>
    <comment ref="F59" authorId="2" shapeId="0" xr:uid="{F51138BB-2E01-4E11-9C5D-9E63FB6006B9}">
      <text>
        <r>
          <rPr>
            <b/>
            <sz val="9"/>
            <color indexed="81"/>
            <rFont val="Tahoma"/>
            <family val="2"/>
          </rPr>
          <t>BPA User:</t>
        </r>
        <r>
          <rPr>
            <sz val="9"/>
            <color indexed="81"/>
            <rFont val="Tahoma"/>
            <family val="2"/>
          </rPr>
          <t xml:space="preserve">
Percentage from Power Info from Alex</t>
        </r>
      </text>
    </comment>
    <comment ref="I59" authorId="2" shapeId="0" xr:uid="{BAAD3FBC-2CE8-4FD2-9705-4CD617DEA926}">
      <text>
        <r>
          <rPr>
            <b/>
            <sz val="9"/>
            <color indexed="81"/>
            <rFont val="Tahoma"/>
            <family val="2"/>
          </rPr>
          <t>BPA User:</t>
        </r>
        <r>
          <rPr>
            <sz val="9"/>
            <color indexed="81"/>
            <rFont val="Tahoma"/>
            <family val="2"/>
          </rPr>
          <t xml:space="preserve">
Percentage from Power Info from Alex</t>
        </r>
      </text>
    </comment>
    <comment ref="A68" authorId="0" shapeId="0" xr:uid="{00000000-0006-0000-1A00-000009000000}">
      <text>
        <r>
          <rPr>
            <b/>
            <sz val="9"/>
            <color indexed="81"/>
            <rFont val="Tahoma"/>
            <family val="2"/>
          </rPr>
          <t>Stephanie Adams:</t>
        </r>
        <r>
          <rPr>
            <sz val="9"/>
            <color indexed="81"/>
            <rFont val="Tahoma"/>
            <family val="2"/>
          </rPr>
          <t xml:space="preserve">
Based on net plant allocation</t>
        </r>
      </text>
    </comment>
    <comment ref="K68" authorId="1" shapeId="0" xr:uid="{71A56195-BA80-40C5-863D-BED736EFA9DD}">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7.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B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B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B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B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B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B00-000006000000}">
      <text>
        <r>
          <rPr>
            <b/>
            <sz val="9"/>
            <color indexed="81"/>
            <rFont val="Tahoma"/>
            <family val="2"/>
          </rPr>
          <t>BPA User:</t>
        </r>
        <r>
          <rPr>
            <sz val="9"/>
            <color indexed="81"/>
            <rFont val="Tahoma"/>
            <family val="2"/>
          </rPr>
          <t xml:space="preserve">
Hardcode adjustment for WECC PEAK Cost
</t>
        </r>
      </text>
    </comment>
    <comment ref="F59" authorId="2" shapeId="0" xr:uid="{A14665DD-851D-4CEC-BB27-A905764044A7}">
      <text>
        <r>
          <rPr>
            <b/>
            <sz val="9"/>
            <color indexed="81"/>
            <rFont val="Tahoma"/>
            <family val="2"/>
          </rPr>
          <t>BPA User:</t>
        </r>
        <r>
          <rPr>
            <sz val="9"/>
            <color indexed="81"/>
            <rFont val="Tahoma"/>
            <family val="2"/>
          </rPr>
          <t xml:space="preserve">
Percentage from Power Info from Alex</t>
        </r>
      </text>
    </comment>
    <comment ref="I59" authorId="2" shapeId="0" xr:uid="{5049E2B6-22D0-4313-A7B3-87077155D6BF}">
      <text>
        <r>
          <rPr>
            <b/>
            <sz val="9"/>
            <color indexed="81"/>
            <rFont val="Tahoma"/>
            <family val="2"/>
          </rPr>
          <t>BPA User:</t>
        </r>
        <r>
          <rPr>
            <sz val="9"/>
            <color indexed="81"/>
            <rFont val="Tahoma"/>
            <family val="2"/>
          </rPr>
          <t xml:space="preserve">
Percentage from Power Info from Alex</t>
        </r>
      </text>
    </comment>
    <comment ref="A68" authorId="0" shapeId="0" xr:uid="{00000000-0006-0000-1B00-000009000000}">
      <text>
        <r>
          <rPr>
            <b/>
            <sz val="9"/>
            <color indexed="81"/>
            <rFont val="Tahoma"/>
            <family val="2"/>
          </rPr>
          <t>Stephanie Adams:</t>
        </r>
        <r>
          <rPr>
            <sz val="9"/>
            <color indexed="81"/>
            <rFont val="Tahoma"/>
            <family val="2"/>
          </rPr>
          <t xml:space="preserve">
Based on net plant allocation</t>
        </r>
      </text>
    </comment>
    <comment ref="K68" authorId="1" shapeId="0" xr:uid="{535D5EB7-5492-4FF7-809D-2583434A3779}">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8.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C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C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C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C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C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C00-000006000000}">
      <text>
        <r>
          <rPr>
            <b/>
            <sz val="9"/>
            <color indexed="81"/>
            <rFont val="Tahoma"/>
            <family val="2"/>
          </rPr>
          <t>BPA User:</t>
        </r>
        <r>
          <rPr>
            <sz val="9"/>
            <color indexed="81"/>
            <rFont val="Tahoma"/>
            <family val="2"/>
          </rPr>
          <t xml:space="preserve">
Hardcode adjustment for WECC PEAK Cost
</t>
        </r>
      </text>
    </comment>
    <comment ref="F59" authorId="2" shapeId="0" xr:uid="{38A1A621-0A9C-4249-8ABC-4CA5E106C0F3}">
      <text>
        <r>
          <rPr>
            <b/>
            <sz val="9"/>
            <color indexed="81"/>
            <rFont val="Tahoma"/>
            <family val="2"/>
          </rPr>
          <t>BPA User:</t>
        </r>
        <r>
          <rPr>
            <sz val="9"/>
            <color indexed="81"/>
            <rFont val="Tahoma"/>
            <family val="2"/>
          </rPr>
          <t xml:space="preserve">
Percentage from Power Info from Alex</t>
        </r>
      </text>
    </comment>
    <comment ref="I59" authorId="2" shapeId="0" xr:uid="{23957E41-3643-40DA-94A6-5D04D988DF77}">
      <text>
        <r>
          <rPr>
            <b/>
            <sz val="9"/>
            <color indexed="81"/>
            <rFont val="Tahoma"/>
            <family val="2"/>
          </rPr>
          <t>BPA User:</t>
        </r>
        <r>
          <rPr>
            <sz val="9"/>
            <color indexed="81"/>
            <rFont val="Tahoma"/>
            <family val="2"/>
          </rPr>
          <t xml:space="preserve">
Percentage from Power Info from Alex</t>
        </r>
      </text>
    </comment>
    <comment ref="A68" authorId="0" shapeId="0" xr:uid="{00000000-0006-0000-1C00-000009000000}">
      <text>
        <r>
          <rPr>
            <b/>
            <sz val="9"/>
            <color indexed="81"/>
            <rFont val="Tahoma"/>
            <family val="2"/>
          </rPr>
          <t>Stephanie Adams:</t>
        </r>
        <r>
          <rPr>
            <sz val="9"/>
            <color indexed="81"/>
            <rFont val="Tahoma"/>
            <family val="2"/>
          </rPr>
          <t xml:space="preserve">
Based on net plant allocation</t>
        </r>
      </text>
    </comment>
    <comment ref="K68" authorId="1" shapeId="0" xr:uid="{02797D79-B816-4474-868D-E775EC724AAA}">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19.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D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D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D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D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D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D00-000006000000}">
      <text>
        <r>
          <rPr>
            <b/>
            <sz val="9"/>
            <color indexed="81"/>
            <rFont val="Tahoma"/>
            <family val="2"/>
          </rPr>
          <t>BPA User:</t>
        </r>
        <r>
          <rPr>
            <sz val="9"/>
            <color indexed="81"/>
            <rFont val="Tahoma"/>
            <family val="2"/>
          </rPr>
          <t xml:space="preserve">
Hardcode adjustment for WECC PEAK Cost
</t>
        </r>
      </text>
    </comment>
    <comment ref="F59" authorId="2" shapeId="0" xr:uid="{865E92ED-2E19-4493-AAFE-68513D5BD302}">
      <text>
        <r>
          <rPr>
            <b/>
            <sz val="9"/>
            <color indexed="81"/>
            <rFont val="Tahoma"/>
            <family val="2"/>
          </rPr>
          <t>BPA User:</t>
        </r>
        <r>
          <rPr>
            <sz val="9"/>
            <color indexed="81"/>
            <rFont val="Tahoma"/>
            <family val="2"/>
          </rPr>
          <t xml:space="preserve">
Percentage from Power Info from Alex</t>
        </r>
      </text>
    </comment>
    <comment ref="I59" authorId="2" shapeId="0" xr:uid="{BD7585DB-9D44-4A58-87E5-A526922CF92E}">
      <text>
        <r>
          <rPr>
            <b/>
            <sz val="9"/>
            <color indexed="81"/>
            <rFont val="Tahoma"/>
            <family val="2"/>
          </rPr>
          <t>BPA User:</t>
        </r>
        <r>
          <rPr>
            <sz val="9"/>
            <color indexed="81"/>
            <rFont val="Tahoma"/>
            <family val="2"/>
          </rPr>
          <t xml:space="preserve">
Percentage from Power Info from Alex</t>
        </r>
      </text>
    </comment>
    <comment ref="A68" authorId="0" shapeId="0" xr:uid="{00000000-0006-0000-1D00-000009000000}">
      <text>
        <r>
          <rPr>
            <b/>
            <sz val="9"/>
            <color indexed="81"/>
            <rFont val="Tahoma"/>
            <family val="2"/>
          </rPr>
          <t>Stephanie Adams:</t>
        </r>
        <r>
          <rPr>
            <sz val="9"/>
            <color indexed="81"/>
            <rFont val="Tahoma"/>
            <family val="2"/>
          </rPr>
          <t xml:space="preserve">
Based on net plant allocation</t>
        </r>
      </text>
    </comment>
    <comment ref="K68" authorId="1" shapeId="0" xr:uid="{AFE7C4DE-484B-406D-89CE-4413E34097E1}">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20.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E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E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E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E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E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E00-000006000000}">
      <text>
        <r>
          <rPr>
            <b/>
            <sz val="9"/>
            <color indexed="81"/>
            <rFont val="Tahoma"/>
            <family val="2"/>
          </rPr>
          <t>BPA User:</t>
        </r>
        <r>
          <rPr>
            <sz val="9"/>
            <color indexed="81"/>
            <rFont val="Tahoma"/>
            <family val="2"/>
          </rPr>
          <t xml:space="preserve">
Hardcode adjustment for WECC PEAK Cost
</t>
        </r>
      </text>
    </comment>
    <comment ref="F59" authorId="2" shapeId="0" xr:uid="{00000000-0006-0000-1E00-000007000000}">
      <text>
        <r>
          <rPr>
            <b/>
            <sz val="9"/>
            <color indexed="81"/>
            <rFont val="Tahoma"/>
            <family val="2"/>
          </rPr>
          <t>BPA User:</t>
        </r>
        <r>
          <rPr>
            <sz val="9"/>
            <color indexed="81"/>
            <rFont val="Tahoma"/>
            <family val="2"/>
          </rPr>
          <t xml:space="preserve">
Percentage from Power Info from Alex</t>
        </r>
      </text>
    </comment>
    <comment ref="I59" authorId="2" shapeId="0" xr:uid="{00000000-0006-0000-1E00-000008000000}">
      <text>
        <r>
          <rPr>
            <b/>
            <sz val="9"/>
            <color indexed="81"/>
            <rFont val="Tahoma"/>
            <family val="2"/>
          </rPr>
          <t>BPA User:</t>
        </r>
        <r>
          <rPr>
            <sz val="9"/>
            <color indexed="81"/>
            <rFont val="Tahoma"/>
            <family val="2"/>
          </rPr>
          <t xml:space="preserve">
Percentage from Power Info from Alex</t>
        </r>
      </text>
    </comment>
    <comment ref="G62" authorId="0" shapeId="0" xr:uid="{00000000-0006-0000-1E00-000009000000}">
      <text>
        <r>
          <rPr>
            <b/>
            <sz val="9"/>
            <color indexed="81"/>
            <rFont val="Tahoma"/>
            <family val="2"/>
          </rPr>
          <t>Stephanie Adams:</t>
        </r>
        <r>
          <rPr>
            <sz val="9"/>
            <color indexed="81"/>
            <rFont val="Tahoma"/>
            <family val="2"/>
          </rPr>
          <t xml:space="preserve">
From Gen Inputs/Alex Tbl 4.1-4.3</t>
        </r>
      </text>
    </comment>
    <comment ref="A67" authorId="0" shapeId="0" xr:uid="{00000000-0006-0000-1E00-00000A000000}">
      <text>
        <r>
          <rPr>
            <b/>
            <sz val="9"/>
            <color indexed="81"/>
            <rFont val="Tahoma"/>
            <family val="2"/>
          </rPr>
          <t>Stephanie Adams:</t>
        </r>
        <r>
          <rPr>
            <sz val="9"/>
            <color indexed="81"/>
            <rFont val="Tahoma"/>
            <family val="2"/>
          </rPr>
          <t xml:space="preserve">
Based on net plant allocation</t>
        </r>
      </text>
    </comment>
    <comment ref="K67" authorId="1" shapeId="0" xr:uid="{00000000-0006-0000-1E00-00000B000000}">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comments21.xml><?xml version="1.0" encoding="utf-8"?>
<comments xmlns="http://schemas.openxmlformats.org/spreadsheetml/2006/main" xmlns:mc="http://schemas.openxmlformats.org/markup-compatibility/2006" xmlns:xr="http://schemas.microsoft.com/office/spreadsheetml/2014/revision" mc:Ignorable="xr">
  <authors>
    <author>Stephanie Adams</author>
    <author>Miranda Gestrin</author>
    <author>BPA User</author>
  </authors>
  <commentList>
    <comment ref="F30" authorId="0" shapeId="0" xr:uid="{00000000-0006-0000-1F00-000001000000}">
      <text>
        <r>
          <rPr>
            <b/>
            <sz val="9"/>
            <color indexed="81"/>
            <rFont val="Tahoma"/>
            <family val="2"/>
          </rPr>
          <t>Stephanie Adams:</t>
        </r>
        <r>
          <rPr>
            <sz val="9"/>
            <color indexed="81"/>
            <rFont val="Tahoma"/>
            <family val="2"/>
          </rPr>
          <t xml:space="preserve">
Picks up network depreciation for lines and subs, network intangibles and entire reg asset.
</t>
        </r>
      </text>
    </comment>
    <comment ref="G30" authorId="0" shapeId="0" xr:uid="{00000000-0006-0000-1F00-000002000000}">
      <text>
        <r>
          <rPr>
            <b/>
            <sz val="9"/>
            <color indexed="81"/>
            <rFont val="Tahoma"/>
            <family val="2"/>
          </rPr>
          <t>Stephanie Adams:</t>
        </r>
        <r>
          <rPr>
            <sz val="9"/>
            <color indexed="81"/>
            <rFont val="Tahoma"/>
            <family val="2"/>
          </rPr>
          <t xml:space="preserve">
Pick up Southern Intertie Intangible
</t>
        </r>
      </text>
    </comment>
    <comment ref="D41" authorId="0" shapeId="0" xr:uid="{00000000-0006-0000-1F00-000003000000}">
      <text>
        <r>
          <rPr>
            <b/>
            <sz val="9"/>
            <color indexed="81"/>
            <rFont val="Tahoma"/>
            <family val="2"/>
          </rPr>
          <t>Stephanie Adams / edits by Miranda Gestrin:</t>
        </r>
        <r>
          <rPr>
            <sz val="9"/>
            <color indexed="81"/>
            <rFont val="Tahoma"/>
            <family val="2"/>
          </rPr>
          <t xml:space="preserve">
Picks up all system operation, technical operations components are backed out and assigned to AS. Oversupply admin costs are backed out of Technical Ops and picked up here. TOP contracts (Transmission Operator) are directly assigned to the network and are excluded here. With the movement of costs, the remainder in this bucket should be substation operations and oversupply admin costs. </t>
        </r>
      </text>
    </comment>
    <comment ref="F41" authorId="1" shapeId="0" xr:uid="{00000000-0006-0000-1F00-000004000000}">
      <text>
        <r>
          <rPr>
            <b/>
            <sz val="9"/>
            <color indexed="81"/>
            <rFont val="Tahoma"/>
            <family val="2"/>
          </rPr>
          <t>Miranda Gestrin:</t>
        </r>
        <r>
          <rPr>
            <sz val="9"/>
            <color indexed="81"/>
            <rFont val="Tahoma"/>
            <family val="2"/>
          </rPr>
          <t xml:space="preserve">
TOP Contracts directly assigned to Network (Separate node within System Operations bucket)</t>
        </r>
      </text>
    </comment>
    <comment ref="K41" authorId="1" shapeId="0" xr:uid="{00000000-0006-0000-1F00-000005000000}">
      <text>
        <r>
          <rPr>
            <b/>
            <sz val="9"/>
            <color indexed="81"/>
            <rFont val="Tahoma"/>
            <family val="2"/>
          </rPr>
          <t>Miranda Gestrin:</t>
        </r>
        <r>
          <rPr>
            <sz val="9"/>
            <color indexed="81"/>
            <rFont val="Tahoma"/>
            <family val="2"/>
          </rPr>
          <t xml:space="preserve">
Back out oversupply admin from technical operations, as oversupply admin is an unsegmented cost.</t>
        </r>
      </text>
    </comment>
    <comment ref="K53" authorId="2" shapeId="0" xr:uid="{00000000-0006-0000-1F00-000006000000}">
      <text>
        <r>
          <rPr>
            <b/>
            <sz val="9"/>
            <color indexed="81"/>
            <rFont val="Tahoma"/>
            <family val="2"/>
          </rPr>
          <t>BPA User:</t>
        </r>
        <r>
          <rPr>
            <sz val="9"/>
            <color indexed="81"/>
            <rFont val="Tahoma"/>
            <family val="2"/>
          </rPr>
          <t xml:space="preserve">
Hardcode adjustment for WECC PEAK Cost
</t>
        </r>
      </text>
    </comment>
    <comment ref="F59" authorId="2" shapeId="0" xr:uid="{00000000-0006-0000-1F00-000007000000}">
      <text>
        <r>
          <rPr>
            <b/>
            <sz val="9"/>
            <color indexed="81"/>
            <rFont val="Tahoma"/>
            <family val="2"/>
          </rPr>
          <t>BPA User:</t>
        </r>
        <r>
          <rPr>
            <sz val="9"/>
            <color indexed="81"/>
            <rFont val="Tahoma"/>
            <family val="2"/>
          </rPr>
          <t xml:space="preserve">
Percentage from Power Info from Alex</t>
        </r>
      </text>
    </comment>
    <comment ref="I59" authorId="2" shapeId="0" xr:uid="{00000000-0006-0000-1F00-000008000000}">
      <text>
        <r>
          <rPr>
            <b/>
            <sz val="9"/>
            <color indexed="81"/>
            <rFont val="Tahoma"/>
            <family val="2"/>
          </rPr>
          <t>BPA User:</t>
        </r>
        <r>
          <rPr>
            <sz val="9"/>
            <color indexed="81"/>
            <rFont val="Tahoma"/>
            <family val="2"/>
          </rPr>
          <t xml:space="preserve">
Percentage from Power Info from Alex</t>
        </r>
      </text>
    </comment>
    <comment ref="G62" authorId="0" shapeId="0" xr:uid="{00000000-0006-0000-1F00-000009000000}">
      <text>
        <r>
          <rPr>
            <b/>
            <sz val="9"/>
            <color indexed="81"/>
            <rFont val="Tahoma"/>
            <family val="2"/>
          </rPr>
          <t>Stephanie Adams:</t>
        </r>
        <r>
          <rPr>
            <sz val="9"/>
            <color indexed="81"/>
            <rFont val="Tahoma"/>
            <family val="2"/>
          </rPr>
          <t xml:space="preserve">
From Gen Inputs/Alex Tbl 4.1-4.3</t>
        </r>
      </text>
    </comment>
    <comment ref="A67" authorId="0" shapeId="0" xr:uid="{00000000-0006-0000-1F00-00000A000000}">
      <text>
        <r>
          <rPr>
            <b/>
            <sz val="9"/>
            <color indexed="81"/>
            <rFont val="Tahoma"/>
            <family val="2"/>
          </rPr>
          <t>Stephanie Adams:</t>
        </r>
        <r>
          <rPr>
            <sz val="9"/>
            <color indexed="81"/>
            <rFont val="Tahoma"/>
            <family val="2"/>
          </rPr>
          <t xml:space="preserve">
Based on net plant allocation</t>
        </r>
      </text>
    </comment>
    <comment ref="K67" authorId="1" shapeId="0" xr:uid="{00000000-0006-0000-1F00-00000B000000}">
      <text>
        <r>
          <rPr>
            <b/>
            <sz val="9"/>
            <color indexed="81"/>
            <rFont val="Tahoma"/>
            <family val="2"/>
          </rPr>
          <t>Miranda Gestrin:</t>
        </r>
        <r>
          <rPr>
            <sz val="9"/>
            <color indexed="81"/>
            <rFont val="Tahoma"/>
            <family val="2"/>
          </rPr>
          <t xml:space="preserve">
This picks up Gen Inputs Settlement Addition, when applicable. Settlement Addition is for 3PS Acquisition</t>
        </r>
      </text>
    </comment>
  </commentList>
</comments>
</file>

<file path=xl/sharedStrings.xml><?xml version="1.0" encoding="utf-8"?>
<sst xmlns="http://schemas.openxmlformats.org/spreadsheetml/2006/main" count="2741" uniqueCount="792">
  <si>
    <t>CONTROL CENTER SUPPORT</t>
  </si>
  <si>
    <t>INFORMATION TECHNOLOGY</t>
  </si>
  <si>
    <t>POWER SYSTEM DISPATCHING</t>
  </si>
  <si>
    <t>SCHED-RESERVATIONS</t>
  </si>
  <si>
    <t>SCHED-PRE-SCHEDULING</t>
  </si>
  <si>
    <t>SCHED-REAL-TIME SCHEDULING</t>
  </si>
  <si>
    <t>SCHED-TECHNICAL SUPPORT</t>
  </si>
  <si>
    <t>SCHED-AFTER-THE-FACT</t>
  </si>
  <si>
    <t>Origination Date:</t>
  </si>
  <si>
    <t>Scenario:</t>
  </si>
  <si>
    <t>Source:</t>
  </si>
  <si>
    <t>PROJ ID (LEVEL 2)</t>
  </si>
  <si>
    <t>PROGRAM DESCRIPTION</t>
  </si>
  <si>
    <t>Timeperiod - Start:</t>
  </si>
  <si>
    <t>End:</t>
  </si>
  <si>
    <t>PROJ ID (LEVEL 4)</t>
  </si>
  <si>
    <t>1055</t>
  </si>
  <si>
    <t>1072</t>
  </si>
  <si>
    <t>1200</t>
  </si>
  <si>
    <t>1205</t>
  </si>
  <si>
    <t>TRANSMISSION OPERATIONS</t>
  </si>
  <si>
    <t>TRANSMISSION ENGINEERING</t>
  </si>
  <si>
    <t>TBL AQUISITION &amp; ANCILLARY</t>
  </si>
  <si>
    <t>SYSTEM OPERATIONS</t>
  </si>
  <si>
    <t>~</t>
  </si>
  <si>
    <t>SCHEDULING</t>
  </si>
  <si>
    <t>1082</t>
  </si>
  <si>
    <t>1084</t>
  </si>
  <si>
    <t>1086</t>
  </si>
  <si>
    <t>1087</t>
  </si>
  <si>
    <t>1088</t>
  </si>
  <si>
    <t>ANCILLARY SERVICES (BBL &amp; NON-BBL)</t>
  </si>
  <si>
    <t>1345</t>
  </si>
  <si>
    <t>4442</t>
  </si>
  <si>
    <t>1103</t>
  </si>
  <si>
    <t>1105</t>
  </si>
  <si>
    <t>SUMMARY DATA</t>
  </si>
  <si>
    <t>DETAILED DATA SUPPORTING SEGMENTATION AND ANCILLARY SERVICES ANALYSIS</t>
  </si>
  <si>
    <t>1100</t>
  </si>
  <si>
    <t>1101</t>
  </si>
  <si>
    <t>PROJ ID (LEVEL4/5)</t>
  </si>
  <si>
    <t>OTHER PAYMENTS TO PBL (BBL)</t>
  </si>
  <si>
    <t>NON BBL ANCILLARY SERVICES (NBBL)</t>
  </si>
  <si>
    <t>LEASED FACILITIES (NBBL)</t>
  </si>
  <si>
    <t>SETTLEMENT AGREEMENTS (NBBL)</t>
  </si>
  <si>
    <t>TRANSMISSION RENEWABLES (NBBL)</t>
  </si>
  <si>
    <t>MARKETING</t>
  </si>
  <si>
    <t>BUSINESS SUPPORT</t>
  </si>
  <si>
    <t>4443</t>
  </si>
  <si>
    <t>MKTG TRANSMISSION SALES</t>
  </si>
  <si>
    <t>4682</t>
  </si>
  <si>
    <t>MKTG CONTRACT MANAGEMENT</t>
  </si>
  <si>
    <t>4683</t>
  </si>
  <si>
    <t>MKTG TRANSMISSION BILLING</t>
  </si>
  <si>
    <t>4684</t>
  </si>
  <si>
    <t>MKTG BUSINESS STRAT &amp; ASSESS</t>
  </si>
  <si>
    <t>Input data in thousands</t>
  </si>
  <si>
    <t>EXECUTIVE &amp; ADMIN SERVICES</t>
  </si>
  <si>
    <t>SUBSTATION OPERATIONS</t>
  </si>
  <si>
    <t>AIRCRAFT SERVICES</t>
  </si>
  <si>
    <t>LOGISTICS SERVICES</t>
  </si>
  <si>
    <t>SECURITY ENHANCEMENTS EXPENSE</t>
  </si>
  <si>
    <t>LEGAL SUPPORT - EXPENSE</t>
  </si>
  <si>
    <t>cells</t>
  </si>
  <si>
    <t>INSTRUCTIONS:</t>
  </si>
  <si>
    <t>UPDATED</t>
  </si>
  <si>
    <t xml:space="preserve">  PFIA</t>
  </si>
  <si>
    <t>CORPORATE</t>
  </si>
  <si>
    <t>TRANSMISSION</t>
  </si>
  <si>
    <t xml:space="preserve">CONVERSION FOR RATE ANALYSIS </t>
  </si>
  <si>
    <t>Corp Allocation:</t>
  </si>
  <si>
    <t xml:space="preserve">FS fill in </t>
  </si>
  <si>
    <t xml:space="preserve">Scenario Notes: </t>
  </si>
  <si>
    <t>Analysis By:</t>
  </si>
  <si>
    <t xml:space="preserve">QC By: </t>
  </si>
  <si>
    <t>OPERATING EXPENSES</t>
  </si>
  <si>
    <t>TRANSMISSION ACQ &amp; ANCILLARY SERVICES</t>
  </si>
  <si>
    <t>BPA INTERNAL SUPPORT</t>
  </si>
  <si>
    <t>OTHER INCOME, EXPENSES &amp; ADJUSTMENTS</t>
  </si>
  <si>
    <t>DEPRECIATION &amp; AMORTIZATION</t>
  </si>
  <si>
    <t>TOTAL OPERATING EXPENSES</t>
  </si>
  <si>
    <t>INTEREST EXPENSE</t>
  </si>
  <si>
    <t>FEDERAL APPROPRIATIONS</t>
  </si>
  <si>
    <t>CAPITALIZATION ADJUSTMENT</t>
  </si>
  <si>
    <t>ON LONG-TERM DEBT</t>
  </si>
  <si>
    <t>AMORTIZATION OF CAPITALIZED BOND PREMIUMS</t>
  </si>
  <si>
    <t>DEBT SERVICE REASSIGNMENT INTEREST</t>
  </si>
  <si>
    <t>AFUDC</t>
  </si>
  <si>
    <t>INTEREST INCOME</t>
  </si>
  <si>
    <t>NET INTEREST EXPENSE</t>
  </si>
  <si>
    <t>TOTAL EXPENSES</t>
  </si>
  <si>
    <t>MINIMUM REQUIRED NET REVENUE 1/</t>
  </si>
  <si>
    <t>PLANNED NET REVENUES FOR RISK</t>
  </si>
  <si>
    <t>TOTAL PLANNED NET REVENUE</t>
  </si>
  <si>
    <t>TOTAL REVENUE REQUIREMENT</t>
  </si>
  <si>
    <t>$40 Million in FY 2014-15/Even Distribution</t>
  </si>
  <si>
    <t>Link to Separate Model</t>
  </si>
  <si>
    <t>INCOME STATEMENT</t>
  </si>
  <si>
    <t>?</t>
  </si>
  <si>
    <t>OTHER - USE OF RESERVES FOR RATE RELIEF</t>
  </si>
  <si>
    <t>Capital Numbers:</t>
  </si>
  <si>
    <t>INTEREST</t>
  </si>
  <si>
    <t>APPROPRIATION INTEREST</t>
  </si>
  <si>
    <t>FEDERAL</t>
  </si>
  <si>
    <t>BOND INTEREST</t>
  </si>
  <si>
    <t>DISCOUNTS</t>
  </si>
  <si>
    <t>PREMIUMS</t>
  </si>
  <si>
    <t>NON-FEDERAL</t>
  </si>
  <si>
    <t>DEBT SERVICE REASSIGNMENT</t>
  </si>
  <si>
    <t>CAPITAL LEASES</t>
  </si>
  <si>
    <t>FEDERAL SUB-TOTAL</t>
  </si>
  <si>
    <t>NON FEDERAL SUB-TOTAL</t>
  </si>
  <si>
    <t>PRINCIPAL</t>
  </si>
  <si>
    <t>APPROPRIATIONS</t>
  </si>
  <si>
    <t>BONDS</t>
  </si>
  <si>
    <t>Updated:</t>
  </si>
  <si>
    <t>Received:</t>
  </si>
  <si>
    <t>Capitalization Adj.</t>
  </si>
  <si>
    <t>Capitalized Bond Premium</t>
  </si>
  <si>
    <t>Return to Index</t>
  </si>
  <si>
    <t>PREMIUMS/DISCOUNTS</t>
  </si>
  <si>
    <t>CASH FLOW STATEMENT</t>
  </si>
  <si>
    <t>CASH FROM CURRENT OPERATIONS:</t>
  </si>
  <si>
    <r>
      <t xml:space="preserve">TRANSMISSION LONG-TERM RATE FORECAST - </t>
    </r>
    <r>
      <rPr>
        <b/>
        <sz val="14"/>
        <rFont val="Arial"/>
        <family val="2"/>
      </rPr>
      <t>AFUDC INPUT FILE</t>
    </r>
  </si>
  <si>
    <t>TREASURY &amp; LEASE FINANCING</t>
  </si>
  <si>
    <t>PLANT-IN-SERVICE</t>
  </si>
  <si>
    <t>SOY CWIP BALANCE</t>
  </si>
  <si>
    <t>EOY CWIP BALANCE</t>
  </si>
  <si>
    <t>AVERAGE CWIP BALANCE</t>
  </si>
  <si>
    <t>AFUDC RATE</t>
  </si>
  <si>
    <t>TRANS CAPITAL EXPENDITURES</t>
  </si>
  <si>
    <t>AFUDC Rate Source:</t>
  </si>
  <si>
    <t>ANNUAL CASH SURPLUS/(DEFICIT)</t>
  </si>
  <si>
    <t>ADJUSTMENTS TO CASH</t>
  </si>
  <si>
    <t>START OF YEAR CASH BALANCE</t>
  </si>
  <si>
    <t>END OF YEAR CASH BALANCE</t>
  </si>
  <si>
    <t>AVERAGE CASH BALANCE</t>
  </si>
  <si>
    <t>INTEREST INCOME RATE</t>
  </si>
  <si>
    <t>ANNUAL INTEREST INCOME</t>
  </si>
  <si>
    <t>REPAYMENT STUDY INTEREST INCOME</t>
  </si>
  <si>
    <t>TRUSTEE INTEREST INCOME ADDER</t>
  </si>
  <si>
    <t>TOTAL INTEREST INCOME</t>
  </si>
  <si>
    <t>AFUDC (ACTUALS)</t>
  </si>
  <si>
    <t>REGULAR</t>
  </si>
  <si>
    <t>LEASE FINANCING</t>
  </si>
  <si>
    <t>TOTAL TREASURY AND LEASE FINANCING TRANS AFUDC</t>
  </si>
  <si>
    <t>TOTAL AFUDC</t>
  </si>
  <si>
    <t>Stephanie Adams</t>
  </si>
  <si>
    <t>DRAWDOWN OF CASH RESERVES FOR CAPITAL FUNDING</t>
  </si>
  <si>
    <t>EXPENSES NOT REQUIRING CASH:</t>
  </si>
  <si>
    <t xml:space="preserve">MINIMUM REQUIRED NET REVENUE </t>
  </si>
  <si>
    <t>TRANSMISSION CREDIT PROJECTS NET INTEREST</t>
  </si>
  <si>
    <t>NON-CASH REVENUES</t>
  </si>
  <si>
    <t>AC INTERTIE CO/FIBER</t>
  </si>
  <si>
    <t>CASH PROVIDED BY CURRENT OPERATIONS</t>
  </si>
  <si>
    <t>Reserves for Rate Relief</t>
  </si>
  <si>
    <t>AC Intertie Rev:</t>
  </si>
  <si>
    <t>CASH USED FOR CAPITAL INVESTMENTS:</t>
  </si>
  <si>
    <t>INVESTMENT IN:</t>
  </si>
  <si>
    <t>UTILITY PLANT</t>
  </si>
  <si>
    <t>CASH USED FOR CAPITAL INVESTMENTS</t>
  </si>
  <si>
    <t>CASH FROM TREASURY BORROWING AND APPROPRIATIONS:</t>
  </si>
  <si>
    <t>INCREASE IN LONG-TERM DEBT</t>
  </si>
  <si>
    <t>DEBT SERVICE REASSIGNMENT PRINCIPAL</t>
  </si>
  <si>
    <t>REPAYMENT OF CAPITAL LEASES</t>
  </si>
  <si>
    <t>REPAYMENT OF LONG-TERM DEBT</t>
  </si>
  <si>
    <t>REPAYMENT OF CAPITAL APPROPRIATIONS</t>
  </si>
  <si>
    <t>ANNUAL INCREASE (DECREASE) IN CASH</t>
  </si>
  <si>
    <t>TOTAL ANNUAL INCREASE (DECREASE) IN CASH</t>
  </si>
  <si>
    <t>n/a</t>
  </si>
  <si>
    <t>TOTAL</t>
  </si>
  <si>
    <t>GENERATION INTEGRATION</t>
  </si>
  <si>
    <t>NETWORK</t>
  </si>
  <si>
    <t>SOUTHERN INTERTIE</t>
  </si>
  <si>
    <t>EASTERN INTERTIE</t>
  </si>
  <si>
    <t>UTILITY DELIVERY</t>
  </si>
  <si>
    <t>DSI DELIVERY</t>
  </si>
  <si>
    <t>ANCILLARY SERVICES</t>
  </si>
  <si>
    <t>FCRTS INVESTMENT BASE</t>
  </si>
  <si>
    <t>REMAINING NET INTEREST EXPENSE</t>
  </si>
  <si>
    <t>TOTAL NET INTEREST EXPENSE</t>
  </si>
  <si>
    <t>Auto-Calculate</t>
  </si>
  <si>
    <t>NON-BBL TRANS ACQ AND ANCILLARY SERVICES</t>
  </si>
  <si>
    <t>BBL ANCILLARY SERVICES</t>
  </si>
  <si>
    <t>PLANNED NET REVENUE</t>
  </si>
  <si>
    <t>TOTAL MINIMUM REQUIRED NET REVENUE</t>
  </si>
  <si>
    <t>PERCENTAGE OF DIRECT O&amp;M W/OUT AS</t>
  </si>
  <si>
    <t>TS GENERAL PLANT DEPRECATION</t>
  </si>
  <si>
    <t>TOTAL DEPRECIATION EXPENSE</t>
  </si>
  <si>
    <t>DEPRECIATION</t>
  </si>
  <si>
    <t>LINK TO SOURCE FILE:</t>
  </si>
  <si>
    <t>QTRLY FORECAST - END OF YEAR CASH BALANCE</t>
  </si>
  <si>
    <t>NEAR-TERM SUMMARY DATA</t>
  </si>
  <si>
    <t>REPAYMENT STUDY OUTPUT</t>
  </si>
  <si>
    <t>NON-FEDERAL INTEREST</t>
  </si>
  <si>
    <t>NON-FEDERAL PRINCIPLE</t>
  </si>
  <si>
    <t>FEDERAL INTEREST (EXCLUDING INTEREST INCOME)</t>
  </si>
  <si>
    <t>FEDERAL PRINCIPLE (NO DISCOUNTS/PREMIUMS)</t>
  </si>
  <si>
    <t xml:space="preserve">REVENUE REQUIREMENT </t>
  </si>
  <si>
    <t>FEDERAL NET INTEREST 1/</t>
  </si>
  <si>
    <t>MRNR</t>
  </si>
  <si>
    <t>CASH FLOW GENERATED</t>
  </si>
  <si>
    <t>CASH FLOW</t>
  </si>
  <si>
    <t>CASH FROM CURRENT OPERATIONS</t>
  </si>
  <si>
    <t>CAPITAL INVESTMENTS</t>
  </si>
  <si>
    <t>CASH FROM BORROWING</t>
  </si>
  <si>
    <t>INCREASE IN LONG TERM DEBT</t>
  </si>
  <si>
    <r>
      <t xml:space="preserve">TRANSMISSION LONG-TERM RATE FORECAST - </t>
    </r>
    <r>
      <rPr>
        <b/>
        <sz val="14"/>
        <rFont val="Calibri"/>
        <family val="2"/>
        <scheme val="minor"/>
      </rPr>
      <t>Revenue Requirement</t>
    </r>
  </si>
  <si>
    <t>LGIA CREDITS</t>
  </si>
  <si>
    <t>COI CREDITS</t>
  </si>
  <si>
    <t>1/ INTEREST COMPONENTS</t>
  </si>
  <si>
    <t>LGIA INTEREST</t>
  </si>
  <si>
    <t>2 YEAR AVERAGE REVENUE REQUIREMENT</t>
  </si>
  <si>
    <t>14/15</t>
  </si>
  <si>
    <t>16/17</t>
  </si>
  <si>
    <t>18/19</t>
  </si>
  <si>
    <t>20/21</t>
  </si>
  <si>
    <t>22/23</t>
  </si>
  <si>
    <t>24/25</t>
  </si>
  <si>
    <t>26/27</t>
  </si>
  <si>
    <t>28/29</t>
  </si>
  <si>
    <t>30/31</t>
  </si>
  <si>
    <t>32/33</t>
  </si>
  <si>
    <t>34/35</t>
  </si>
  <si>
    <t>36/37</t>
  </si>
  <si>
    <t>38/39</t>
  </si>
  <si>
    <t>40/41</t>
  </si>
  <si>
    <t>42/43</t>
  </si>
  <si>
    <t xml:space="preserve">NON-FEDERAL INTEREST </t>
  </si>
  <si>
    <t>Power</t>
  </si>
  <si>
    <t>Transmission</t>
  </si>
  <si>
    <t>REDISPATCH &amp; STATION SERVICE (BBL)</t>
  </si>
  <si>
    <t>TOTAL BBL</t>
  </si>
  <si>
    <t>TOTAL NBBL</t>
  </si>
  <si>
    <t>TOTAL BBL &amp; NBBL</t>
  </si>
  <si>
    <t>Linked To:</t>
  </si>
  <si>
    <t>O&amp;M SEGMENTATION</t>
  </si>
  <si>
    <t>PERCENT ALLOCATION</t>
  </si>
  <si>
    <t>Repayment Inputs</t>
  </si>
  <si>
    <t>SYSTEM OPERATION, MAINTENANCE, ENVIRONMENT</t>
  </si>
  <si>
    <t xml:space="preserve">SYSTEM OPERATION </t>
  </si>
  <si>
    <t>SYSTEM MAINTENANCE</t>
  </si>
  <si>
    <t>Total</t>
  </si>
  <si>
    <t>Scheduling,</t>
  </si>
  <si>
    <t>Reactive</t>
  </si>
  <si>
    <t>Regulation</t>
  </si>
  <si>
    <t>Dispatchable</t>
  </si>
  <si>
    <t>Ancillary</t>
  </si>
  <si>
    <t>Syst Control,</t>
  </si>
  <si>
    <t>Supply &amp;</t>
  </si>
  <si>
    <t>&amp; Freqncy</t>
  </si>
  <si>
    <t>Resource</t>
  </si>
  <si>
    <t>Op Resrv</t>
  </si>
  <si>
    <t>Services</t>
  </si>
  <si>
    <t>&amp; Dispatch</t>
  </si>
  <si>
    <t>Volt Control</t>
  </si>
  <si>
    <t>Response</t>
  </si>
  <si>
    <t>Balnc Res</t>
  </si>
  <si>
    <t>VERBS</t>
  </si>
  <si>
    <t>Spinning</t>
  </si>
  <si>
    <t>Supplmtl</t>
  </si>
  <si>
    <t>DIRECT O&amp;M</t>
  </si>
  <si>
    <t>TOTAL O&amp;M</t>
  </si>
  <si>
    <t>GENERATION INPUTS</t>
  </si>
  <si>
    <t xml:space="preserve">NET INTEREST </t>
  </si>
  <si>
    <t>PLANNED NET REVENUES</t>
  </si>
  <si>
    <t>TOTAL TO SEGMENT</t>
  </si>
  <si>
    <t>DIRECT LINES O&amp;M</t>
  </si>
  <si>
    <t>TOTAL DIRECT TRANSMISSION O&amp;M</t>
  </si>
  <si>
    <t>DIRECT SUBSTATION O&amp;M</t>
  </si>
  <si>
    <t>TOTAL DIRECT O&amp;M (w/AS)</t>
  </si>
  <si>
    <t>OVERHEAD CATEGORIES</t>
  </si>
  <si>
    <t>CAPITAL RELATED COSTS SEGMENTATION</t>
  </si>
  <si>
    <t>SYSTEM ENGINEERING</t>
  </si>
  <si>
    <t>STATION SERVICE</t>
  </si>
  <si>
    <t>REDISPATCH</t>
  </si>
  <si>
    <t>CORPS/BUREAU TRANSMISSION</t>
  </si>
  <si>
    <t>GEN DROPPING</t>
  </si>
  <si>
    <t>BBL -PAYMENTS TO POWER SERVICES</t>
  </si>
  <si>
    <t>NON-BBL - PAYMENTS TO OTHERS</t>
  </si>
  <si>
    <t>TOTAL TRANS ACQ AND ANCILLARY</t>
  </si>
  <si>
    <t xml:space="preserve">Timeperiod </t>
  </si>
  <si>
    <t>SEGMENTED REVENUE REQUIREMENT</t>
  </si>
  <si>
    <t>OPERATIONS &amp; MAINTENANCE</t>
  </si>
  <si>
    <t>TRANS ACQUISITION AND ANCILLARY SERVICES</t>
  </si>
  <si>
    <t>TOTAL TRANSMISSION REVENUE REQUIREMENT</t>
  </si>
  <si>
    <t>TRANSMISSION MAINTENANCE INCLUDING ENVIRONMENT</t>
  </si>
  <si>
    <t>QC</t>
  </si>
  <si>
    <t>BBL- SUBTOTAL</t>
  </si>
  <si>
    <t>NON-BBL- SUBTOTAL</t>
  </si>
  <si>
    <t>OVERHEAD SUB-TOTAL</t>
  </si>
  <si>
    <t>CAPITAL RELATED COSTS</t>
  </si>
  <si>
    <t>CORPORATE/OTHER</t>
  </si>
  <si>
    <r>
      <t>TRANSMISSION LONG-TERM RATE FORECAST -</t>
    </r>
    <r>
      <rPr>
        <b/>
        <sz val="14"/>
        <rFont val="Arial"/>
        <family val="2"/>
      </rPr>
      <t xml:space="preserve"> 2018 Segmented</t>
    </r>
    <r>
      <rPr>
        <sz val="14"/>
        <rFont val="Arial"/>
        <family val="2"/>
      </rPr>
      <t xml:space="preserve"> </t>
    </r>
    <r>
      <rPr>
        <b/>
        <sz val="14"/>
        <rFont val="Arial"/>
        <family val="2"/>
      </rPr>
      <t>Revenue Requirement</t>
    </r>
  </si>
  <si>
    <r>
      <t>TRANSMISSION LONG-TERM RATE FORECAST -</t>
    </r>
    <r>
      <rPr>
        <b/>
        <sz val="14"/>
        <rFont val="Arial"/>
        <family val="2"/>
      </rPr>
      <t xml:space="preserve"> 2020 Segmented</t>
    </r>
    <r>
      <rPr>
        <sz val="14"/>
        <rFont val="Arial"/>
        <family val="2"/>
      </rPr>
      <t xml:space="preserve"> </t>
    </r>
    <r>
      <rPr>
        <b/>
        <sz val="14"/>
        <rFont val="Arial"/>
        <family val="2"/>
      </rPr>
      <t>Revenue Requirement</t>
    </r>
  </si>
  <si>
    <r>
      <t>TRANSMISSION LONG-TERM RATE FORECAST -</t>
    </r>
    <r>
      <rPr>
        <b/>
        <sz val="14"/>
        <rFont val="Arial"/>
        <family val="2"/>
      </rPr>
      <t xml:space="preserve"> 2021 Segmented</t>
    </r>
    <r>
      <rPr>
        <sz val="14"/>
        <rFont val="Arial"/>
        <family val="2"/>
      </rPr>
      <t xml:space="preserve"> </t>
    </r>
    <r>
      <rPr>
        <b/>
        <sz val="14"/>
        <rFont val="Arial"/>
        <family val="2"/>
      </rPr>
      <t>Revenue Requirement</t>
    </r>
  </si>
  <si>
    <r>
      <t>TRANSMISSION LONG-TERM RATE FORECAST -</t>
    </r>
    <r>
      <rPr>
        <b/>
        <sz val="14"/>
        <rFont val="Arial"/>
        <family val="2"/>
      </rPr>
      <t xml:space="preserve"> 2022 Segmented</t>
    </r>
    <r>
      <rPr>
        <sz val="14"/>
        <rFont val="Arial"/>
        <family val="2"/>
      </rPr>
      <t xml:space="preserve"> </t>
    </r>
    <r>
      <rPr>
        <b/>
        <sz val="14"/>
        <rFont val="Arial"/>
        <family val="2"/>
      </rPr>
      <t>Revenue Requirement</t>
    </r>
  </si>
  <si>
    <r>
      <t>TRANSMISSION LONG-TERM RATE FORECAST -</t>
    </r>
    <r>
      <rPr>
        <b/>
        <sz val="14"/>
        <rFont val="Arial"/>
        <family val="2"/>
      </rPr>
      <t xml:space="preserve"> 2023 Segmented</t>
    </r>
    <r>
      <rPr>
        <sz val="14"/>
        <rFont val="Arial"/>
        <family val="2"/>
      </rPr>
      <t xml:space="preserve"> </t>
    </r>
    <r>
      <rPr>
        <b/>
        <sz val="14"/>
        <rFont val="Arial"/>
        <family val="2"/>
      </rPr>
      <t>Revenue Requirement</t>
    </r>
  </si>
  <si>
    <t>NON-BBL /Acq. &amp; Ancillary</t>
  </si>
  <si>
    <t>7-YEAR AVERAGE O&amp;M:   LINES</t>
  </si>
  <si>
    <t>7-YEAR AVERAGE O&amp;M:   SUBSTATIONS</t>
  </si>
  <si>
    <t>TOTAL 7-YEAR AVERAGE O&amp;M</t>
  </si>
  <si>
    <r>
      <t>TRANSMISSION LONG-TERM RATE FORECAST -</t>
    </r>
    <r>
      <rPr>
        <b/>
        <sz val="14"/>
        <rFont val="Arial"/>
        <family val="2"/>
      </rPr>
      <t xml:space="preserve"> 2027 Segmented</t>
    </r>
    <r>
      <rPr>
        <sz val="14"/>
        <rFont val="Arial"/>
        <family val="2"/>
      </rPr>
      <t xml:space="preserve"> </t>
    </r>
    <r>
      <rPr>
        <b/>
        <sz val="14"/>
        <rFont val="Arial"/>
        <family val="2"/>
      </rPr>
      <t>Revenue Requirement</t>
    </r>
  </si>
  <si>
    <r>
      <t>TRANSMISSION LONG-TERM RATE FORECAST -</t>
    </r>
    <r>
      <rPr>
        <b/>
        <sz val="14"/>
        <rFont val="Arial"/>
        <family val="2"/>
      </rPr>
      <t xml:space="preserve"> 2028 Segmented</t>
    </r>
    <r>
      <rPr>
        <sz val="14"/>
        <rFont val="Arial"/>
        <family val="2"/>
      </rPr>
      <t xml:space="preserve"> </t>
    </r>
    <r>
      <rPr>
        <b/>
        <sz val="14"/>
        <rFont val="Arial"/>
        <family val="2"/>
      </rPr>
      <t>Revenue Requirement</t>
    </r>
  </si>
  <si>
    <r>
      <t>TRANSMISSION LONG-TERM RATE FORECAST -</t>
    </r>
    <r>
      <rPr>
        <b/>
        <sz val="14"/>
        <rFont val="Arial"/>
        <family val="2"/>
      </rPr>
      <t xml:space="preserve"> 2029 Segmented</t>
    </r>
    <r>
      <rPr>
        <sz val="14"/>
        <rFont val="Arial"/>
        <family val="2"/>
      </rPr>
      <t xml:space="preserve"> </t>
    </r>
    <r>
      <rPr>
        <b/>
        <sz val="14"/>
        <rFont val="Arial"/>
        <family val="2"/>
      </rPr>
      <t>Revenue Requirement</t>
    </r>
  </si>
  <si>
    <r>
      <t>TRANSMISSION LONG-TERM RATE FORECAST -</t>
    </r>
    <r>
      <rPr>
        <b/>
        <sz val="14"/>
        <rFont val="Arial"/>
        <family val="2"/>
      </rPr>
      <t xml:space="preserve"> 2030 Segmented</t>
    </r>
    <r>
      <rPr>
        <sz val="14"/>
        <rFont val="Arial"/>
        <family val="2"/>
      </rPr>
      <t xml:space="preserve"> </t>
    </r>
    <r>
      <rPr>
        <b/>
        <sz val="14"/>
        <rFont val="Arial"/>
        <family val="2"/>
      </rPr>
      <t>Revenue Requirement</t>
    </r>
  </si>
  <si>
    <t>O&amp;M OVERHEADS</t>
  </si>
  <si>
    <t>A</t>
  </si>
  <si>
    <t>B</t>
  </si>
  <si>
    <t xml:space="preserve">C </t>
  </si>
  <si>
    <t>D</t>
  </si>
  <si>
    <t>E</t>
  </si>
  <si>
    <t>F</t>
  </si>
  <si>
    <t>Expenses</t>
  </si>
  <si>
    <t>% Change in Rates</t>
  </si>
  <si>
    <t>Operations</t>
  </si>
  <si>
    <t>Maintenance</t>
  </si>
  <si>
    <t>Engineering</t>
  </si>
  <si>
    <t>Internal Support &amp; Undistributed Reduction</t>
  </si>
  <si>
    <t>IPR Sub-total</t>
  </si>
  <si>
    <t>Non-IPR Sub-total</t>
  </si>
  <si>
    <t xml:space="preserve">    Revenues</t>
  </si>
  <si>
    <t>1/ The Ancillary Services forecast has been modified to reflect levels filed in the Errata to BP-14 Final Proposal</t>
  </si>
  <si>
    <t>2/ Use of reserves  in BP-14 included $20 million/yr for rate mitigation.</t>
  </si>
  <si>
    <t>3/ Includes Net Interest Expense, Depreciation/Amortization and Minimum Required Net Revenues</t>
  </si>
  <si>
    <t>4/ Change in rates reflects average across all segments.</t>
  </si>
  <si>
    <t>Change from                        BP-14 to FY 16/17</t>
  </si>
  <si>
    <t>AVG</t>
  </si>
  <si>
    <t>BP-14</t>
  </si>
  <si>
    <t>TRANSMISSION MAINTENANCE</t>
  </si>
  <si>
    <t>CAPITAL RELATED COST</t>
  </si>
  <si>
    <t>BP-14 FP</t>
  </si>
  <si>
    <t>BP-16 IP</t>
  </si>
  <si>
    <t>BP-16</t>
  </si>
  <si>
    <t>BP-18</t>
  </si>
  <si>
    <t>BP-20</t>
  </si>
  <si>
    <t>BP-22</t>
  </si>
  <si>
    <t>BP-24</t>
  </si>
  <si>
    <t>BP-26</t>
  </si>
  <si>
    <t>BP-28</t>
  </si>
  <si>
    <t>G</t>
  </si>
  <si>
    <t>H</t>
  </si>
  <si>
    <t>I</t>
  </si>
  <si>
    <t>J</t>
  </si>
  <si>
    <t>K</t>
  </si>
  <si>
    <t>L</t>
  </si>
  <si>
    <t>M</t>
  </si>
  <si>
    <t>N</t>
  </si>
  <si>
    <t>$ (Million)</t>
  </si>
  <si>
    <t>Change from                        FY 24/25 to               FY 26/27</t>
  </si>
  <si>
    <t>Change from                        FY 22/23 to              FY 24/25</t>
  </si>
  <si>
    <t>Change from                        FY 20/21 to               FY 22/23</t>
  </si>
  <si>
    <t>Change from                         FY 18/19 to              FY 20/21</t>
  </si>
  <si>
    <t>Change from                        FY 16/17 to               FY 18/19</t>
  </si>
  <si>
    <t>Change from                        FY 26/27 to              FY 28/29</t>
  </si>
  <si>
    <t>CAPITAL FORECAST</t>
  </si>
  <si>
    <t>PIS FORECAST</t>
  </si>
  <si>
    <t>I-5 Upgrade</t>
  </si>
  <si>
    <t>Celilo</t>
  </si>
  <si>
    <t>LINKS</t>
  </si>
  <si>
    <t>Power AFUDC</t>
  </si>
  <si>
    <t>TS AFUDC</t>
  </si>
  <si>
    <t>Linked</t>
  </si>
  <si>
    <t>Hardcoded</t>
  </si>
  <si>
    <t>TS CONST (W/AFUDC)</t>
  </si>
  <si>
    <t>RESERVE FINANCING (Reduces Borrowings)</t>
  </si>
  <si>
    <t>TOTAL TRANSMISSION BONDS (Corp+Envir+Const)</t>
  </si>
  <si>
    <t>ENVIRONMENT (For Borrowing)</t>
  </si>
  <si>
    <t>LGIA CWIP</t>
  </si>
  <si>
    <t>Exclude/Old</t>
  </si>
  <si>
    <t>TOTAL CORPORATE - POWER (For Borrowing)</t>
  </si>
  <si>
    <t>TOTAL POWER BONDS (Corp+AFUDC+Direct for Rev. Req)</t>
  </si>
  <si>
    <t>OVERSUPPLY ADMIN - SPLIT FROM TECH. OPS</t>
  </si>
  <si>
    <t>TRANSMISSION CONSTRUCTION BONDS (For Borrowing)</t>
  </si>
  <si>
    <t>TS AFUDC - Construction</t>
  </si>
  <si>
    <t>TS AFUDC - Corporate/IT</t>
  </si>
  <si>
    <t>Corporate Allocation to Power</t>
  </si>
  <si>
    <t xml:space="preserve">Power IT + Corporate/IT AFUDC </t>
  </si>
  <si>
    <t>Corporate Allocation to Trans</t>
  </si>
  <si>
    <t>Corporate AFUDC for Trans</t>
  </si>
  <si>
    <t>TS CORPORATE W/AFUDC (For Borrowing)</t>
  </si>
  <si>
    <t>Long-Term Forecast</t>
  </si>
  <si>
    <t>Historical</t>
  </si>
  <si>
    <t>Long Term Forecasting</t>
  </si>
  <si>
    <t>IDAHO ENERGY RESOURCE AUTHORITY</t>
  </si>
  <si>
    <t>2nd QC:</t>
  </si>
  <si>
    <t>1st QC:</t>
  </si>
  <si>
    <t>Expense Input</t>
  </si>
  <si>
    <t>Capital Input</t>
  </si>
  <si>
    <t>Plant Investment Model</t>
  </si>
  <si>
    <t>Revenue Requirement</t>
  </si>
  <si>
    <t>Segmentation Study</t>
  </si>
  <si>
    <t>NF w/out DSR and LGIA/COI credits</t>
  </si>
  <si>
    <t>`</t>
  </si>
  <si>
    <t>IPR</t>
  </si>
  <si>
    <t>Total Revenue Requirement</t>
  </si>
  <si>
    <t>Notes:</t>
  </si>
  <si>
    <t>External Worksheet Links (To Update)</t>
  </si>
  <si>
    <t>Date Updated</t>
  </si>
  <si>
    <t>Internal Workbook Links (No Update Required)</t>
  </si>
  <si>
    <t>Multiple</t>
  </si>
  <si>
    <t>Inflation Rates</t>
  </si>
  <si>
    <t>RESERVES NOT FOR RISK</t>
  </si>
  <si>
    <t>RNFR ANNUAL INTEREST INCOME</t>
  </si>
  <si>
    <t>RESERVES FOR RISK</t>
  </si>
  <si>
    <t>PIS With LGIA</t>
  </si>
  <si>
    <t>KSI LT FINANCE &amp; RATES</t>
  </si>
  <si>
    <t>KSI COM OPERATIONS</t>
  </si>
  <si>
    <t>TBL INTERNAL GENERAL &amp; ADMINISTRATIVE</t>
  </si>
  <si>
    <t>KSI's - PICKING UP AS BUSINESS SUPPORT</t>
  </si>
  <si>
    <t>C</t>
  </si>
  <si>
    <t>$
(Million)</t>
  </si>
  <si>
    <t>% Change
in Rates</t>
  </si>
  <si>
    <t>1. Operations</t>
  </si>
  <si>
    <t>2. Maintenance</t>
  </si>
  <si>
    <t>3. Engineering</t>
  </si>
  <si>
    <t>DATA FOR CROSSWALK</t>
  </si>
  <si>
    <t>AVG 20/21</t>
  </si>
  <si>
    <t>AVG 22/23</t>
  </si>
  <si>
    <t>AVG 24/25</t>
  </si>
  <si>
    <t>AVG 18/19</t>
  </si>
  <si>
    <t>Inputs from Rates</t>
  </si>
  <si>
    <t>FY20/21 to FY22/23</t>
  </si>
  <si>
    <t>FY22/23 to FY24/25</t>
  </si>
  <si>
    <t>Date Updated:</t>
  </si>
  <si>
    <t>Last Updated Rates Version:</t>
  </si>
  <si>
    <t>Depreciation &amp; Amortization</t>
  </si>
  <si>
    <t>Total Planned Net Revenue</t>
  </si>
  <si>
    <t>Net Interest Expense</t>
  </si>
  <si>
    <t xml:space="preserve">NON BBL ANCILLARY SERVICES LESS GEN INPUT </t>
  </si>
  <si>
    <t>For Segmentation:</t>
  </si>
  <si>
    <t>2/ Change in rates reflects average across all segments.</t>
  </si>
  <si>
    <t>Transmission Comparison Graphs</t>
  </si>
  <si>
    <t>Current Scenario:</t>
  </si>
  <si>
    <t>Comparison Scenario:</t>
  </si>
  <si>
    <t>18/19 in Current Scenario Held to:</t>
  </si>
  <si>
    <t>Transmission Operations</t>
  </si>
  <si>
    <t>Transmission Engineering</t>
  </si>
  <si>
    <t>Transmission Maintenance</t>
  </si>
  <si>
    <t>Transmission Acq &amp; Ancillary Services</t>
  </si>
  <si>
    <t>BPA Internal Support</t>
  </si>
  <si>
    <t>Other Income, Expenses, &amp; Adjustments</t>
  </si>
  <si>
    <t>Capital Related Costs</t>
  </si>
  <si>
    <t>Total Revenue Requirement Change</t>
  </si>
  <si>
    <t>Total Capital Related Costs Change</t>
  </si>
  <si>
    <t>Difference</t>
  </si>
  <si>
    <t>Total % Change</t>
  </si>
  <si>
    <t>Revenues</t>
  </si>
  <si>
    <t>Total Capital Related Costs</t>
  </si>
  <si>
    <t>Minimum Required Net Revenue (MRNR)</t>
  </si>
  <si>
    <t>IPR Costs</t>
  </si>
  <si>
    <t>Non-IPR Costs (BBL Ancillary Services)</t>
  </si>
  <si>
    <t>5. Internal Support &amp; Undistributed Reduction</t>
  </si>
  <si>
    <t>6. IPR Sub-Total</t>
  </si>
  <si>
    <t>8. Non-IPR Sub-Total</t>
  </si>
  <si>
    <t>11. Revenues</t>
  </si>
  <si>
    <t>BETWEEN BUSINESS LINE ANCILLARY SERVICES</t>
  </si>
  <si>
    <t>NON-BETWEEN BUSINESS LINE ANCILLARY SERVICES</t>
  </si>
  <si>
    <t>Ancillary Services Total Check</t>
  </si>
  <si>
    <t>1/ Includes Net Interest Expense, Depreciation/Amortization and Minimum Required Net Revenues.</t>
  </si>
  <si>
    <t>Capital Related Cost Comparison
(Thousands)</t>
  </si>
  <si>
    <t>Revenue Requirement Comparison
(Thousands)</t>
  </si>
  <si>
    <t>Average Revenue Requirement Comparison
(Thousands)</t>
  </si>
  <si>
    <t>Average Capital Related Cost Comparison
(Thousands)</t>
  </si>
  <si>
    <t>QC
CHECK</t>
  </si>
  <si>
    <t>Corps/Bureau Split</t>
  </si>
  <si>
    <t>BP-18 FP to FY20/21</t>
  </si>
  <si>
    <t>12. Total Change (Line 10 less Line 11)</t>
  </si>
  <si>
    <t>Synchronous Condensors Split</t>
  </si>
  <si>
    <t>SYNCHRONOUS CONDENSERS</t>
  </si>
  <si>
    <t>FINANCING ASSUMPTIONS</t>
  </si>
  <si>
    <t>RESERVE FINANCING</t>
  </si>
  <si>
    <t>REVENUE FINANCING</t>
  </si>
  <si>
    <t>REVENUE FINANCING (Reduces Borrowings)</t>
  </si>
  <si>
    <t>INFLATED COSTS / COSTS PULLED FORWARD  - FOR LONG-TERM VIEW</t>
  </si>
  <si>
    <t>Bureau of Reclamation</t>
  </si>
  <si>
    <t>Corps of Engineers</t>
  </si>
  <si>
    <t>Power AFUDC Allocated Between Bureau &amp; Corps</t>
  </si>
  <si>
    <t>FOR CALCULATION ONLY</t>
  </si>
  <si>
    <t>INFLATED COSTS / COSTS PULLED FORWARD - FOR LONG-TERM VIEW</t>
  </si>
  <si>
    <t>TOTAL MINIMUM REQUIRED NET REVENUE 1/</t>
  </si>
  <si>
    <t>REMAINING PLANNED NET REVENUE</t>
  </si>
  <si>
    <t>Internal Workbook Links</t>
  </si>
  <si>
    <t>Capital Input File</t>
  </si>
  <si>
    <t>NON-FEDERAL INTEREST (INCL CUSTOMER FUNDED)</t>
  </si>
  <si>
    <t>CUSTOMER FUNDED</t>
  </si>
  <si>
    <t>CUSTOMER FUNDED CAPITAL FORECAST</t>
  </si>
  <si>
    <t>LGIA (Includes LLIP)</t>
  </si>
  <si>
    <t>LGIA REVENUES/CREDITS (Includes LLIP)</t>
  </si>
  <si>
    <t>DEBT TO ASSET RATIO</t>
  </si>
  <si>
    <t>CUSTOMER FUNDED PROJECTS NET INTEREST</t>
  </si>
  <si>
    <t>CUSTOMER FUNDED AFUDC (Includes LGIA &amp; LLIP)</t>
  </si>
  <si>
    <t>CUSTOMER FUNDED CAPITAL EXPENDITURES</t>
  </si>
  <si>
    <t>CUSTOMER FUNDED PLANT-IN-SERVICE</t>
  </si>
  <si>
    <t>TOTAL CUSTOMER FUNDED  AFUDC</t>
  </si>
  <si>
    <t>CUSTOMER FUNDED REVENUE CREDITS</t>
  </si>
  <si>
    <t>CUSTOMER FUNDED NET INTEREST</t>
  </si>
  <si>
    <t>CUSTOMER FUNDED DEPRECIATION</t>
  </si>
  <si>
    <t>CUSTOMER FUNDED MRNR</t>
  </si>
  <si>
    <t xml:space="preserve">CUSTOMER FUNDED INTEREST </t>
  </si>
  <si>
    <t>CUSTOMER FUNDED AFUDC</t>
  </si>
  <si>
    <t>FISH &amp; WILDLIFE (For Borrowing)</t>
  </si>
  <si>
    <t>EE/CONSERVATION (For Borrowing) - No longer capitalized</t>
  </si>
  <si>
    <t>BUREAU OF RECLAMATION + AFUDC (For Borrowing)</t>
  </si>
  <si>
    <t>CORPS OF ENGINEERS + AFUDC (For Borrowing)</t>
  </si>
  <si>
    <r>
      <t>TRANSMISSION LONG-TERM RATE FORECAST -</t>
    </r>
    <r>
      <rPr>
        <b/>
        <sz val="14"/>
        <rFont val="Arial"/>
        <family val="2"/>
      </rPr>
      <t xml:space="preserve"> 2031 Segmented</t>
    </r>
    <r>
      <rPr>
        <sz val="14"/>
        <rFont val="Arial"/>
        <family val="2"/>
      </rPr>
      <t xml:space="preserve"> </t>
    </r>
    <r>
      <rPr>
        <b/>
        <sz val="14"/>
        <rFont val="Arial"/>
        <family val="2"/>
      </rPr>
      <t>Revenue Requirement</t>
    </r>
  </si>
  <si>
    <r>
      <t>TRANSMISSION LONG-TERM RATE FORECAST -</t>
    </r>
    <r>
      <rPr>
        <b/>
        <sz val="14"/>
        <rFont val="Arial"/>
        <family val="2"/>
      </rPr>
      <t xml:space="preserve"> 2032 Segmented</t>
    </r>
    <r>
      <rPr>
        <sz val="14"/>
        <rFont val="Arial"/>
        <family val="2"/>
      </rPr>
      <t xml:space="preserve"> </t>
    </r>
    <r>
      <rPr>
        <b/>
        <sz val="14"/>
        <rFont val="Arial"/>
        <family val="2"/>
      </rPr>
      <t>Revenue Requirement</t>
    </r>
  </si>
  <si>
    <t>*Excludes regulatory assets and includes PFIA</t>
  </si>
  <si>
    <t>COI - REPAID IN 2018</t>
  </si>
  <si>
    <t>COI REVENUES/CREDITS - REPAID IN 2018</t>
  </si>
  <si>
    <t>Reference Documents:</t>
  </si>
  <si>
    <t>Corporate Allocation</t>
  </si>
  <si>
    <t>AFUDC Adjustment Factor</t>
  </si>
  <si>
    <t>CORPORATE CAPITAL (Allocation of Total)</t>
  </si>
  <si>
    <t>LGIA Assumption (see notes)</t>
  </si>
  <si>
    <t>LGIA Out Year Assumption (See notes)</t>
  </si>
  <si>
    <t>AFUDC Balances</t>
  </si>
  <si>
    <t>QC Transmission Operations Totals</t>
  </si>
  <si>
    <t>TECHNICAL OPERATIONS (Includes Oversupply Admin)</t>
  </si>
  <si>
    <t>TOP CONTRACTS BACKED OUT</t>
  </si>
  <si>
    <t>2010 - 2016 SEGMENTATION STUDY AVERAGES</t>
  </si>
  <si>
    <t>Verify Matches Seg Dev</t>
  </si>
  <si>
    <t>Verify Ties to Segmented Rev Req - Value will be Non-BBL (In Segmented Rev Req: Non-BBL is excluded from O&amp;M, included in Trans Acquisition line item)</t>
  </si>
  <si>
    <t>Verify Ties to Segmented Rev Req - Value will be Negative Non-BBL  (In Segmented Rev Req: Non-BBL is excluded from O&amp;M, included in Trans Acquisition line item)</t>
  </si>
  <si>
    <t>Verify Total Matches Segmented Rev Req</t>
  </si>
  <si>
    <t>26/27/28</t>
  </si>
  <si>
    <t>29/30</t>
  </si>
  <si>
    <t>31/32</t>
  </si>
  <si>
    <t>AVG 26/27/28</t>
  </si>
  <si>
    <t>AVG 29/30</t>
  </si>
  <si>
    <t>HELD TO BP-18 FINAL PROPOSAL</t>
  </si>
  <si>
    <t>FY24/25 to FY26/27/28</t>
  </si>
  <si>
    <t>FY26/27/28 to FY29/30</t>
  </si>
  <si>
    <t>Change from
FY20/21 to FY22/23</t>
  </si>
  <si>
    <t>Change from
BP-18 to FY20/21</t>
  </si>
  <si>
    <t>Change from
FY22/23 to FY 24/25</t>
  </si>
  <si>
    <t>Change from
FY24/25 to FY26/27/28</t>
  </si>
  <si>
    <t>Change from
FY26/27/28 to FY29/30</t>
  </si>
  <si>
    <t>REFERENCE:</t>
  </si>
  <si>
    <t>Leverage Phase In</t>
  </si>
  <si>
    <t>Initial Proposal</t>
  </si>
  <si>
    <t>Corp/Bureau Network and Delivery (BBL)</t>
  </si>
  <si>
    <t>Generation Dropping (BBL)</t>
  </si>
  <si>
    <t>Synchronous Condensor (BBL)</t>
  </si>
  <si>
    <t>Redispatch (BBL)</t>
  </si>
  <si>
    <t>Station Service (BBL)</t>
  </si>
  <si>
    <t>Total O&amp;M</t>
  </si>
  <si>
    <t>Updated by FS:</t>
  </si>
  <si>
    <t>M. McGraw</t>
  </si>
  <si>
    <t>FEDERAL SUB-TOTAL (SANS INTEREST INCOME)</t>
  </si>
  <si>
    <r>
      <t xml:space="preserve">DIRECT DEPRECIATION </t>
    </r>
    <r>
      <rPr>
        <sz val="8"/>
        <color theme="1"/>
        <rFont val="Arial"/>
        <family val="2"/>
      </rPr>
      <t>(Including Customer Funded)</t>
    </r>
  </si>
  <si>
    <t>NON FEDERAL SUB-TOTAL Minus DSR</t>
  </si>
  <si>
    <r>
      <t>TRANSMISSION LONG-TERM RATE FORECAST -</t>
    </r>
    <r>
      <rPr>
        <b/>
        <sz val="14"/>
        <rFont val="Arial"/>
        <family val="2"/>
      </rPr>
      <t xml:space="preserve"> 2033 Segmented</t>
    </r>
    <r>
      <rPr>
        <sz val="14"/>
        <rFont val="Arial"/>
        <family val="2"/>
      </rPr>
      <t xml:space="preserve"> </t>
    </r>
    <r>
      <rPr>
        <b/>
        <sz val="14"/>
        <rFont val="Arial"/>
        <family val="2"/>
      </rPr>
      <t>Revenue Requirement</t>
    </r>
  </si>
  <si>
    <r>
      <t>TRANSMISSION LONG-TERM RATE FORECAST -</t>
    </r>
    <r>
      <rPr>
        <b/>
        <sz val="14"/>
        <rFont val="Arial"/>
        <family val="2"/>
      </rPr>
      <t xml:space="preserve"> 2034 Segmented</t>
    </r>
    <r>
      <rPr>
        <sz val="14"/>
        <rFont val="Arial"/>
        <family val="2"/>
      </rPr>
      <t xml:space="preserve"> </t>
    </r>
    <r>
      <rPr>
        <b/>
        <sz val="14"/>
        <rFont val="Arial"/>
        <family val="2"/>
      </rPr>
      <t>Revenue Requirement</t>
    </r>
  </si>
  <si>
    <t>Year</t>
  </si>
  <si>
    <t>LGIA Out Year Assumption: Per e-mail with Kathy, hold LGIA flat for years past 2032.
The Trans Capital Expenditures Row is an Array Formula and is locked</t>
  </si>
  <si>
    <t>Table 4</t>
  </si>
  <si>
    <t>Appropriations Borrowing Rates</t>
  </si>
  <si>
    <t>(continued on next page)</t>
  </si>
  <si>
    <t>Maturity</t>
  </si>
  <si>
    <t>1 Year</t>
  </si>
  <si>
    <t>2 Year</t>
  </si>
  <si>
    <t>3 Year</t>
  </si>
  <si>
    <t>4 Year</t>
  </si>
  <si>
    <t>5 Year</t>
  </si>
  <si>
    <t>6 Year</t>
  </si>
  <si>
    <t>7 Year</t>
  </si>
  <si>
    <t>8 Year</t>
  </si>
  <si>
    <t>9 Year</t>
  </si>
  <si>
    <t>10 Year</t>
  </si>
  <si>
    <t>11 Year</t>
  </si>
  <si>
    <t>12 Year</t>
  </si>
  <si>
    <t>13 Year</t>
  </si>
  <si>
    <t>14 Year</t>
  </si>
  <si>
    <t>15 Year</t>
  </si>
  <si>
    <t>16 Year</t>
  </si>
  <si>
    <t>17 Year</t>
  </si>
  <si>
    <t>18 Year</t>
  </si>
  <si>
    <t>19 Year</t>
  </si>
  <si>
    <t>20 Year</t>
  </si>
  <si>
    <t>21 Year</t>
  </si>
  <si>
    <t>22 Year</t>
  </si>
  <si>
    <t>23 Year</t>
  </si>
  <si>
    <t>24 Year</t>
  </si>
  <si>
    <t>25 Year</t>
  </si>
  <si>
    <t>26 Year</t>
  </si>
  <si>
    <t>27 Year</t>
  </si>
  <si>
    <t>28 Year</t>
  </si>
  <si>
    <t>29 Year</t>
  </si>
  <si>
    <t>30 Year</t>
  </si>
  <si>
    <t>50 Year</t>
  </si>
  <si>
    <t xml:space="preserve">     Refinancing Act, 16 U.S.C. 8381 enacted on April 26, 1996, and are independent</t>
  </si>
  <si>
    <t xml:space="preserve">     of the Global Insight Treasury Yield forecasts.</t>
  </si>
  <si>
    <t>Assumptions:</t>
  </si>
  <si>
    <t>STRATEGIC INTEGRATION</t>
  </si>
  <si>
    <t xml:space="preserve"> (Previously Energy Imbalance Market - EIM)</t>
  </si>
  <si>
    <t xml:space="preserve"> (TOP Contracts - Within System Operations Node)</t>
  </si>
  <si>
    <t>TRANSMISSION SYSTEM OPERATOR</t>
  </si>
  <si>
    <t>LEASED FACILITIES</t>
  </si>
  <si>
    <t>(NBBL)</t>
  </si>
  <si>
    <t>SETTLEMENT AGREEMENTS</t>
  </si>
  <si>
    <t>TRANSMISSION OPERATIONS TOTAL</t>
  </si>
  <si>
    <t>TRANSMISSION ENGINEERING TOTAL</t>
  </si>
  <si>
    <t>TBL REIMBURSABLES TOTAL</t>
  </si>
  <si>
    <t>GEN &amp; ADMIN/SHARED SERVICES TOTAL</t>
  </si>
  <si>
    <t>TRANSMISSION MAINTENANCE TOTAL</t>
  </si>
  <si>
    <t>Including Environment</t>
  </si>
  <si>
    <t>LESS: PRINCIPAL REPAYMENT</t>
  </si>
  <si>
    <t>PRIOR YEAR NET DEBT OUTSTANDING</t>
  </si>
  <si>
    <t>PRIOR YEAR COMPLETED PLANT BALANCE</t>
  </si>
  <si>
    <t>CWIP</t>
  </si>
  <si>
    <t>LESS:  PRIOR YEAR ACCUMULATED DEPRECIATION*</t>
  </si>
  <si>
    <t>LESS: CURRENT YEAR DEPRECIATION*</t>
  </si>
  <si>
    <t>CASH FLOW BEFORE REVENUE FINANCING</t>
  </si>
  <si>
    <t>Temp Hardcode PreIPR</t>
  </si>
  <si>
    <t xml:space="preserve">regional compliance enforcement/regional coordinator (previously WECC/Peak) </t>
  </si>
  <si>
    <t>Input Drivers</t>
  </si>
  <si>
    <t>Capital Input File Dates row need to be checked, and Match function has to start on the same row</t>
  </si>
  <si>
    <t>MAIN GRID Direct &amp; Indirects</t>
  </si>
  <si>
    <t>AREA &amp; CUSTOMER SERVICE Direct &amp; Indirects</t>
  </si>
  <si>
    <t>SYSTEM REPLACEMENTS Direct &amp; Indirects</t>
  </si>
  <si>
    <t>UPGRADES &amp; ADDITIONS Direct &amp; Indirects</t>
  </si>
  <si>
    <t>ENVIRONMENT CAPITAL Direct &amp; Indirects</t>
  </si>
  <si>
    <t>PFIA Direct &amp; Indirects</t>
  </si>
  <si>
    <t>Facilities Management Direct</t>
  </si>
  <si>
    <t>IT INFRASTRUCTURE PROJECTS Direct</t>
  </si>
  <si>
    <t>&lt;&lt;&lt;&lt;&lt;ARRAY FORMULA&gt;&gt;&gt;&gt;&gt;</t>
  </si>
  <si>
    <t>IT CORPT PROJECTS CAP Direct</t>
  </si>
  <si>
    <t>Straightlined forward for long term view</t>
  </si>
  <si>
    <t>NON FEDERAL SUB-TOTAL + LGIA</t>
  </si>
  <si>
    <t>Subtot-LGIA</t>
  </si>
  <si>
    <t>Lease Purchase Bond</t>
  </si>
  <si>
    <t>Lease Purchase LOC</t>
  </si>
  <si>
    <t xml:space="preserve">  </t>
  </si>
  <si>
    <t>CASH FROM TREASURY BORROWING AND APPROP.</t>
  </si>
  <si>
    <t>OTHER INCOME AND ADJUSTMENTS</t>
  </si>
  <si>
    <t>non IPR</t>
  </si>
  <si>
    <t>TOTAL NON-IPR</t>
  </si>
  <si>
    <t>TOTAL IPR</t>
  </si>
  <si>
    <t>Difference in Highlighted yellow block Ancillary Services above</t>
  </si>
  <si>
    <r>
      <t xml:space="preserve">4. Ancillary Services </t>
    </r>
    <r>
      <rPr>
        <sz val="10"/>
        <color theme="1"/>
        <rFont val="Arial"/>
        <family val="2"/>
      </rPr>
      <t>(Non-Between Business Line)</t>
    </r>
  </si>
  <si>
    <r>
      <t xml:space="preserve">7. Ancillary Services </t>
    </r>
    <r>
      <rPr>
        <sz val="10"/>
        <color theme="1"/>
        <rFont val="Arial"/>
        <family val="2"/>
      </rPr>
      <t>(Between Business Line)</t>
    </r>
  </si>
  <si>
    <r>
      <t xml:space="preserve">9. Capital Related Costs </t>
    </r>
    <r>
      <rPr>
        <b/>
        <vertAlign val="superscript"/>
        <sz val="11"/>
        <color theme="1"/>
        <rFont val="Arial"/>
        <family val="2"/>
      </rPr>
      <t>1/</t>
    </r>
  </si>
  <si>
    <r>
      <t xml:space="preserve">10. Total Revenue Requirement  (Lines 5+7+8) </t>
    </r>
    <r>
      <rPr>
        <b/>
        <vertAlign val="superscript"/>
        <sz val="11"/>
        <color theme="1"/>
        <rFont val="Arial"/>
        <family val="2"/>
      </rPr>
      <t>2/</t>
    </r>
  </si>
  <si>
    <r>
      <t xml:space="preserve">Ancillary Services </t>
    </r>
    <r>
      <rPr>
        <vertAlign val="superscript"/>
        <sz val="11"/>
        <color rgb="FFFF0000"/>
        <rFont val="Calibri"/>
        <family val="2"/>
        <scheme val="minor"/>
      </rPr>
      <t>1/</t>
    </r>
  </si>
  <si>
    <r>
      <t xml:space="preserve">Use of Reserves for Rate Relief </t>
    </r>
    <r>
      <rPr>
        <vertAlign val="superscript"/>
        <sz val="11"/>
        <color rgb="FFFF0000"/>
        <rFont val="Calibri"/>
        <family val="2"/>
        <scheme val="minor"/>
      </rPr>
      <t>2/</t>
    </r>
  </si>
  <si>
    <r>
      <t xml:space="preserve">     Capital Related Costs </t>
    </r>
    <r>
      <rPr>
        <b/>
        <vertAlign val="superscript"/>
        <sz val="11"/>
        <color rgb="FFFF0000"/>
        <rFont val="Calibri"/>
        <family val="2"/>
        <scheme val="minor"/>
      </rPr>
      <t>3/</t>
    </r>
  </si>
  <si>
    <r>
      <t xml:space="preserve">Total Change in Rates </t>
    </r>
    <r>
      <rPr>
        <sz val="10"/>
        <color rgb="FFFF0000"/>
        <rFont val="Calibri"/>
        <family val="2"/>
        <scheme val="minor"/>
      </rPr>
      <t>(Lines 5+8+13)</t>
    </r>
    <r>
      <rPr>
        <b/>
        <sz val="11"/>
        <color rgb="FFFF0000"/>
        <rFont val="Calibri"/>
        <family val="2"/>
        <scheme val="minor"/>
      </rPr>
      <t xml:space="preserve"> </t>
    </r>
    <r>
      <rPr>
        <b/>
        <vertAlign val="superscript"/>
        <sz val="11"/>
        <color rgb="FFFF0000"/>
        <rFont val="Calibri"/>
        <family val="2"/>
        <scheme val="minor"/>
      </rPr>
      <t xml:space="preserve">4/ </t>
    </r>
  </si>
  <si>
    <r>
      <t xml:space="preserve">Total Change in Rates </t>
    </r>
    <r>
      <rPr>
        <sz val="10"/>
        <color rgb="FFFF0000"/>
        <rFont val="Calibri"/>
        <family val="2"/>
        <scheme val="minor"/>
      </rPr>
      <t>(Row 10+11)</t>
    </r>
    <r>
      <rPr>
        <b/>
        <sz val="11"/>
        <color rgb="FFFF0000"/>
        <rFont val="Calibri"/>
        <family val="2"/>
        <scheme val="minor"/>
      </rPr>
      <t xml:space="preserve"> </t>
    </r>
    <r>
      <rPr>
        <b/>
        <vertAlign val="superscript"/>
        <sz val="11"/>
        <color rgb="FFFF0000"/>
        <rFont val="Calibri"/>
        <family val="2"/>
        <scheme val="minor"/>
      </rPr>
      <t xml:space="preserve">4/ </t>
    </r>
  </si>
  <si>
    <t>Superseded by Rates Crosswalk Tab?</t>
  </si>
  <si>
    <t>ASSETS (INCLUDE CORP ALLOCATION)</t>
  </si>
  <si>
    <t>NEW FEDERAL BORROWING</t>
  </si>
  <si>
    <t>NEW NON-FEDERAL BORROWING</t>
  </si>
  <si>
    <t>DEFERRED BORROWING</t>
  </si>
  <si>
    <t>NEW BPA-FINANCED INVESTMENT</t>
  </si>
  <si>
    <t>NEW NONBPA FINANCED INVESTMENT</t>
  </si>
  <si>
    <t>ADJUSTMENTS TO DEPRECIATION</t>
  </si>
  <si>
    <t xml:space="preserve">Debt to Asset Ratio Calculation 
</t>
  </si>
  <si>
    <t>NOT OFFICIAL LEVERAGE POLICY CALC</t>
  </si>
  <si>
    <t>MINIMUM REQUIRED NET REVENUE CALCULATION (Cash Flow)</t>
  </si>
  <si>
    <t>DSR Gapped Ungapped</t>
  </si>
  <si>
    <t>Energy Imbalance</t>
  </si>
  <si>
    <t>EIM Unallocated Charges</t>
  </si>
  <si>
    <t>Energy Imbalance Unallocated Charges</t>
  </si>
  <si>
    <t>ANCILLARY SERVICES PAYMENTS (BBL) "Gen Inputs"</t>
  </si>
  <si>
    <t xml:space="preserve">168 Hr In-kind Delay Losses Service </t>
  </si>
  <si>
    <t>TRANSMISSION LONG-TERM RATE FORECAST - CAPITAL INPUT FILE</t>
  </si>
  <si>
    <t>TOTAL TS CAPITAL (THIS INCLUDES PFIA - NOT FOR BORROWING OR REV REQ)</t>
  </si>
  <si>
    <t>Table 9</t>
  </si>
  <si>
    <t>Calendar Year</t>
  </si>
  <si>
    <t>Fiscal Year</t>
  </si>
  <si>
    <t>F
Change in the
GDP Price
Deflator</t>
  </si>
  <si>
    <t>G
Change in the
Cumulative
Price Deflator</t>
  </si>
  <si>
    <t>(B-D)</t>
  </si>
  <si>
    <t>(C-E)</t>
  </si>
  <si>
    <t xml:space="preserve">     Except for Column A which represents a standard Calendar Year.</t>
  </si>
  <si>
    <t>Power: Direct Funding AFUDC</t>
  </si>
  <si>
    <t>Power: Capital Equip. AFUDC (IT &amp; Corporate)</t>
  </si>
  <si>
    <t>Plant-in-Service No LGIA/w LGIA</t>
  </si>
  <si>
    <t>Lapse Factor</t>
  </si>
  <si>
    <t>DO NOT USE - FOR CALCULATION PURPOSES</t>
  </si>
  <si>
    <t>Main Grid</t>
  </si>
  <si>
    <t>Area &amp; Customer Service</t>
  </si>
  <si>
    <t>System Replacements</t>
  </si>
  <si>
    <t>Upgrades &amp; Additions</t>
  </si>
  <si>
    <t>Environmental Capital</t>
  </si>
  <si>
    <t>Fish &amp; Wildlife</t>
  </si>
  <si>
    <t>Power Information Technology</t>
  </si>
  <si>
    <t>Conservation Aquisition / EE - No longer capitalized</t>
  </si>
  <si>
    <t xml:space="preserve">Trans Lapse Factor </t>
  </si>
  <si>
    <t>Facilities Management</t>
  </si>
  <si>
    <t>IT Infrastructure Projects (Hardware / Equipment)</t>
  </si>
  <si>
    <t>IT Application/System Support (Software) - IT CORPT PROJECTS</t>
  </si>
  <si>
    <t>IT Power Application Systems (Charge 100% to Power)</t>
  </si>
  <si>
    <t>Power Total</t>
  </si>
  <si>
    <t>Transmission Total</t>
  </si>
  <si>
    <t>Corporate Total</t>
  </si>
  <si>
    <t>CORPS OF ENGINEERS + AFUDC</t>
  </si>
  <si>
    <t xml:space="preserve">         Revenue Financing (reduces borrowings)</t>
  </si>
  <si>
    <t xml:space="preserve"> </t>
  </si>
  <si>
    <t>updated</t>
  </si>
  <si>
    <t>BP-24 TS IPR Plant Model - mk1 v1 (TC)</t>
  </si>
  <si>
    <t>BP-24 Transmission Segmentation Documentation v2</t>
  </si>
  <si>
    <t>BP-22_E-BPA-06A Generation Inputs Study Documentation. Pdf page 33</t>
  </si>
  <si>
    <t>Used on [Segmented Rev Req] tab</t>
  </si>
  <si>
    <t>linked to other tabs</t>
  </si>
  <si>
    <t>Data used in other tab</t>
  </si>
  <si>
    <t>Used on ]Ancillary Services]</t>
  </si>
  <si>
    <t>Used on [Segmented Rev Req] tab; [Ancillary Services]</t>
  </si>
  <si>
    <t>Change title, double check links after updating GI Forecast</t>
  </si>
  <si>
    <t>Last Update: 2022.02.18</t>
  </si>
  <si>
    <t>2/ FY 2022 Appropriation rates are determined in accordance with BPA Appropriations</t>
  </si>
  <si>
    <t>Inflation Forecast (GDP Deflator) and Comparison</t>
  </si>
  <si>
    <t>2/ Fiscal Year Cumulative Price Deflator escalates to midyear dollars.  The first year, 2022, is determined as follows: 1.017=(.0347*.5)+1.</t>
  </si>
  <si>
    <t xml:space="preserve">     An example of subsequent year cumulative growth, such as in 2022, is found as: 1.043=(1+.0250)*1.01735</t>
  </si>
  <si>
    <t>used in other tabs</t>
  </si>
  <si>
    <t>Ln 73 + 75</t>
  </si>
  <si>
    <t>matched to Seg Dev</t>
  </si>
  <si>
    <t>BP-22 FP</t>
  </si>
  <si>
    <t>For reference to check againse Segmented Rev Req</t>
  </si>
  <si>
    <t>BP24</t>
  </si>
  <si>
    <t>0027FY22_Capital Expenditures FY22_2022-03-31 EOY Forecast</t>
  </si>
  <si>
    <t>Use possible borrowing plan</t>
  </si>
  <si>
    <t>(P)F&amp;W borrowing</t>
  </si>
  <si>
    <t>(P)Reclamation spending</t>
  </si>
  <si>
    <t>(P)Corps spending</t>
  </si>
  <si>
    <t>(P)IT/Agency Srvcs spending</t>
  </si>
  <si>
    <t>(P)less revenue financing (BOR)</t>
  </si>
  <si>
    <t>(P)less revenue financing (Corps)</t>
  </si>
  <si>
    <t>(P)plus AFUDC (BOR)</t>
  </si>
  <si>
    <t>(P)plus AFUDC (Corp)</t>
  </si>
  <si>
    <t>(P)plus AFUDC (IT)</t>
  </si>
  <si>
    <t>correct to remove corp split</t>
  </si>
  <si>
    <t>CORPORATE AFUDC (IT AFUDC)</t>
  </si>
  <si>
    <t>Preliminary BP24 IPR</t>
  </si>
  <si>
    <t>KSI ASSET MANAGEMENT EXP</t>
  </si>
  <si>
    <t>not used any where, consider deleting</t>
  </si>
  <si>
    <r>
      <t xml:space="preserve">USE FOR BORROWING PLAN &amp; REPAYMENT MODEL </t>
    </r>
    <r>
      <rPr>
        <b/>
        <sz val="11"/>
        <color rgb="FF0000FF"/>
        <rFont val="Arial"/>
        <family val="2"/>
      </rPr>
      <t>[for BP-24 use Capital Input file for Treasury 50622 (Alex w-AFuDC) for Repayment Fed Projections]</t>
    </r>
  </si>
  <si>
    <t>CWIP FY21 EOY Balances (FY21 YE 1017)</t>
  </si>
  <si>
    <t>AFUDC Rate FY22 memo</t>
  </si>
  <si>
    <t>BP22 FP</t>
  </si>
  <si>
    <t>Revenue Requirement tab</t>
  </si>
  <si>
    <t>external</t>
  </si>
  <si>
    <t>BP22 FP (T3339)</t>
  </si>
  <si>
    <t>Checked to Capital input (alex's tab)-good</t>
  </si>
  <si>
    <t>using Bp22 source file</t>
  </si>
  <si>
    <t>DEBT (Fed + NF)</t>
  </si>
  <si>
    <t>ASSET RETIREMENT &amp; Amortization of Assets</t>
  </si>
  <si>
    <t>Revenue Requirement &amp; Repayment Input</t>
  </si>
  <si>
    <t xml:space="preserve">NOTES:
LGIA Out Year Assumption: Per e-mail with Kathy, hold LGIA flat for years past 2032. Customer Funded Capital Forecast is straightlined 2033 onward.
Per GWEN, new PIS file not avail until end of May - using BP22FP file source with GP added
</t>
  </si>
  <si>
    <t>BP-24 TS IPR Plant Model - mk2 v1</t>
  </si>
  <si>
    <t>Tracy Carlson</t>
  </si>
  <si>
    <t>Capital input file w capital fin policy rates</t>
  </si>
  <si>
    <t>DSR Adjustments</t>
  </si>
  <si>
    <t>NIFC Adj (int Income)</t>
  </si>
  <si>
    <t>Lease Purchase (POM, IERA)</t>
  </si>
  <si>
    <t>LP Adj (Lease Op Exp)</t>
  </si>
  <si>
    <t>IT INFRASTRUCTURE PROJECTS</t>
  </si>
  <si>
    <t>A
2024
Calendar Year
GDP Price
Deflator</t>
  </si>
  <si>
    <t>B
2024
Fiscal Year
GDP Price
Deflator</t>
  </si>
  <si>
    <t>C
2024
Fiscal Year
Cumulative
Price Deflator</t>
  </si>
  <si>
    <t>D
2022
Fiscal Year
GDP Price
Deflator</t>
  </si>
  <si>
    <t>E
2022
Fiscal Year
Cumulative
Price Deflator</t>
  </si>
  <si>
    <t>(Base Year 2022)</t>
  </si>
  <si>
    <t>Last Update   2024.3.22</t>
  </si>
  <si>
    <t>Quay Rubin</t>
  </si>
  <si>
    <t>IPR STRATEGIC PROJECTS AM</t>
  </si>
  <si>
    <t>IPR STRATEGIC PROJECTS OPS</t>
  </si>
  <si>
    <t>IPR STRATEGIC PROJECTS CA</t>
  </si>
  <si>
    <t>Trans IP Plant Model</t>
  </si>
  <si>
    <t>BP26-IP-Tranmission Segmentation Documentation-v2</t>
  </si>
  <si>
    <t>XXXX</t>
  </si>
  <si>
    <t>Non BBL Balancing Reserves</t>
  </si>
  <si>
    <t>NON BBL BALANCING RESERVES</t>
  </si>
  <si>
    <t>0006506 - ASSET MGMT ENTERPRISE SVCS</t>
  </si>
  <si>
    <t>0006542 - ASSET MGMT EXEC &amp; ADMIN SVCS</t>
  </si>
  <si>
    <t>0006510 - COMM ACTVTS ENTRPRSE SVCS</t>
  </si>
  <si>
    <t>0006579 - COMM ACT EXEC &amp; ADMIN SVCS</t>
  </si>
  <si>
    <t>0006507 - OPERATIONS ENTERPRISE SVCS</t>
  </si>
  <si>
    <t>0006578 - TRANS GRID MOD EXISTING</t>
  </si>
  <si>
    <t>0006587 - OPERATIONS EXEC &amp; ADMIN SVCS</t>
  </si>
  <si>
    <t>Get the inflation worksheet o KGW driveand update this portion</t>
  </si>
  <si>
    <t>Update Exepnse Input Tab</t>
  </si>
  <si>
    <t>EIM INTERNAL SUPPORT</t>
  </si>
  <si>
    <t>Compated to Seg Dev</t>
  </si>
  <si>
    <t>Compare Columns E-K to D</t>
  </si>
  <si>
    <t>BPA Fiscal Years 2022-2051</t>
  </si>
  <si>
    <t>1/ All values represent a Bonneville Fiscal Year (October 1 - September 30).</t>
  </si>
  <si>
    <t>Appropriations Borrowing Rates - 1 Year Rate</t>
  </si>
  <si>
    <r>
      <t xml:space="preserve">WECC/PEAK </t>
    </r>
    <r>
      <rPr>
        <i/>
        <sz val="11"/>
        <rFont val="Arial"/>
        <family val="2"/>
      </rPr>
      <t>(PART OF TS ENGINEERING)</t>
    </r>
  </si>
  <si>
    <t>Gen Inputs Settlement Addition - 3PS Acquisition Expense</t>
  </si>
  <si>
    <r>
      <t xml:space="preserve">DIRECT DEPRECIATION </t>
    </r>
    <r>
      <rPr>
        <sz val="8"/>
        <rFont val="Arial"/>
        <family val="2"/>
      </rPr>
      <t>(Including Customer Funded)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</si>
</sst>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9">
    <numFmt numFmtId="5" formatCode="&quot;$&quot;#,##0_);\(&quot;$&quot;#,##0\)"/>
    <numFmt numFmtId="6" formatCode="&quot;$&quot;#,##0_);[Red]\(&quot;$&quot;#,##0\)"/>
    <numFmt numFmtId="41" formatCode="_(* #,##0_);_(* \(#,##0\);_(* &quot;-&quot;_);_(@_)"/>
    <numFmt numFmtId="44" formatCode="_(&quot;$&quot;* #,##0.00_);_(&quot;$&quot;* \(#,##0.00\);_(&quot;$&quot;* &quot;-&quot;??_);_(@_)"/>
    <numFmt numFmtId="43" formatCode="_(* #,##0.00_);_(* \(#,##0.00\);_(* &quot;-&quot;??_);_(@_)"/>
    <numFmt numFmtId="164" formatCode="_(* #,##0.00000_);_(* \(#,##0.00000\);_(* &quot;-&quot;??_);_(@_)"/>
    <numFmt numFmtId="165" formatCode="_(* #,##0.0_);_(* \(#,##0.0\);_(* &quot;-&quot;_);_(@_)"/>
    <numFmt numFmtId="166" formatCode="0.000000"/>
    <numFmt numFmtId="167" formatCode="d\.mmm\.yy"/>
    <numFmt numFmtId="168" formatCode="0.00_)"/>
    <numFmt numFmtId="169" formatCode="0.0_)\%;\(0.0\)\%;0.0_)\%;@_)_%"/>
    <numFmt numFmtId="170" formatCode="#,##0.0_)_%;\(#,##0.0\)_%;0.0_)_%;@_)_%"/>
    <numFmt numFmtId="171" formatCode="#,##0.0_);\(#,##0.0\);#,##0.0_);@_)"/>
    <numFmt numFmtId="172" formatCode="&quot;$&quot;_(#,##0.00_);&quot;$&quot;\(#,##0.00\);&quot;$&quot;_(0.00_);@_)"/>
    <numFmt numFmtId="173" formatCode="#,##0.00_);\(#,##0.00\);0.00_);@_)"/>
    <numFmt numFmtId="174" formatCode="\€_(#,##0.00_);\€\(#,##0.00\);\€_(0.00_);@_)"/>
    <numFmt numFmtId="175" formatCode="#,##0.0_)\x;\(#,##0.0\)\x;0.0_)\x;@_)_x"/>
    <numFmt numFmtId="176" formatCode="#,##0.0_)_x;\(#,##0.0\)_x;0.0_)_x;@_)_x"/>
    <numFmt numFmtId="177" formatCode="_(* #,##0.00_);\(* #,##0.00\);_(* &quot;-&quot;??_);_(@_)"/>
    <numFmt numFmtId="178" formatCode="0.000%;;"/>
    <numFmt numFmtId="179" formatCode="_(* #,##0_);_(* \(#,##0\);_(* &quot;-&quot;??_);_(@_)"/>
    <numFmt numFmtId="180" formatCode="_(* #,##0.0000_);_(* \(#,##0.0000\);_(* &quot;-&quot;??_);_(@_)"/>
    <numFmt numFmtId="181" formatCode="_(* #,##0.0_);_(* \(#,##0.0\);_(* &quot;-&quot;??_);_(@_)"/>
    <numFmt numFmtId="182" formatCode="0.0%"/>
    <numFmt numFmtId="183" formatCode="0.0"/>
    <numFmt numFmtId="184" formatCode="_(* #,##0.000_);_(* \(#,##0.000\);_(* &quot;-&quot;??_);_(@_)"/>
    <numFmt numFmtId="185" formatCode="_(* #,##0.000000_);_(* \(#,##0.000000\);_(* &quot;-&quot;??_);_(@_)"/>
    <numFmt numFmtId="186" formatCode="0.000"/>
    <numFmt numFmtId="187" formatCode="_(&quot;$&quot;* #,##0_);_(&quot;$&quot;* \(#,##0\);_(&quot;$&quot;* &quot;-&quot;??_);_(@_)"/>
  </numFmts>
  <fonts count="217">
    <font>
      <sz val="11"/>
      <color theme="1"/>
      <name val="Calibri"/>
      <family val="2"/>
      <scheme val="minor"/>
    </font>
    <font>
      <sz val="11"/>
      <name val="Arial"/>
      <family val="2"/>
    </font>
    <font>
      <sz val="11"/>
      <color theme="1"/>
      <name val="Arial"/>
      <family val="2"/>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0"/>
      <name val="Arial"/>
      <family val="2"/>
    </font>
    <font>
      <b/>
      <sz val="10"/>
      <name val="Arial"/>
      <family val="2"/>
    </font>
    <font>
      <b/>
      <sz val="10"/>
      <name val="MS Sans Serif"/>
      <family val="2"/>
    </font>
    <font>
      <sz val="10"/>
      <name val="Arial"/>
      <family val="2"/>
    </font>
    <font>
      <sz val="8"/>
      <name val="Arial"/>
      <family val="2"/>
    </font>
    <font>
      <b/>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1"/>
      <color indexed="8"/>
      <name val="Calibri"/>
      <family val="2"/>
    </font>
    <font>
      <sz val="11"/>
      <color indexed="10"/>
      <name val="Calibri"/>
      <family val="2"/>
    </font>
    <font>
      <sz val="10"/>
      <color indexed="8"/>
      <name val="MS Sans Serif"/>
      <family val="2"/>
    </font>
    <font>
      <sz val="10"/>
      <name val="Tahoma"/>
      <family val="2"/>
    </font>
    <font>
      <sz val="10"/>
      <name val="Helv"/>
    </font>
    <font>
      <sz val="10"/>
      <name val="MS Serif"/>
      <family val="1"/>
    </font>
    <font>
      <sz val="10"/>
      <name val="Courier"/>
      <family val="3"/>
    </font>
    <font>
      <sz val="12"/>
      <color indexed="24"/>
      <name val="Arial"/>
      <family val="2"/>
    </font>
    <font>
      <b/>
      <sz val="12"/>
      <name val="Arial"/>
      <family val="2"/>
    </font>
    <font>
      <b/>
      <sz val="15"/>
      <color indexed="62"/>
      <name val="Calibri"/>
      <family val="2"/>
    </font>
    <font>
      <b/>
      <sz val="11"/>
      <color indexed="62"/>
      <name val="Calibri"/>
      <family val="2"/>
    </font>
    <font>
      <sz val="10"/>
      <color indexed="12"/>
      <name val="Arial"/>
      <family val="2"/>
    </font>
    <font>
      <sz val="7"/>
      <name val="Small Fonts"/>
      <family val="2"/>
    </font>
    <font>
      <b/>
      <i/>
      <sz val="16"/>
      <name val="Helv"/>
    </font>
    <font>
      <sz val="10"/>
      <name val="MS Sans Serif"/>
      <family val="2"/>
    </font>
    <font>
      <sz val="8"/>
      <name val="Helv"/>
    </font>
    <font>
      <b/>
      <sz val="8"/>
      <color indexed="8"/>
      <name val="Helv"/>
    </font>
    <font>
      <b/>
      <sz val="18"/>
      <color indexed="62"/>
      <name val="Cambria"/>
      <family val="2"/>
    </font>
    <font>
      <b/>
      <sz val="14"/>
      <color indexed="56"/>
      <name val="Arial"/>
      <family val="2"/>
    </font>
    <font>
      <u/>
      <sz val="10"/>
      <color indexed="12"/>
      <name val="Arial"/>
      <family val="2"/>
    </font>
    <font>
      <b/>
      <sz val="18"/>
      <color indexed="56"/>
      <name val="Cambria"/>
      <family val="2"/>
    </font>
    <font>
      <sz val="10"/>
      <color indexed="10"/>
      <name val="Arial"/>
      <family val="2"/>
    </font>
    <font>
      <b/>
      <sz val="10"/>
      <color indexed="9"/>
      <name val="Arial"/>
      <family val="2"/>
    </font>
    <font>
      <sz val="10"/>
      <color indexed="9"/>
      <name val="Arial"/>
      <family val="2"/>
    </font>
    <font>
      <b/>
      <sz val="10"/>
      <color indexed="8"/>
      <name val="Arial"/>
      <family val="2"/>
    </font>
    <font>
      <b/>
      <sz val="14"/>
      <color indexed="18"/>
      <name val="Arial"/>
      <family val="2"/>
    </font>
    <font>
      <sz val="10"/>
      <color indexed="8"/>
      <name val="Arial"/>
      <family val="2"/>
    </font>
    <font>
      <b/>
      <sz val="22"/>
      <color indexed="18"/>
      <name val="Arial"/>
      <family val="2"/>
    </font>
    <font>
      <sz val="9"/>
      <color indexed="8"/>
      <name val="Arial"/>
      <family val="2"/>
    </font>
    <font>
      <b/>
      <sz val="10"/>
      <color indexed="18"/>
      <name val="Arial"/>
      <family val="2"/>
    </font>
    <font>
      <b/>
      <u val="singleAccounting"/>
      <sz val="10"/>
      <color indexed="18"/>
      <name val="Arial"/>
      <family val="2"/>
    </font>
    <font>
      <sz val="11"/>
      <color indexed="11"/>
      <name val="Calibri"/>
      <family val="2"/>
    </font>
    <font>
      <sz val="10"/>
      <color indexed="20"/>
      <name val="Arial"/>
      <family val="2"/>
    </font>
    <font>
      <sz val="11"/>
      <color indexed="36"/>
      <name val="Calibri"/>
      <family val="2"/>
    </font>
    <font>
      <b/>
      <sz val="10"/>
      <color indexed="52"/>
      <name val="Arial"/>
      <family val="2"/>
    </font>
    <font>
      <b/>
      <sz val="11"/>
      <color indexed="11"/>
      <name val="Calibri"/>
      <family val="2"/>
    </font>
    <font>
      <sz val="8"/>
      <name val="Palatino"/>
      <family val="1"/>
    </font>
    <font>
      <b/>
      <sz val="10"/>
      <name val="Arial Unicode MS"/>
      <family val="2"/>
    </font>
    <font>
      <i/>
      <sz val="10"/>
      <color indexed="23"/>
      <name val="Arial"/>
      <family val="2"/>
    </font>
    <font>
      <i/>
      <sz val="11"/>
      <color indexed="55"/>
      <name val="Calibri"/>
      <family val="2"/>
    </font>
    <font>
      <sz val="8"/>
      <name val="Times New Roman"/>
      <family val="1"/>
    </font>
    <font>
      <sz val="10"/>
      <color indexed="17"/>
      <name val="Arial"/>
      <family val="2"/>
    </font>
    <font>
      <sz val="11"/>
      <color indexed="58"/>
      <name val="Calibri"/>
      <family val="2"/>
    </font>
    <font>
      <sz val="6"/>
      <color indexed="16"/>
      <name val="Palatino"/>
      <family val="1"/>
    </font>
    <font>
      <b/>
      <sz val="15"/>
      <color indexed="56"/>
      <name val="Arial"/>
      <family val="2"/>
    </font>
    <font>
      <b/>
      <sz val="15"/>
      <color indexed="21"/>
      <name val="Calibri"/>
      <family val="2"/>
    </font>
    <font>
      <b/>
      <sz val="13"/>
      <color indexed="56"/>
      <name val="Arial"/>
      <family val="2"/>
    </font>
    <font>
      <b/>
      <sz val="13"/>
      <color indexed="21"/>
      <name val="Calibri"/>
      <family val="2"/>
    </font>
    <font>
      <b/>
      <sz val="11"/>
      <color indexed="56"/>
      <name val="Arial"/>
      <family val="2"/>
    </font>
    <font>
      <b/>
      <sz val="11"/>
      <color indexed="21"/>
      <name val="Calibri"/>
      <family val="2"/>
    </font>
    <font>
      <u/>
      <sz val="11"/>
      <color indexed="12"/>
      <name val="Calibri"/>
      <family val="2"/>
    </font>
    <font>
      <sz val="10"/>
      <color indexed="62"/>
      <name val="Arial"/>
      <family val="2"/>
    </font>
    <font>
      <sz val="10"/>
      <color indexed="52"/>
      <name val="Arial"/>
      <family val="2"/>
    </font>
    <font>
      <sz val="10"/>
      <color indexed="60"/>
      <name val="Arial"/>
      <family val="2"/>
    </font>
    <font>
      <sz val="10"/>
      <name val="Arial Unicode MS"/>
      <family val="2"/>
    </font>
    <font>
      <b/>
      <sz val="10"/>
      <color indexed="63"/>
      <name val="Arial"/>
      <family val="2"/>
    </font>
    <font>
      <sz val="10"/>
      <color indexed="16"/>
      <name val="Helvetica-Black"/>
    </font>
    <font>
      <sz val="8"/>
      <color indexed="8"/>
      <name val="Times New Roman"/>
      <family val="1"/>
    </font>
    <font>
      <b/>
      <i/>
      <sz val="10"/>
      <name val="Times New Roman"/>
      <family val="1"/>
    </font>
    <font>
      <b/>
      <sz val="9"/>
      <name val="Palatino"/>
      <family val="1"/>
    </font>
    <font>
      <sz val="9"/>
      <color indexed="21"/>
      <name val="Helvetica-Black"/>
    </font>
    <font>
      <b/>
      <sz val="9"/>
      <name val="Arial"/>
      <family val="2"/>
    </font>
    <font>
      <b/>
      <sz val="18"/>
      <color indexed="21"/>
      <name val="Cambria"/>
      <family val="2"/>
    </font>
    <font>
      <u/>
      <sz val="10"/>
      <color theme="10"/>
      <name val="Arial"/>
      <family val="2"/>
    </font>
    <font>
      <b/>
      <sz val="14"/>
      <name val="Arial"/>
      <family val="2"/>
    </font>
    <font>
      <sz val="12"/>
      <name val="Times New Roman"/>
      <family val="1"/>
    </font>
    <font>
      <u/>
      <sz val="11"/>
      <color theme="10"/>
      <name val="Calibri"/>
      <family val="2"/>
      <scheme val="minor"/>
    </font>
    <font>
      <sz val="14"/>
      <name val="Arial"/>
      <family val="2"/>
    </font>
    <font>
      <b/>
      <sz val="10"/>
      <color theme="1"/>
      <name val="Arial"/>
      <family val="2"/>
    </font>
    <font>
      <u/>
      <sz val="11"/>
      <color theme="1"/>
      <name val="Calibri"/>
      <family val="2"/>
      <scheme val="minor"/>
    </font>
    <font>
      <sz val="10"/>
      <color indexed="8"/>
      <name val="Arial"/>
      <family val="2"/>
    </font>
    <font>
      <i/>
      <sz val="11"/>
      <color theme="1"/>
      <name val="Calibri"/>
      <family val="2"/>
      <scheme val="minor"/>
    </font>
    <font>
      <b/>
      <sz val="9"/>
      <color indexed="81"/>
      <name val="Tahoma"/>
      <family val="2"/>
    </font>
    <font>
      <u/>
      <sz val="10"/>
      <name val="Arial"/>
      <family val="2"/>
    </font>
    <font>
      <sz val="10"/>
      <color theme="1"/>
      <name val="Calibri"/>
      <family val="2"/>
      <scheme val="minor"/>
    </font>
    <font>
      <sz val="11"/>
      <name val="Calibri"/>
      <family val="2"/>
      <scheme val="minor"/>
    </font>
    <font>
      <b/>
      <sz val="10"/>
      <color theme="1"/>
      <name val="Calibri"/>
      <family val="2"/>
      <scheme val="minor"/>
    </font>
    <font>
      <sz val="10"/>
      <name val="Calibri"/>
      <family val="2"/>
      <scheme val="minor"/>
    </font>
    <font>
      <sz val="14"/>
      <name val="Calibri"/>
      <family val="2"/>
      <scheme val="minor"/>
    </font>
    <font>
      <b/>
      <sz val="14"/>
      <name val="Calibri"/>
      <family val="2"/>
      <scheme val="minor"/>
    </font>
    <font>
      <b/>
      <sz val="10"/>
      <name val="Calibri"/>
      <family val="2"/>
      <scheme val="minor"/>
    </font>
    <font>
      <u/>
      <sz val="10"/>
      <name val="Calibri"/>
      <family val="2"/>
      <scheme val="minor"/>
    </font>
    <font>
      <sz val="9"/>
      <color indexed="81"/>
      <name val="Tahoma"/>
      <family val="2"/>
    </font>
    <font>
      <sz val="10"/>
      <name val="Times New Roman"/>
      <family val="1"/>
    </font>
    <font>
      <sz val="10"/>
      <name val="Arial"/>
      <family val="2"/>
    </font>
    <font>
      <sz val="10"/>
      <color indexed="63"/>
      <name val="Verdana"/>
      <family val="2"/>
    </font>
    <font>
      <sz val="10"/>
      <color indexed="8"/>
      <name val="Verdana"/>
      <family val="2"/>
    </font>
    <font>
      <b/>
      <sz val="10"/>
      <color indexed="9"/>
      <name val="Verdana"/>
      <family val="2"/>
    </font>
    <font>
      <b/>
      <sz val="10"/>
      <color indexed="63"/>
      <name val="Verdana"/>
      <family val="2"/>
    </font>
    <font>
      <sz val="11"/>
      <color rgb="FF000000"/>
      <name val="Calibri"/>
      <family val="2"/>
      <scheme val="minor"/>
    </font>
    <font>
      <sz val="12"/>
      <color theme="1"/>
      <name val="Arial"/>
      <family val="2"/>
    </font>
    <font>
      <sz val="11"/>
      <color theme="1"/>
      <name val="Arial"/>
      <family val="2"/>
    </font>
    <font>
      <b/>
      <sz val="11"/>
      <color theme="1"/>
      <name val="Arial"/>
      <family val="2"/>
    </font>
    <font>
      <u/>
      <sz val="11"/>
      <color theme="10"/>
      <name val="Arial"/>
      <family val="2"/>
    </font>
    <font>
      <sz val="11"/>
      <color rgb="FF7030A0"/>
      <name val="Arial"/>
      <family val="2"/>
    </font>
    <font>
      <sz val="11"/>
      <color theme="10"/>
      <name val="Arial"/>
      <family val="2"/>
    </font>
    <font>
      <sz val="11"/>
      <color rgb="FF00B050"/>
      <name val="Arial"/>
      <family val="2"/>
    </font>
    <font>
      <sz val="11"/>
      <color rgb="FFCC00FF"/>
      <name val="Arial"/>
      <family val="2"/>
    </font>
    <font>
      <sz val="11"/>
      <color rgb="FFFF0000"/>
      <name val="Arial"/>
      <family val="2"/>
    </font>
    <font>
      <sz val="11"/>
      <color rgb="FF9B6943"/>
      <name val="Arial"/>
      <family val="2"/>
    </font>
    <font>
      <sz val="11"/>
      <color rgb="FFFF3399"/>
      <name val="Arial"/>
      <family val="2"/>
    </font>
    <font>
      <sz val="11"/>
      <color rgb="FF00B0F0"/>
      <name val="Arial"/>
      <family val="2"/>
    </font>
    <font>
      <b/>
      <sz val="11"/>
      <color rgb="FFFF0000"/>
      <name val="Arial"/>
      <family val="2"/>
    </font>
    <font>
      <sz val="11"/>
      <color theme="9" tint="-0.249977111117893"/>
      <name val="Arial"/>
      <family val="2"/>
    </font>
    <font>
      <i/>
      <sz val="11"/>
      <color theme="1"/>
      <name val="Arial"/>
      <family val="2"/>
    </font>
    <font>
      <sz val="11"/>
      <color rgb="FF0000FF"/>
      <name val="Arial"/>
      <family val="2"/>
    </font>
    <font>
      <sz val="11"/>
      <color theme="9" tint="-0.499984740745262"/>
      <name val="Arial"/>
      <family val="2"/>
    </font>
    <font>
      <u/>
      <sz val="11"/>
      <color theme="1"/>
      <name val="Arial"/>
      <family val="2"/>
    </font>
    <font>
      <sz val="11"/>
      <name val="Arial"/>
      <family val="2"/>
    </font>
    <font>
      <sz val="8"/>
      <color theme="1"/>
      <name val="Arial"/>
      <family val="2"/>
    </font>
    <font>
      <sz val="10"/>
      <color theme="1"/>
      <name val="Arial"/>
      <family val="2"/>
    </font>
    <font>
      <b/>
      <sz val="11"/>
      <name val="Arial"/>
      <family val="2"/>
    </font>
    <font>
      <sz val="9"/>
      <color theme="1"/>
      <name val="Arial"/>
      <family val="2"/>
    </font>
    <font>
      <i/>
      <sz val="10"/>
      <color theme="1"/>
      <name val="Arial"/>
      <family val="2"/>
    </font>
    <font>
      <b/>
      <u/>
      <sz val="11"/>
      <color theme="1"/>
      <name val="Arial"/>
      <family val="2"/>
    </font>
    <font>
      <b/>
      <sz val="7"/>
      <name val="Arial"/>
      <family val="2"/>
      <charset val="238"/>
    </font>
    <font>
      <sz val="7"/>
      <name val="Arial"/>
      <family val="2"/>
      <charset val="238"/>
    </font>
    <font>
      <b/>
      <sz val="9"/>
      <color theme="0"/>
      <name val="Arial"/>
      <family val="2"/>
    </font>
    <font>
      <sz val="7"/>
      <color theme="0"/>
      <name val="Arial"/>
      <family val="2"/>
    </font>
    <font>
      <sz val="5"/>
      <color rgb="FF707C8A"/>
      <name val="Arial"/>
      <family val="2"/>
      <charset val="238"/>
    </font>
    <font>
      <sz val="11"/>
      <color theme="1"/>
      <name val="Century Gothic"/>
      <family val="2"/>
    </font>
    <font>
      <sz val="11"/>
      <color rgb="FFC00000"/>
      <name val="Arial"/>
      <family val="2"/>
    </font>
    <font>
      <b/>
      <sz val="11"/>
      <color theme="6" tint="-0.499984740745262"/>
      <name val="Arial"/>
      <family val="2"/>
    </font>
    <font>
      <i/>
      <sz val="11"/>
      <name val="Arial"/>
      <family val="2"/>
    </font>
    <font>
      <b/>
      <i/>
      <sz val="11"/>
      <color theme="1"/>
      <name val="Arial"/>
      <family val="2"/>
    </font>
    <font>
      <b/>
      <sz val="11"/>
      <color rgb="FF7030A0"/>
      <name val="Arial"/>
      <family val="2"/>
    </font>
    <font>
      <b/>
      <sz val="10"/>
      <color rgb="FF00B050"/>
      <name val="Arial"/>
      <family val="2"/>
    </font>
    <font>
      <b/>
      <sz val="11"/>
      <color theme="8" tint="-0.249977111117893"/>
      <name val="Arial"/>
      <family val="2"/>
    </font>
    <font>
      <b/>
      <sz val="11"/>
      <color rgb="FF0000FF"/>
      <name val="Arial"/>
      <family val="2"/>
    </font>
    <font>
      <i/>
      <sz val="10"/>
      <name val="Arial"/>
      <family val="2"/>
    </font>
    <font>
      <sz val="22"/>
      <color rgb="FFFF0000"/>
      <name val="Arial"/>
      <family val="2"/>
    </font>
    <font>
      <u/>
      <sz val="11"/>
      <name val="Arial"/>
      <family val="2"/>
    </font>
    <font>
      <sz val="11"/>
      <color theme="8" tint="-0.249977111117893"/>
      <name val="Arial"/>
      <family val="2"/>
    </font>
    <font>
      <b/>
      <sz val="10"/>
      <color rgb="FF7030A0"/>
      <name val="Arial"/>
      <family val="2"/>
    </font>
    <font>
      <b/>
      <sz val="16"/>
      <color rgb="FFFF0000"/>
      <name val="Arial"/>
      <family val="2"/>
    </font>
    <font>
      <b/>
      <i/>
      <sz val="11"/>
      <name val="Arial"/>
      <family val="2"/>
    </font>
    <font>
      <sz val="10"/>
      <color rgb="FFFF0000"/>
      <name val="Arial"/>
      <family val="2"/>
    </font>
    <font>
      <sz val="11"/>
      <color rgb="FF0094C8"/>
      <name val="Arial"/>
      <family val="2"/>
    </font>
    <font>
      <b/>
      <i/>
      <sz val="10"/>
      <color theme="1"/>
      <name val="Arial"/>
      <family val="2"/>
    </font>
    <font>
      <b/>
      <i/>
      <sz val="9"/>
      <color theme="1"/>
      <name val="Arial"/>
      <family val="2"/>
    </font>
    <font>
      <b/>
      <sz val="11"/>
      <color rgb="FFFF3399"/>
      <name val="Arial"/>
      <family val="2"/>
    </font>
    <font>
      <b/>
      <sz val="11"/>
      <color theme="9" tint="-0.249977111117893"/>
      <name val="Arial"/>
      <family val="2"/>
    </font>
    <font>
      <b/>
      <sz val="14"/>
      <color theme="1"/>
      <name val="Arial"/>
      <family val="2"/>
    </font>
    <font>
      <b/>
      <i/>
      <sz val="11"/>
      <color theme="0" tint="-0.499984740745262"/>
      <name val="Arial"/>
      <family val="2"/>
    </font>
    <font>
      <i/>
      <sz val="11"/>
      <color theme="0" tint="-0.499984740745262"/>
      <name val="Arial"/>
      <family val="2"/>
    </font>
    <font>
      <sz val="11"/>
      <color theme="0" tint="-0.499984740745262"/>
      <name val="Arial"/>
      <family val="2"/>
    </font>
    <font>
      <sz val="8.5"/>
      <name val="MS Sans Serif"/>
      <family val="2"/>
    </font>
    <font>
      <b/>
      <sz val="16"/>
      <name val="Arial"/>
      <family val="2"/>
    </font>
    <font>
      <b/>
      <sz val="9"/>
      <color theme="1"/>
      <name val="Arial"/>
      <family val="2"/>
    </font>
    <font>
      <sz val="11"/>
      <name val="Times New Roman"/>
      <family val="1"/>
    </font>
    <font>
      <b/>
      <sz val="8"/>
      <color theme="1"/>
      <name val="Arial"/>
      <family val="2"/>
    </font>
    <font>
      <b/>
      <vertAlign val="superscript"/>
      <sz val="11"/>
      <color theme="1"/>
      <name val="Arial"/>
      <family val="2"/>
    </font>
    <font>
      <b/>
      <sz val="11"/>
      <color rgb="FFFF0000"/>
      <name val="Calibri"/>
      <family val="2"/>
      <scheme val="minor"/>
    </font>
    <font>
      <b/>
      <sz val="10"/>
      <color rgb="FFFF0000"/>
      <name val="Calibri"/>
      <family val="2"/>
      <scheme val="minor"/>
    </font>
    <font>
      <sz val="10"/>
      <color rgb="FFFF0000"/>
      <name val="Calibri"/>
      <family val="2"/>
      <scheme val="minor"/>
    </font>
    <font>
      <vertAlign val="superscript"/>
      <sz val="11"/>
      <color rgb="FFFF0000"/>
      <name val="Calibri"/>
      <family val="2"/>
      <scheme val="minor"/>
    </font>
    <font>
      <b/>
      <vertAlign val="superscript"/>
      <sz val="11"/>
      <color rgb="FFFF0000"/>
      <name val="Calibri"/>
      <family val="2"/>
      <scheme val="minor"/>
    </font>
    <font>
      <b/>
      <sz val="8"/>
      <color rgb="FFFF0000"/>
      <name val="Calibri"/>
      <family val="2"/>
      <scheme val="minor"/>
    </font>
    <font>
      <sz val="8"/>
      <color rgb="FFFF0000"/>
      <name val="Calibri"/>
      <family val="2"/>
      <scheme val="minor"/>
    </font>
    <font>
      <b/>
      <sz val="10"/>
      <color rgb="FFFF0000"/>
      <name val="MS Sans Serif"/>
      <family val="2"/>
    </font>
    <font>
      <b/>
      <sz val="12"/>
      <color rgb="FF0000FF"/>
      <name val="Arial"/>
      <family val="2"/>
    </font>
    <font>
      <sz val="11"/>
      <color rgb="FF00B0F0"/>
      <name val="Calibri"/>
      <family val="2"/>
      <scheme val="minor"/>
    </font>
    <font>
      <b/>
      <sz val="11"/>
      <color rgb="FF00B0F0"/>
      <name val="Arial"/>
      <family val="2"/>
    </font>
    <font>
      <sz val="11"/>
      <color theme="9" tint="-0.499984740745262"/>
      <name val="Calibri"/>
      <family val="2"/>
      <scheme val="minor"/>
    </font>
    <font>
      <sz val="11"/>
      <color theme="9" tint="-0.249977111117893"/>
      <name val="Calibri"/>
      <family val="2"/>
      <scheme val="minor"/>
    </font>
    <font>
      <sz val="10"/>
      <color rgb="FFFF0000"/>
      <name val="MS Sans Serif"/>
      <family val="2"/>
    </font>
    <font>
      <sz val="8.5"/>
      <color theme="1"/>
      <name val="MS Sans Serif"/>
      <family val="2"/>
    </font>
    <font>
      <b/>
      <sz val="10"/>
      <color theme="1"/>
      <name val="MS Sans Serif"/>
      <family val="2"/>
    </font>
    <font>
      <sz val="10"/>
      <color theme="1"/>
      <name val="MS Sans Serif"/>
      <family val="2"/>
    </font>
    <font>
      <sz val="8.5"/>
      <color rgb="FFFF0000"/>
      <name val="MS Sans Serif"/>
      <family val="2"/>
    </font>
    <font>
      <sz val="9"/>
      <name val="Arial"/>
      <family val="2"/>
    </font>
    <font>
      <sz val="11"/>
      <color rgb="FF0000FF"/>
      <name val="Calibri"/>
      <family val="2"/>
      <scheme val="minor"/>
    </font>
    <font>
      <sz val="10"/>
      <color rgb="FF9C6500"/>
      <name val="Calibri"/>
      <family val="2"/>
    </font>
    <font>
      <sz val="11"/>
      <color rgb="FFFF3399"/>
      <name val="Calibri"/>
      <family val="2"/>
      <scheme val="minor"/>
    </font>
    <font>
      <sz val="18"/>
      <name val="Arial"/>
      <family val="2"/>
    </font>
    <font>
      <sz val="11"/>
      <name val="Calibri"/>
      <family val="2"/>
    </font>
    <font>
      <b/>
      <sz val="11"/>
      <name val="Calibri"/>
      <family val="2"/>
      <scheme val="minor"/>
    </font>
    <font>
      <b/>
      <i/>
      <sz val="10"/>
      <name val="Arial"/>
      <family val="2"/>
    </font>
    <font>
      <b/>
      <u/>
      <sz val="11"/>
      <name val="Arial"/>
      <family val="2"/>
    </font>
    <font>
      <b/>
      <i/>
      <sz val="12"/>
      <name val="Arial"/>
      <family val="2"/>
    </font>
  </fonts>
  <fills count="9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indexed="43"/>
      </patternFill>
    </fill>
    <fill>
      <patternFill patternType="solid">
        <fgColor indexed="31"/>
      </patternFill>
    </fill>
    <fill>
      <patternFill patternType="solid">
        <fgColor indexed="55"/>
      </patternFill>
    </fill>
    <fill>
      <patternFill patternType="solid">
        <fgColor indexed="17"/>
      </patternFill>
    </fill>
    <fill>
      <patternFill patternType="solid">
        <fgColor indexed="45"/>
      </patternFill>
    </fill>
    <fill>
      <patternFill patternType="solid">
        <fgColor indexed="47"/>
      </patternFill>
    </fill>
    <fill>
      <patternFill patternType="solid">
        <fgColor indexed="42"/>
      </patternFill>
    </fill>
    <fill>
      <patternFill patternType="solid">
        <fgColor indexed="26"/>
      </patternFill>
    </fill>
    <fill>
      <patternFill patternType="solid">
        <fgColor indexed="46"/>
      </patternFill>
    </fill>
    <fill>
      <patternFill patternType="solid">
        <fgColor indexed="27"/>
      </patternFill>
    </fill>
    <fill>
      <patternFill patternType="solid">
        <fgColor indexed="13"/>
      </patternFill>
    </fill>
    <fill>
      <patternFill patternType="solid">
        <fgColor indexed="44"/>
      </patternFill>
    </fill>
    <fill>
      <patternFill patternType="solid">
        <fgColor indexed="22"/>
      </patternFill>
    </fill>
    <fill>
      <patternFill patternType="solid">
        <fgColor indexed="16"/>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49"/>
      </patternFill>
    </fill>
    <fill>
      <patternFill patternType="solid">
        <fgColor indexed="36"/>
      </patternFill>
    </fill>
    <fill>
      <patternFill patternType="solid">
        <fgColor indexed="52"/>
      </patternFill>
    </fill>
    <fill>
      <patternFill patternType="solid">
        <fgColor indexed="20"/>
      </patternFill>
    </fill>
    <fill>
      <patternFill patternType="solid">
        <fgColor indexed="62"/>
      </patternFill>
    </fill>
    <fill>
      <patternFill patternType="solid">
        <fgColor indexed="10"/>
      </patternFill>
    </fill>
    <fill>
      <patternFill patternType="solid">
        <fgColor indexed="57"/>
      </patternFill>
    </fill>
    <fill>
      <patternFill patternType="solid">
        <fgColor indexed="54"/>
      </patternFill>
    </fill>
    <fill>
      <patternFill patternType="solid">
        <fgColor indexed="53"/>
      </patternFill>
    </fill>
    <fill>
      <patternFill patternType="solid">
        <fgColor indexed="22"/>
        <bgColor indexed="64"/>
      </patternFill>
    </fill>
    <fill>
      <patternFill patternType="solid">
        <fgColor indexed="9"/>
        <bgColor indexed="64"/>
      </patternFill>
    </fill>
    <fill>
      <patternFill patternType="solid">
        <fgColor indexed="43"/>
        <bgColor indexed="64"/>
      </patternFill>
    </fill>
    <fill>
      <patternFill patternType="mediumGray">
        <fgColor indexed="22"/>
      </patternFill>
    </fill>
    <fill>
      <patternFill patternType="gray0625">
        <fgColor indexed="8"/>
      </patternFill>
    </fill>
    <fill>
      <patternFill patternType="gray125">
        <fgColor indexed="8"/>
      </patternFill>
    </fill>
    <fill>
      <patternFill patternType="solid">
        <fgColor indexed="16"/>
        <bgColor indexed="64"/>
      </patternFill>
    </fill>
    <fill>
      <patternFill patternType="solid">
        <fgColor indexed="8"/>
        <bgColor indexed="64"/>
      </patternFill>
    </fill>
    <fill>
      <patternFill patternType="solid">
        <fgColor theme="9" tint="0.59999389629810485"/>
        <bgColor indexed="64"/>
      </patternFill>
    </fill>
    <fill>
      <patternFill patternType="solid">
        <fgColor theme="9" tint="0.39997558519241921"/>
        <bgColor indexed="64"/>
      </patternFill>
    </fill>
    <fill>
      <patternFill patternType="solid">
        <fgColor theme="9" tint="0.79998168889431442"/>
        <bgColor indexed="64"/>
      </patternFill>
    </fill>
    <fill>
      <patternFill patternType="solid">
        <fgColor theme="0"/>
        <bgColor indexed="64"/>
      </patternFill>
    </fill>
    <fill>
      <patternFill patternType="solid">
        <fgColor theme="8" tint="0.39997558519241921"/>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7" tint="0.59999389629810485"/>
        <bgColor indexed="64"/>
      </patternFill>
    </fill>
    <fill>
      <patternFill patternType="solid">
        <fgColor theme="0" tint="-0.34998626667073579"/>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rgb="FFFFFF00"/>
        <bgColor indexed="64"/>
      </patternFill>
    </fill>
    <fill>
      <patternFill patternType="solid">
        <fgColor indexed="62"/>
        <bgColor indexed="64"/>
      </patternFill>
    </fill>
    <fill>
      <patternFill patternType="solid">
        <fgColor indexed="61"/>
        <bgColor indexed="64"/>
      </patternFill>
    </fill>
    <fill>
      <patternFill patternType="solid">
        <fgColor indexed="60"/>
        <bgColor indexed="64"/>
      </patternFill>
    </fill>
    <fill>
      <patternFill patternType="solid">
        <fgColor indexed="59"/>
        <bgColor indexed="64"/>
      </patternFill>
    </fill>
    <fill>
      <patternFill patternType="solid">
        <fgColor indexed="63"/>
        <bgColor indexed="64"/>
      </patternFill>
    </fill>
    <fill>
      <patternFill patternType="solid">
        <fgColor theme="1" tint="0.499984740745262"/>
        <bgColor indexed="64"/>
      </patternFill>
    </fill>
    <fill>
      <patternFill patternType="solid">
        <fgColor rgb="FF707C8A"/>
        <bgColor indexed="64"/>
      </patternFill>
    </fill>
    <fill>
      <patternFill patternType="solid">
        <fgColor indexed="26"/>
        <bgColor indexed="64"/>
      </patternFill>
    </fill>
    <fill>
      <patternFill patternType="solid">
        <fgColor rgb="FFCCFF66"/>
        <bgColor indexed="64"/>
      </patternFill>
    </fill>
    <fill>
      <patternFill patternType="solid">
        <fgColor theme="6" tint="0.79998168889431442"/>
        <bgColor indexed="64"/>
      </patternFill>
    </fill>
    <fill>
      <patternFill patternType="solid">
        <fgColor theme="9" tint="-0.249977111117893"/>
        <bgColor indexed="64"/>
      </patternFill>
    </fill>
    <fill>
      <patternFill patternType="solid">
        <fgColor rgb="FFF3EE1D"/>
        <bgColor indexed="64"/>
      </patternFill>
    </fill>
  </fills>
  <borders count="106">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hair">
        <color indexed="8"/>
      </top>
      <bottom style="hair">
        <color indexed="8"/>
      </bottom>
      <diagonal/>
    </border>
    <border>
      <left/>
      <right/>
      <top/>
      <bottom style="medium">
        <color indexed="18"/>
      </bottom>
      <diagonal/>
    </border>
    <border>
      <left style="thin">
        <color indexed="23"/>
      </left>
      <right style="thin">
        <color indexed="23"/>
      </right>
      <top style="thin">
        <color indexed="23"/>
      </top>
      <bottom style="thin">
        <color indexed="23"/>
      </bottom>
      <diagonal/>
    </border>
    <border>
      <left style="thin">
        <color indexed="55"/>
      </left>
      <right style="thin">
        <color indexed="55"/>
      </right>
      <top style="thin">
        <color indexed="55"/>
      </top>
      <bottom style="thin">
        <color indexed="55"/>
      </bottom>
      <diagonal/>
    </border>
    <border>
      <left style="double">
        <color indexed="63"/>
      </left>
      <right style="double">
        <color indexed="63"/>
      </right>
      <top style="double">
        <color indexed="63"/>
      </top>
      <bottom style="double">
        <color indexed="63"/>
      </bottom>
      <diagonal/>
    </border>
    <border>
      <left/>
      <right/>
      <top/>
      <bottom style="dotted">
        <color indexed="64"/>
      </bottom>
      <diagonal/>
    </border>
    <border>
      <left/>
      <right/>
      <top style="medium">
        <color indexed="64"/>
      </top>
      <bottom style="medium">
        <color indexed="64"/>
      </bottom>
      <diagonal/>
    </border>
    <border>
      <left/>
      <right/>
      <top style="thin">
        <color indexed="64"/>
      </top>
      <bottom style="thin">
        <color indexed="64"/>
      </bottom>
      <diagonal/>
    </border>
    <border>
      <left/>
      <right/>
      <top/>
      <bottom style="thick">
        <color indexed="62"/>
      </bottom>
      <diagonal/>
    </border>
    <border>
      <left/>
      <right/>
      <top/>
      <bottom style="thick">
        <color indexed="49"/>
      </bottom>
      <diagonal/>
    </border>
    <border>
      <left/>
      <right/>
      <top/>
      <bottom style="thick">
        <color indexed="22"/>
      </bottom>
      <diagonal/>
    </border>
    <border>
      <left/>
      <right/>
      <top/>
      <bottom style="thick">
        <color indexed="16"/>
      </bottom>
      <diagonal/>
    </border>
    <border>
      <left/>
      <right/>
      <top/>
      <bottom style="medium">
        <color indexed="30"/>
      </bottom>
      <diagonal/>
    </border>
    <border>
      <left/>
      <right/>
      <top/>
      <bottom style="medium">
        <color indexed="49"/>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top/>
      <bottom style="double">
        <color indexed="52"/>
      </bottom>
      <diagonal/>
    </border>
    <border>
      <left/>
      <right style="hair">
        <color indexed="64"/>
      </right>
      <top/>
      <bottom style="thin">
        <color indexed="64"/>
      </bottom>
      <diagonal/>
    </border>
    <border>
      <left/>
      <right style="hair">
        <color indexed="64"/>
      </right>
      <top/>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bottom style="medium">
        <color indexed="64"/>
      </bottom>
      <diagonal/>
    </border>
    <border>
      <left style="thin">
        <color indexed="64"/>
      </left>
      <right/>
      <top/>
      <bottom/>
      <diagonal/>
    </border>
    <border>
      <left/>
      <right/>
      <top style="hair">
        <color indexed="64"/>
      </top>
      <bottom/>
      <diagonal/>
    </border>
    <border>
      <left/>
      <right/>
      <top style="thin">
        <color indexed="64"/>
      </top>
      <bottom/>
      <diagonal/>
    </border>
    <border>
      <left/>
      <right/>
      <top/>
      <bottom style="thin">
        <color indexed="64"/>
      </bottom>
      <diagonal/>
    </border>
    <border>
      <left/>
      <right/>
      <top style="thin">
        <color indexed="62"/>
      </top>
      <bottom style="double">
        <color indexed="62"/>
      </bottom>
      <diagonal/>
    </border>
    <border>
      <left/>
      <right/>
      <top style="thin">
        <color indexed="49"/>
      </top>
      <bottom style="double">
        <color indexed="49"/>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top style="medium">
        <color indexed="64"/>
      </top>
      <bottom/>
      <diagonal/>
    </border>
    <border>
      <left style="thin">
        <color rgb="FFC00000"/>
      </left>
      <right style="thin">
        <color rgb="FFC00000"/>
      </right>
      <top style="thin">
        <color rgb="FFC00000"/>
      </top>
      <bottom style="thin">
        <color rgb="FFC00000"/>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top/>
      <bottom style="double">
        <color indexed="52"/>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9"/>
      </left>
      <right style="thin">
        <color indexed="9"/>
      </right>
      <top style="thin">
        <color indexed="9"/>
      </top>
      <bottom style="thin">
        <color indexed="9"/>
      </bottom>
      <diagonal/>
    </border>
    <border>
      <left style="thin">
        <color indexed="64"/>
      </left>
      <right/>
      <top style="thin">
        <color indexed="64"/>
      </top>
      <bottom style="thin">
        <color indexed="64"/>
      </bottom>
      <diagonal/>
    </border>
    <border>
      <left/>
      <right/>
      <top/>
      <bottom style="double">
        <color indexed="64"/>
      </bottom>
      <diagonal/>
    </border>
    <border>
      <left style="medium">
        <color indexed="64"/>
      </left>
      <right style="medium">
        <color indexed="64"/>
      </right>
      <top style="medium">
        <color indexed="64"/>
      </top>
      <bottom style="medium">
        <color indexed="64"/>
      </bottom>
      <diagonal/>
    </border>
    <border>
      <left/>
      <right/>
      <top/>
      <bottom style="medium">
        <color rgb="FF707C8A"/>
      </bottom>
      <diagonal/>
    </border>
    <border>
      <left/>
      <right/>
      <top style="thin">
        <color rgb="FF707C8A"/>
      </top>
      <bottom style="thin">
        <color rgb="FF707C8A"/>
      </bottom>
      <diagonal/>
    </border>
    <border>
      <left/>
      <right/>
      <top style="thin">
        <color rgb="FF707C8A"/>
      </top>
      <bottom style="medium">
        <color rgb="FF707C8A"/>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medium">
        <color rgb="FF00B050"/>
      </right>
      <top style="medium">
        <color rgb="FF00B050"/>
      </top>
      <bottom/>
      <diagonal/>
    </border>
    <border>
      <left style="medium">
        <color rgb="FF00B050"/>
      </left>
      <right style="medium">
        <color rgb="FF00B050"/>
      </right>
      <top/>
      <bottom/>
      <diagonal/>
    </border>
    <border>
      <left style="medium">
        <color rgb="FF00B050"/>
      </left>
      <right style="medium">
        <color rgb="FF00B050"/>
      </right>
      <top/>
      <bottom style="medium">
        <color rgb="FF00B050"/>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top/>
      <bottom style="medium">
        <color rgb="FF00B050"/>
      </bottom>
      <diagonal/>
    </border>
    <border>
      <left/>
      <right/>
      <top/>
      <bottom style="medium">
        <color rgb="FF00B050"/>
      </bottom>
      <diagonal/>
    </border>
    <border>
      <left/>
      <right style="medium">
        <color rgb="FF00B050"/>
      </right>
      <top/>
      <bottom style="medium">
        <color rgb="FF00B050"/>
      </bottom>
      <diagonal/>
    </border>
    <border>
      <left style="medium">
        <color rgb="FFFF3399"/>
      </left>
      <right style="medium">
        <color rgb="FFFF3399"/>
      </right>
      <top style="medium">
        <color rgb="FFFF3399"/>
      </top>
      <bottom style="medium">
        <color rgb="FFFF3399"/>
      </bottom>
      <diagonal/>
    </border>
    <border>
      <left style="medium">
        <color rgb="FFFF3399"/>
      </left>
      <right/>
      <top style="medium">
        <color rgb="FFFF3399"/>
      </top>
      <bottom style="medium">
        <color rgb="FFFF3399"/>
      </bottom>
      <diagonal/>
    </border>
    <border>
      <left/>
      <right/>
      <top style="medium">
        <color rgb="FFFF3399"/>
      </top>
      <bottom style="medium">
        <color rgb="FFFF3399"/>
      </bottom>
      <diagonal/>
    </border>
    <border>
      <left/>
      <right style="medium">
        <color rgb="FFFF3399"/>
      </right>
      <top style="medium">
        <color rgb="FFFF3399"/>
      </top>
      <bottom style="medium">
        <color rgb="FFFF3399"/>
      </bottom>
      <diagonal/>
    </border>
    <border>
      <left/>
      <right/>
      <top style="double">
        <color rgb="FF0000FF"/>
      </top>
      <bottom style="double">
        <color rgb="FF0000FF"/>
      </bottom>
      <diagonal/>
    </border>
    <border>
      <left style="medium">
        <color rgb="FFFF3399"/>
      </left>
      <right style="medium">
        <color rgb="FFFF3399"/>
      </right>
      <top style="medium">
        <color rgb="FFFF3399"/>
      </top>
      <bottom/>
      <diagonal/>
    </border>
    <border>
      <left style="medium">
        <color rgb="FFFF3399"/>
      </left>
      <right style="medium">
        <color rgb="FFFF3399"/>
      </right>
      <top/>
      <bottom style="medium">
        <color rgb="FFFF3399"/>
      </bottom>
      <diagonal/>
    </border>
    <border>
      <left style="medium">
        <color rgb="FFFF3399"/>
      </left>
      <right style="medium">
        <color rgb="FFFF3399"/>
      </right>
      <top style="medium">
        <color rgb="FF00B050"/>
      </top>
      <bottom style="medium">
        <color rgb="FF00B050"/>
      </bottom>
      <diagonal/>
    </border>
    <border>
      <left style="medium">
        <color rgb="FFFF3399"/>
      </left>
      <right/>
      <top style="medium">
        <color rgb="FFFF3399"/>
      </top>
      <bottom style="thin">
        <color indexed="64"/>
      </bottom>
      <diagonal/>
    </border>
    <border>
      <left/>
      <right/>
      <top style="medium">
        <color rgb="FFFF3399"/>
      </top>
      <bottom style="thin">
        <color indexed="64"/>
      </bottom>
      <diagonal/>
    </border>
    <border>
      <left/>
      <right style="medium">
        <color rgb="FFFF3399"/>
      </right>
      <top style="medium">
        <color rgb="FFFF3399"/>
      </top>
      <bottom style="thin">
        <color indexed="64"/>
      </bottom>
      <diagonal/>
    </border>
    <border>
      <left style="medium">
        <color rgb="FFFF3399"/>
      </left>
      <right/>
      <top/>
      <bottom/>
      <diagonal/>
    </border>
    <border>
      <left/>
      <right style="medium">
        <color rgb="FFFF3399"/>
      </right>
      <top/>
      <bottom/>
      <diagonal/>
    </border>
    <border>
      <left style="medium">
        <color rgb="FFFF3399"/>
      </left>
      <right/>
      <top/>
      <bottom style="medium">
        <color rgb="FFFF3399"/>
      </bottom>
      <diagonal/>
    </border>
    <border>
      <left/>
      <right/>
      <top/>
      <bottom style="medium">
        <color rgb="FFFF3399"/>
      </bottom>
      <diagonal/>
    </border>
    <border>
      <left/>
      <right style="medium">
        <color rgb="FFFF3399"/>
      </right>
      <top/>
      <bottom style="medium">
        <color rgb="FFFF3399"/>
      </bottom>
      <diagonal/>
    </border>
    <border>
      <left style="medium">
        <color rgb="FFFF3399"/>
      </left>
      <right/>
      <top style="medium">
        <color rgb="FFFF3399"/>
      </top>
      <bottom/>
      <diagonal/>
    </border>
    <border>
      <left/>
      <right/>
      <top style="medium">
        <color rgb="FFFF3399"/>
      </top>
      <bottom/>
      <diagonal/>
    </border>
    <border>
      <left/>
      <right style="medium">
        <color rgb="FFFF3399"/>
      </right>
      <top style="medium">
        <color rgb="FFFF3399"/>
      </top>
      <bottom/>
      <diagonal/>
    </border>
    <border>
      <left style="medium">
        <color rgb="FFFF3399"/>
      </left>
      <right style="medium">
        <color rgb="FFFF3399"/>
      </right>
      <top/>
      <bottom/>
      <diagonal/>
    </border>
    <border>
      <left style="medium">
        <color rgb="FF00B050"/>
      </left>
      <right/>
      <top/>
      <bottom style="medium">
        <color auto="1"/>
      </bottom>
      <diagonal/>
    </border>
    <border>
      <left style="thin">
        <color indexed="64"/>
      </left>
      <right style="medium">
        <color indexed="64"/>
      </right>
      <top style="medium">
        <color indexed="64"/>
      </top>
      <bottom style="medium">
        <color indexed="64"/>
      </bottom>
      <diagonal/>
    </border>
  </borders>
  <cellStyleXfs count="2439">
    <xf numFmtId="0" fontId="0" fillId="0" borderId="0"/>
    <xf numFmtId="0" fontId="20" fillId="0" borderId="0"/>
    <xf numFmtId="169" fontId="24" fillId="0" borderId="0" applyFont="0" applyFill="0" applyBorder="0" applyAlignment="0" applyProtection="0"/>
    <xf numFmtId="170" fontId="24" fillId="0" borderId="0" applyFont="0" applyFill="0" applyBorder="0" applyAlignment="0" applyProtection="0"/>
    <xf numFmtId="166" fontId="23" fillId="0" borderId="0">
      <alignment horizontal="left" wrapText="1"/>
    </xf>
    <xf numFmtId="171" fontId="24" fillId="0" borderId="0" applyFont="0" applyFill="0" applyBorder="0" applyAlignment="0" applyProtection="0"/>
    <xf numFmtId="164" fontId="23" fillId="0" borderId="0">
      <alignment horizontal="left" wrapText="1"/>
    </xf>
    <xf numFmtId="166" fontId="23" fillId="0" borderId="0">
      <alignment horizontal="left" wrapText="1"/>
    </xf>
    <xf numFmtId="172" fontId="24" fillId="0" borderId="0" applyFont="0" applyFill="0" applyBorder="0" applyAlignment="0" applyProtection="0"/>
    <xf numFmtId="173" fontId="24" fillId="0" borderId="0" applyFont="0" applyFill="0" applyBorder="0" applyAlignment="0" applyProtection="0"/>
    <xf numFmtId="174" fontId="24" fillId="0" borderId="0" applyFont="0" applyFill="0" applyBorder="0" applyAlignment="0" applyProtection="0"/>
    <xf numFmtId="166" fontId="23" fillId="0" borderId="0">
      <alignment horizontal="left" wrapText="1"/>
    </xf>
    <xf numFmtId="0" fontId="64" fillId="0" borderId="0" applyNumberFormat="0" applyFill="0" applyBorder="0" applyAlignment="0" applyProtection="0"/>
    <xf numFmtId="38" fontId="24" fillId="33" borderId="0" applyNumberFormat="0" applyFont="0" applyAlignment="0" applyProtection="0"/>
    <xf numFmtId="175" fontId="24" fillId="0" borderId="0" applyFont="0" applyFill="0" applyBorder="0" applyAlignment="0" applyProtection="0"/>
    <xf numFmtId="176" fontId="24" fillId="0" borderId="0" applyFont="0" applyFill="0" applyBorder="0" applyProtection="0">
      <alignment horizontal="right"/>
    </xf>
    <xf numFmtId="164" fontId="23" fillId="0" borderId="0">
      <alignment horizontal="left" wrapText="1"/>
    </xf>
    <xf numFmtId="166" fontId="23" fillId="0" borderId="0">
      <alignment horizontal="left" wrapText="1"/>
    </xf>
    <xf numFmtId="0" fontId="62" fillId="0" borderId="0" applyNumberFormat="0" applyFill="0" applyBorder="0" applyProtection="0">
      <alignment vertical="top"/>
    </xf>
    <xf numFmtId="38" fontId="65" fillId="0" borderId="10" applyNumberFormat="0" applyFill="0" applyAlignment="0" applyProtection="0"/>
    <xf numFmtId="38" fontId="65" fillId="0" borderId="10" applyNumberFormat="0" applyFill="0" applyAlignment="0" applyProtection="0"/>
    <xf numFmtId="38" fontId="66" fillId="0" borderId="11" applyNumberFormat="0" applyFill="0" applyProtection="0">
      <alignment horizontal="center"/>
    </xf>
    <xf numFmtId="38" fontId="66" fillId="0" borderId="11" applyNumberFormat="0" applyFill="0" applyProtection="0">
      <alignment horizontal="center"/>
    </xf>
    <xf numFmtId="38" fontId="66" fillId="0" borderId="0" applyNumberFormat="0" applyFill="0" applyBorder="0" applyProtection="0">
      <alignment horizontal="left"/>
    </xf>
    <xf numFmtId="38" fontId="67" fillId="0" borderId="0" applyNumberFormat="0" applyFill="0" applyBorder="0" applyProtection="0">
      <alignment horizontal="centerContinuous"/>
    </xf>
    <xf numFmtId="164" fontId="23" fillId="0" borderId="0">
      <alignment horizontal="left" wrapText="1"/>
    </xf>
    <xf numFmtId="0" fontId="26" fillId="35" borderId="0" applyNumberFormat="0" applyBorder="0" applyAlignment="0" applyProtection="0"/>
    <xf numFmtId="0" fontId="26" fillId="35" borderId="0" applyNumberFormat="0" applyBorder="0" applyAlignment="0" applyProtection="0"/>
    <xf numFmtId="0" fontId="27" fillId="36" borderId="0" applyNumberFormat="0" applyBorder="0" applyAlignment="0" applyProtection="0"/>
    <xf numFmtId="0" fontId="26" fillId="35" borderId="0" applyNumberFormat="0" applyBorder="0" applyAlignment="0" applyProtection="0"/>
    <xf numFmtId="0" fontId="63" fillId="34" borderId="0" applyNumberFormat="0" applyBorder="0" applyAlignment="0" applyProtection="0"/>
    <xf numFmtId="0" fontId="26" fillId="35"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63" fillId="34" borderId="0" applyNumberFormat="0" applyBorder="0" applyAlignment="0" applyProtection="0"/>
    <xf numFmtId="0" fontId="63" fillId="34" borderId="0" applyNumberFormat="0" applyBorder="0" applyAlignment="0" applyProtection="0"/>
    <xf numFmtId="0" fontId="63" fillId="34"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7" fillId="38" borderId="0" applyNumberFormat="0" applyBorder="0" applyAlignment="0" applyProtection="0"/>
    <xf numFmtId="0" fontId="26" fillId="38" borderId="0" applyNumberFormat="0" applyBorder="0" applyAlignment="0" applyProtection="0"/>
    <xf numFmtId="0" fontId="63" fillId="37" borderId="0" applyNumberFormat="0" applyBorder="0" applyAlignment="0" applyProtection="0"/>
    <xf numFmtId="0" fontId="26"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63" fillId="37" borderId="0" applyNumberFormat="0" applyBorder="0" applyAlignment="0" applyProtection="0"/>
    <xf numFmtId="0" fontId="63" fillId="37" borderId="0" applyNumberFormat="0" applyBorder="0" applyAlignment="0" applyProtection="0"/>
    <xf numFmtId="0" fontId="63" fillId="37" borderId="0" applyNumberFormat="0" applyBorder="0" applyAlignment="0" applyProtection="0"/>
    <xf numFmtId="0" fontId="26" fillId="40" borderId="0" applyNumberFormat="0" applyBorder="0" applyAlignment="0" applyProtection="0"/>
    <xf numFmtId="0" fontId="26" fillId="40" borderId="0" applyNumberFormat="0" applyBorder="0" applyAlignment="0" applyProtection="0"/>
    <xf numFmtId="0" fontId="27" fillId="40" borderId="0" applyNumberFormat="0" applyBorder="0" applyAlignment="0" applyProtection="0"/>
    <xf numFmtId="0" fontId="26" fillId="40" borderId="0" applyNumberFormat="0" applyBorder="0" applyAlignment="0" applyProtection="0"/>
    <xf numFmtId="0" fontId="63" fillId="39" borderId="0" applyNumberFormat="0" applyBorder="0" applyAlignment="0" applyProtection="0"/>
    <xf numFmtId="0" fontId="26" fillId="40" borderId="0" applyNumberFormat="0" applyBorder="0" applyAlignment="0" applyProtection="0"/>
    <xf numFmtId="0" fontId="27" fillId="40" borderId="0" applyNumberFormat="0" applyBorder="0" applyAlignment="0" applyProtection="0"/>
    <xf numFmtId="0" fontId="27" fillId="40" borderId="0" applyNumberFormat="0" applyBorder="0" applyAlignment="0" applyProtection="0"/>
    <xf numFmtId="0" fontId="63" fillId="39" borderId="0" applyNumberFormat="0" applyBorder="0" applyAlignment="0" applyProtection="0"/>
    <xf numFmtId="0" fontId="63" fillId="39" borderId="0" applyNumberFormat="0" applyBorder="0" applyAlignment="0" applyProtection="0"/>
    <xf numFmtId="0" fontId="63" fillId="39" borderId="0" applyNumberFormat="0" applyBorder="0" applyAlignment="0" applyProtection="0"/>
    <xf numFmtId="0" fontId="26" fillId="35" borderId="0" applyNumberFormat="0" applyBorder="0" applyAlignment="0" applyProtection="0"/>
    <xf numFmtId="0" fontId="26" fillId="35" borderId="0" applyNumberFormat="0" applyBorder="0" applyAlignment="0" applyProtection="0"/>
    <xf numFmtId="0" fontId="27" fillId="36" borderId="0" applyNumberFormat="0" applyBorder="0" applyAlignment="0" applyProtection="0"/>
    <xf numFmtId="0" fontId="26" fillId="35" borderId="0" applyNumberFormat="0" applyBorder="0" applyAlignment="0" applyProtection="0"/>
    <xf numFmtId="0" fontId="63" fillId="41" borderId="0" applyNumberFormat="0" applyBorder="0" applyAlignment="0" applyProtection="0"/>
    <xf numFmtId="0" fontId="26" fillId="35" borderId="0" applyNumberFormat="0" applyBorder="0" applyAlignment="0" applyProtection="0"/>
    <xf numFmtId="0" fontId="27" fillId="36" borderId="0" applyNumberFormat="0" applyBorder="0" applyAlignment="0" applyProtection="0"/>
    <xf numFmtId="0" fontId="27" fillId="36" borderId="0" applyNumberFormat="0" applyBorder="0" applyAlignment="0" applyProtection="0"/>
    <xf numFmtId="0" fontId="63" fillId="41" borderId="0" applyNumberFormat="0" applyBorder="0" applyAlignment="0" applyProtection="0"/>
    <xf numFmtId="0" fontId="63" fillId="41" borderId="0" applyNumberFormat="0" applyBorder="0" applyAlignment="0" applyProtection="0"/>
    <xf numFmtId="0" fontId="63" fillId="41" borderId="0" applyNumberFormat="0" applyBorder="0" applyAlignment="0" applyProtection="0"/>
    <xf numFmtId="0" fontId="26" fillId="42" borderId="0" applyNumberFormat="0" applyBorder="0" applyAlignment="0" applyProtection="0"/>
    <xf numFmtId="0" fontId="26" fillId="42" borderId="0" applyNumberFormat="0" applyBorder="0" applyAlignment="0" applyProtection="0"/>
    <xf numFmtId="0" fontId="27" fillId="43" borderId="0" applyNumberFormat="0" applyBorder="0" applyAlignment="0" applyProtection="0"/>
    <xf numFmtId="0" fontId="26" fillId="42" borderId="0" applyNumberFormat="0" applyBorder="0" applyAlignment="0" applyProtection="0"/>
    <xf numFmtId="0" fontId="63" fillId="42" borderId="0" applyNumberFormat="0" applyBorder="0" applyAlignment="0" applyProtection="0"/>
    <xf numFmtId="0" fontId="26" fillId="42"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63" fillId="42" borderId="0" applyNumberFormat="0" applyBorder="0" applyAlignment="0" applyProtection="0"/>
    <xf numFmtId="0" fontId="63" fillId="42" borderId="0" applyNumberFormat="0" applyBorder="0" applyAlignment="0" applyProtection="0"/>
    <xf numFmtId="0" fontId="63" fillId="42"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7" fillId="38" borderId="0" applyNumberFormat="0" applyBorder="0" applyAlignment="0" applyProtection="0"/>
    <xf numFmtId="0" fontId="26" fillId="38" borderId="0" applyNumberFormat="0" applyBorder="0" applyAlignment="0" applyProtection="0"/>
    <xf numFmtId="0" fontId="63" fillId="38" borderId="0" applyNumberFormat="0" applyBorder="0" applyAlignment="0" applyProtection="0"/>
    <xf numFmtId="0" fontId="26"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63" fillId="38" borderId="0" applyNumberFormat="0" applyBorder="0" applyAlignment="0" applyProtection="0"/>
    <xf numFmtId="0" fontId="63" fillId="38" borderId="0" applyNumberFormat="0" applyBorder="0" applyAlignment="0" applyProtection="0"/>
    <xf numFmtId="0" fontId="63" fillId="38"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7" fillId="46" borderId="0" applyNumberFormat="0" applyBorder="0" applyAlignment="0" applyProtection="0"/>
    <xf numFmtId="0" fontId="26" fillId="45" borderId="0" applyNumberFormat="0" applyBorder="0" applyAlignment="0" applyProtection="0"/>
    <xf numFmtId="0" fontId="63" fillId="44" borderId="0" applyNumberFormat="0" applyBorder="0" applyAlignment="0" applyProtection="0"/>
    <xf numFmtId="0" fontId="26" fillId="45" borderId="0" applyNumberFormat="0" applyBorder="0" applyAlignment="0" applyProtection="0"/>
    <xf numFmtId="0" fontId="27" fillId="46" borderId="0" applyNumberFormat="0" applyBorder="0" applyAlignment="0" applyProtection="0"/>
    <xf numFmtId="0" fontId="27" fillId="46" borderId="0" applyNumberFormat="0" applyBorder="0" applyAlignment="0" applyProtection="0"/>
    <xf numFmtId="0" fontId="63" fillId="44" borderId="0" applyNumberFormat="0" applyBorder="0" applyAlignment="0" applyProtection="0"/>
    <xf numFmtId="0" fontId="63" fillId="44" borderId="0" applyNumberFormat="0" applyBorder="0" applyAlignment="0" applyProtection="0"/>
    <xf numFmtId="0" fontId="63" fillId="44" borderId="0" applyNumberFormat="0" applyBorder="0" applyAlignment="0" applyProtection="0"/>
    <xf numFmtId="0" fontId="26" fillId="47" borderId="0" applyNumberFormat="0" applyBorder="0" applyAlignment="0" applyProtection="0"/>
    <xf numFmtId="0" fontId="26" fillId="47" borderId="0" applyNumberFormat="0" applyBorder="0" applyAlignment="0" applyProtection="0"/>
    <xf numFmtId="0" fontId="27" fillId="47" borderId="0" applyNumberFormat="0" applyBorder="0" applyAlignment="0" applyProtection="0"/>
    <xf numFmtId="0" fontId="26" fillId="47" borderId="0" applyNumberFormat="0" applyBorder="0" applyAlignment="0" applyProtection="0"/>
    <xf numFmtId="0" fontId="63" fillId="47" borderId="0" applyNumberFormat="0" applyBorder="0" applyAlignment="0" applyProtection="0"/>
    <xf numFmtId="0" fontId="26" fillId="47"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63" fillId="47" borderId="0" applyNumberFormat="0" applyBorder="0" applyAlignment="0" applyProtection="0"/>
    <xf numFmtId="0" fontId="63" fillId="47" borderId="0" applyNumberFormat="0" applyBorder="0" applyAlignment="0" applyProtection="0"/>
    <xf numFmtId="0" fontId="63" fillId="47" borderId="0" applyNumberFormat="0" applyBorder="0" applyAlignment="0" applyProtection="0"/>
    <xf numFmtId="0" fontId="26" fillId="33" borderId="0" applyNumberFormat="0" applyBorder="0" applyAlignment="0" applyProtection="0"/>
    <xf numFmtId="0" fontId="26" fillId="33" borderId="0" applyNumberFormat="0" applyBorder="0" applyAlignment="0" applyProtection="0"/>
    <xf numFmtId="0" fontId="27" fillId="33" borderId="0" applyNumberFormat="0" applyBorder="0" applyAlignment="0" applyProtection="0"/>
    <xf numFmtId="0" fontId="26" fillId="33" borderId="0" applyNumberFormat="0" applyBorder="0" applyAlignment="0" applyProtection="0"/>
    <xf numFmtId="0" fontId="63" fillId="48" borderId="0" applyNumberFormat="0" applyBorder="0" applyAlignment="0" applyProtection="0"/>
    <xf numFmtId="0" fontId="26" fillId="33"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3" fillId="48" borderId="0" applyNumberFormat="0" applyBorder="0" applyAlignment="0" applyProtection="0"/>
    <xf numFmtId="0" fontId="63" fillId="48" borderId="0" applyNumberFormat="0" applyBorder="0" applyAlignment="0" applyProtection="0"/>
    <xf numFmtId="0" fontId="63" fillId="48" borderId="0" applyNumberFormat="0" applyBorder="0" applyAlignment="0" applyProtection="0"/>
    <xf numFmtId="0" fontId="26" fillId="45" borderId="0" applyNumberFormat="0" applyBorder="0" applyAlignment="0" applyProtection="0"/>
    <xf numFmtId="0" fontId="26" fillId="45" borderId="0" applyNumberFormat="0" applyBorder="0" applyAlignment="0" applyProtection="0"/>
    <xf numFmtId="0" fontId="27" fillId="45" borderId="0" applyNumberFormat="0" applyBorder="0" applyAlignment="0" applyProtection="0"/>
    <xf numFmtId="0" fontId="26" fillId="45" borderId="0" applyNumberFormat="0" applyBorder="0" applyAlignment="0" applyProtection="0"/>
    <xf numFmtId="0" fontId="63" fillId="41" borderId="0" applyNumberFormat="0" applyBorder="0" applyAlignment="0" applyProtection="0"/>
    <xf numFmtId="0" fontId="26" fillId="45"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63" fillId="41" borderId="0" applyNumberFormat="0" applyBorder="0" applyAlignment="0" applyProtection="0"/>
    <xf numFmtId="0" fontId="63" fillId="41" borderId="0" applyNumberFormat="0" applyBorder="0" applyAlignment="0" applyProtection="0"/>
    <xf numFmtId="0" fontId="63" fillId="41" borderId="0" applyNumberFormat="0" applyBorder="0" applyAlignment="0" applyProtection="0"/>
    <xf numFmtId="0" fontId="26" fillId="44" borderId="0" applyNumberFormat="0" applyBorder="0" applyAlignment="0" applyProtection="0"/>
    <xf numFmtId="0" fontId="26" fillId="44" borderId="0" applyNumberFormat="0" applyBorder="0" applyAlignment="0" applyProtection="0"/>
    <xf numFmtId="0" fontId="27" fillId="43" borderId="0" applyNumberFormat="0" applyBorder="0" applyAlignment="0" applyProtection="0"/>
    <xf numFmtId="0" fontId="26" fillId="44" borderId="0" applyNumberFormat="0" applyBorder="0" applyAlignment="0" applyProtection="0"/>
    <xf numFmtId="0" fontId="63" fillId="44" borderId="0" applyNumberFormat="0" applyBorder="0" applyAlignment="0" applyProtection="0"/>
    <xf numFmtId="0" fontId="26" fillId="44" borderId="0" applyNumberFormat="0" applyBorder="0" applyAlignment="0" applyProtection="0"/>
    <xf numFmtId="0" fontId="27" fillId="43" borderId="0" applyNumberFormat="0" applyBorder="0" applyAlignment="0" applyProtection="0"/>
    <xf numFmtId="0" fontId="27" fillId="43" borderId="0" applyNumberFormat="0" applyBorder="0" applyAlignment="0" applyProtection="0"/>
    <xf numFmtId="0" fontId="63" fillId="44" borderId="0" applyNumberFormat="0" applyBorder="0" applyAlignment="0" applyProtection="0"/>
    <xf numFmtId="0" fontId="63" fillId="44" borderId="0" applyNumberFormat="0" applyBorder="0" applyAlignment="0" applyProtection="0"/>
    <xf numFmtId="0" fontId="63" fillId="44" borderId="0" applyNumberFormat="0" applyBorder="0" applyAlignment="0" applyProtection="0"/>
    <xf numFmtId="0" fontId="26" fillId="38" borderId="0" applyNumberFormat="0" applyBorder="0" applyAlignment="0" applyProtection="0"/>
    <xf numFmtId="0" fontId="26" fillId="38" borderId="0" applyNumberFormat="0" applyBorder="0" applyAlignment="0" applyProtection="0"/>
    <xf numFmtId="0" fontId="27" fillId="38" borderId="0" applyNumberFormat="0" applyBorder="0" applyAlignment="0" applyProtection="0"/>
    <xf numFmtId="0" fontId="26" fillId="38" borderId="0" applyNumberFormat="0" applyBorder="0" applyAlignment="0" applyProtection="0"/>
    <xf numFmtId="0" fontId="63" fillId="49" borderId="0" applyNumberFormat="0" applyBorder="0" applyAlignment="0" applyProtection="0"/>
    <xf numFmtId="0" fontId="26" fillId="38"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63" fillId="49" borderId="0" applyNumberFormat="0" applyBorder="0" applyAlignment="0" applyProtection="0"/>
    <xf numFmtId="0" fontId="63" fillId="49" borderId="0" applyNumberFormat="0" applyBorder="0" applyAlignment="0" applyProtection="0"/>
    <xf numFmtId="0" fontId="63" fillId="49"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68" fillId="51" borderId="0" applyNumberFormat="0" applyBorder="0" applyAlignment="0" applyProtection="0"/>
    <xf numFmtId="0" fontId="27" fillId="51" borderId="0" applyNumberFormat="0" applyBorder="0" applyAlignment="0" applyProtection="0"/>
    <xf numFmtId="0" fontId="60" fillId="50" borderId="0" applyNumberFormat="0" applyBorder="0" applyAlignment="0" applyProtection="0"/>
    <xf numFmtId="0" fontId="68" fillId="51" borderId="0" applyNumberFormat="0" applyBorder="0" applyAlignment="0" applyProtection="0"/>
    <xf numFmtId="0" fontId="68" fillId="51" borderId="0" applyNumberFormat="0" applyBorder="0" applyAlignment="0" applyProtection="0"/>
    <xf numFmtId="0" fontId="60" fillId="50" borderId="0" applyNumberFormat="0" applyBorder="0" applyAlignment="0" applyProtection="0"/>
    <xf numFmtId="0" fontId="60" fillId="50" borderId="0" applyNumberFormat="0" applyBorder="0" applyAlignment="0" applyProtection="0"/>
    <xf numFmtId="0" fontId="60" fillId="50" borderId="0" applyNumberFormat="0" applyBorder="0" applyAlignment="0" applyProtection="0"/>
    <xf numFmtId="0" fontId="27" fillId="47" borderId="0" applyNumberFormat="0" applyBorder="0" applyAlignment="0" applyProtection="0"/>
    <xf numFmtId="0" fontId="27" fillId="47" borderId="0" applyNumberFormat="0" applyBorder="0" applyAlignment="0" applyProtection="0"/>
    <xf numFmtId="0" fontId="68" fillId="47" borderId="0" applyNumberFormat="0" applyBorder="0" applyAlignment="0" applyProtection="0"/>
    <xf numFmtId="0" fontId="27" fillId="47" borderId="0" applyNumberFormat="0" applyBorder="0" applyAlignment="0" applyProtection="0"/>
    <xf numFmtId="0" fontId="60" fillId="47" borderId="0" applyNumberFormat="0" applyBorder="0" applyAlignment="0" applyProtection="0"/>
    <xf numFmtId="0" fontId="68" fillId="47" borderId="0" applyNumberFormat="0" applyBorder="0" applyAlignment="0" applyProtection="0"/>
    <xf numFmtId="0" fontId="68" fillId="47" borderId="0" applyNumberFormat="0" applyBorder="0" applyAlignment="0" applyProtection="0"/>
    <xf numFmtId="0" fontId="60" fillId="47" borderId="0" applyNumberFormat="0" applyBorder="0" applyAlignment="0" applyProtection="0"/>
    <xf numFmtId="0" fontId="60" fillId="47" borderId="0" applyNumberFormat="0" applyBorder="0" applyAlignment="0" applyProtection="0"/>
    <xf numFmtId="0" fontId="60" fillId="47" borderId="0" applyNumberFormat="0" applyBorder="0" applyAlignment="0" applyProtection="0"/>
    <xf numFmtId="0" fontId="27" fillId="33" borderId="0" applyNumberFormat="0" applyBorder="0" applyAlignment="0" applyProtection="0"/>
    <xf numFmtId="0" fontId="27" fillId="33" borderId="0" applyNumberFormat="0" applyBorder="0" applyAlignment="0" applyProtection="0"/>
    <xf numFmtId="0" fontId="68" fillId="33" borderId="0" applyNumberFormat="0" applyBorder="0" applyAlignment="0" applyProtection="0"/>
    <xf numFmtId="0" fontId="27" fillId="33" borderId="0" applyNumberFormat="0" applyBorder="0" applyAlignment="0" applyProtection="0"/>
    <xf numFmtId="0" fontId="60" fillId="48" borderId="0" applyNumberFormat="0" applyBorder="0" applyAlignment="0" applyProtection="0"/>
    <xf numFmtId="0" fontId="68" fillId="33" borderId="0" applyNumberFormat="0" applyBorder="0" applyAlignment="0" applyProtection="0"/>
    <xf numFmtId="0" fontId="68" fillId="33" borderId="0" applyNumberFormat="0" applyBorder="0" applyAlignment="0" applyProtection="0"/>
    <xf numFmtId="0" fontId="60" fillId="48" borderId="0" applyNumberFormat="0" applyBorder="0" applyAlignment="0" applyProtection="0"/>
    <xf numFmtId="0" fontId="60" fillId="48" borderId="0" applyNumberFormat="0" applyBorder="0" applyAlignment="0" applyProtection="0"/>
    <xf numFmtId="0" fontId="60" fillId="48" borderId="0" applyNumberFormat="0" applyBorder="0" applyAlignment="0" applyProtection="0"/>
    <xf numFmtId="0" fontId="27" fillId="45" borderId="0" applyNumberFormat="0" applyBorder="0" applyAlignment="0" applyProtection="0"/>
    <xf numFmtId="0" fontId="27" fillId="45" borderId="0" applyNumberFormat="0" applyBorder="0" applyAlignment="0" applyProtection="0"/>
    <xf numFmtId="0" fontId="68" fillId="45" borderId="0" applyNumberFormat="0" applyBorder="0" applyAlignment="0" applyProtection="0"/>
    <xf numFmtId="0" fontId="27" fillId="45" borderId="0" applyNumberFormat="0" applyBorder="0" applyAlignment="0" applyProtection="0"/>
    <xf numFmtId="0" fontId="60" fillId="52" borderId="0" applyNumberFormat="0" applyBorder="0" applyAlignment="0" applyProtection="0"/>
    <xf numFmtId="0" fontId="68" fillId="45" borderId="0" applyNumberFormat="0" applyBorder="0" applyAlignment="0" applyProtection="0"/>
    <xf numFmtId="0" fontId="68" fillId="45" borderId="0" applyNumberFormat="0" applyBorder="0" applyAlignment="0" applyProtection="0"/>
    <xf numFmtId="0" fontId="60" fillId="52" borderId="0" applyNumberFormat="0" applyBorder="0" applyAlignment="0" applyProtection="0"/>
    <xf numFmtId="0" fontId="60" fillId="52" borderId="0" applyNumberFormat="0" applyBorder="0" applyAlignment="0" applyProtection="0"/>
    <xf numFmtId="0" fontId="60" fillId="52"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68" fillId="51" borderId="0" applyNumberFormat="0" applyBorder="0" applyAlignment="0" applyProtection="0"/>
    <xf numFmtId="0" fontId="27" fillId="51" borderId="0" applyNumberFormat="0" applyBorder="0" applyAlignment="0" applyProtection="0"/>
    <xf numFmtId="0" fontId="60" fillId="51" borderId="0" applyNumberFormat="0" applyBorder="0" applyAlignment="0" applyProtection="0"/>
    <xf numFmtId="0" fontId="68" fillId="51" borderId="0" applyNumberFormat="0" applyBorder="0" applyAlignment="0" applyProtection="0"/>
    <xf numFmtId="0" fontId="68" fillId="51" borderId="0" applyNumberFormat="0" applyBorder="0" applyAlignment="0" applyProtection="0"/>
    <xf numFmtId="0" fontId="60" fillId="51" borderId="0" applyNumberFormat="0" applyBorder="0" applyAlignment="0" applyProtection="0"/>
    <xf numFmtId="0" fontId="60" fillId="51" borderId="0" applyNumberFormat="0" applyBorder="0" applyAlignment="0" applyProtection="0"/>
    <xf numFmtId="0" fontId="60" fillId="51" borderId="0" applyNumberFormat="0" applyBorder="0" applyAlignment="0" applyProtection="0"/>
    <xf numFmtId="0" fontId="27" fillId="38" borderId="0" applyNumberFormat="0" applyBorder="0" applyAlignment="0" applyProtection="0"/>
    <xf numFmtId="0" fontId="27" fillId="38" borderId="0" applyNumberFormat="0" applyBorder="0" applyAlignment="0" applyProtection="0"/>
    <xf numFmtId="0" fontId="68" fillId="54" borderId="0" applyNumberFormat="0" applyBorder="0" applyAlignment="0" applyProtection="0"/>
    <xf numFmtId="0" fontId="27" fillId="38" borderId="0" applyNumberFormat="0" applyBorder="0" applyAlignment="0" applyProtection="0"/>
    <xf numFmtId="0" fontId="60" fillId="53" borderId="0" applyNumberFormat="0" applyBorder="0" applyAlignment="0" applyProtection="0"/>
    <xf numFmtId="0" fontId="68" fillId="54" borderId="0" applyNumberFormat="0" applyBorder="0" applyAlignment="0" applyProtection="0"/>
    <xf numFmtId="0" fontId="68" fillId="54" borderId="0" applyNumberFormat="0" applyBorder="0" applyAlignment="0" applyProtection="0"/>
    <xf numFmtId="0" fontId="60" fillId="53" borderId="0" applyNumberFormat="0" applyBorder="0" applyAlignment="0" applyProtection="0"/>
    <xf numFmtId="0" fontId="60" fillId="53" borderId="0" applyNumberFormat="0" applyBorder="0" applyAlignment="0" applyProtection="0"/>
    <xf numFmtId="0" fontId="60" fillId="53"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68" fillId="51" borderId="0" applyNumberFormat="0" applyBorder="0" applyAlignment="0" applyProtection="0"/>
    <xf numFmtId="0" fontId="27" fillId="51" borderId="0" applyNumberFormat="0" applyBorder="0" applyAlignment="0" applyProtection="0"/>
    <xf numFmtId="0" fontId="60" fillId="55" borderId="0" applyNumberFormat="0" applyBorder="0" applyAlignment="0" applyProtection="0"/>
    <xf numFmtId="0" fontId="68" fillId="51" borderId="0" applyNumberFormat="0" applyBorder="0" applyAlignment="0" applyProtection="0"/>
    <xf numFmtId="0" fontId="68" fillId="51" borderId="0" applyNumberFormat="0" applyBorder="0" applyAlignment="0" applyProtection="0"/>
    <xf numFmtId="0" fontId="60" fillId="55" borderId="0" applyNumberFormat="0" applyBorder="0" applyAlignment="0" applyProtection="0"/>
    <xf numFmtId="0" fontId="60" fillId="55" borderId="0" applyNumberFormat="0" applyBorder="0" applyAlignment="0" applyProtection="0"/>
    <xf numFmtId="0" fontId="60" fillId="55" borderId="0" applyNumberFormat="0" applyBorder="0" applyAlignment="0" applyProtection="0"/>
    <xf numFmtId="0" fontId="27" fillId="56" borderId="0" applyNumberFormat="0" applyBorder="0" applyAlignment="0" applyProtection="0"/>
    <xf numFmtId="0" fontId="27" fillId="56" borderId="0" applyNumberFormat="0" applyBorder="0" applyAlignment="0" applyProtection="0"/>
    <xf numFmtId="0" fontId="68" fillId="56" borderId="0" applyNumberFormat="0" applyBorder="0" applyAlignment="0" applyProtection="0"/>
    <xf numFmtId="0" fontId="27" fillId="56" borderId="0" applyNumberFormat="0" applyBorder="0" applyAlignment="0" applyProtection="0"/>
    <xf numFmtId="0" fontId="60" fillId="56" borderId="0" applyNumberFormat="0" applyBorder="0" applyAlignment="0" applyProtection="0"/>
    <xf numFmtId="0" fontId="68" fillId="56" borderId="0" applyNumberFormat="0" applyBorder="0" applyAlignment="0" applyProtection="0"/>
    <xf numFmtId="0" fontId="68" fillId="56" borderId="0" applyNumberFormat="0" applyBorder="0" applyAlignment="0" applyProtection="0"/>
    <xf numFmtId="0" fontId="60" fillId="56" borderId="0" applyNumberFormat="0" applyBorder="0" applyAlignment="0" applyProtection="0"/>
    <xf numFmtId="0" fontId="60" fillId="56" borderId="0" applyNumberFormat="0" applyBorder="0" applyAlignment="0" applyProtection="0"/>
    <xf numFmtId="0" fontId="60" fillId="56" borderId="0" applyNumberFormat="0" applyBorder="0" applyAlignment="0" applyProtection="0"/>
    <xf numFmtId="0" fontId="27" fillId="57" borderId="0" applyNumberFormat="0" applyBorder="0" applyAlignment="0" applyProtection="0"/>
    <xf numFmtId="0" fontId="27" fillId="57" borderId="0" applyNumberFormat="0" applyBorder="0" applyAlignment="0" applyProtection="0"/>
    <xf numFmtId="0" fontId="68" fillId="57" borderId="0" applyNumberFormat="0" applyBorder="0" applyAlignment="0" applyProtection="0"/>
    <xf numFmtId="0" fontId="27" fillId="57" borderId="0" applyNumberFormat="0" applyBorder="0" applyAlignment="0" applyProtection="0"/>
    <xf numFmtId="0" fontId="60" fillId="57" borderId="0" applyNumberFormat="0" applyBorder="0" applyAlignment="0" applyProtection="0"/>
    <xf numFmtId="0" fontId="68" fillId="57" borderId="0" applyNumberFormat="0" applyBorder="0" applyAlignment="0" applyProtection="0"/>
    <xf numFmtId="0" fontId="68" fillId="57" borderId="0" applyNumberFormat="0" applyBorder="0" applyAlignment="0" applyProtection="0"/>
    <xf numFmtId="0" fontId="60" fillId="57" borderId="0" applyNumberFormat="0" applyBorder="0" applyAlignment="0" applyProtection="0"/>
    <xf numFmtId="0" fontId="60" fillId="57" borderId="0" applyNumberFormat="0" applyBorder="0" applyAlignment="0" applyProtection="0"/>
    <xf numFmtId="0" fontId="60" fillId="57" borderId="0" applyNumberFormat="0" applyBorder="0" applyAlignment="0" applyProtection="0"/>
    <xf numFmtId="0" fontId="27" fillId="58" borderId="0" applyNumberFormat="0" applyBorder="0" applyAlignment="0" applyProtection="0"/>
    <xf numFmtId="0" fontId="27" fillId="58" borderId="0" applyNumberFormat="0" applyBorder="0" applyAlignment="0" applyProtection="0"/>
    <xf numFmtId="0" fontId="68" fillId="58" borderId="0" applyNumberFormat="0" applyBorder="0" applyAlignment="0" applyProtection="0"/>
    <xf numFmtId="0" fontId="27" fillId="58" borderId="0" applyNumberFormat="0" applyBorder="0" applyAlignment="0" applyProtection="0"/>
    <xf numFmtId="0" fontId="60" fillId="52" borderId="0" applyNumberFormat="0" applyBorder="0" applyAlignment="0" applyProtection="0"/>
    <xf numFmtId="0" fontId="68" fillId="58" borderId="0" applyNumberFormat="0" applyBorder="0" applyAlignment="0" applyProtection="0"/>
    <xf numFmtId="0" fontId="68" fillId="58" borderId="0" applyNumberFormat="0" applyBorder="0" applyAlignment="0" applyProtection="0"/>
    <xf numFmtId="0" fontId="60" fillId="52" borderId="0" applyNumberFormat="0" applyBorder="0" applyAlignment="0" applyProtection="0"/>
    <xf numFmtId="0" fontId="60" fillId="52" borderId="0" applyNumberFormat="0" applyBorder="0" applyAlignment="0" applyProtection="0"/>
    <xf numFmtId="0" fontId="60" fillId="52" borderId="0" applyNumberFormat="0" applyBorder="0" applyAlignment="0" applyProtection="0"/>
    <xf numFmtId="0" fontId="27" fillId="51" borderId="0" applyNumberFormat="0" applyBorder="0" applyAlignment="0" applyProtection="0"/>
    <xf numFmtId="0" fontId="27" fillId="51" borderId="0" applyNumberFormat="0" applyBorder="0" applyAlignment="0" applyProtection="0"/>
    <xf numFmtId="0" fontId="68" fillId="51" borderId="0" applyNumberFormat="0" applyBorder="0" applyAlignment="0" applyProtection="0"/>
    <xf numFmtId="0" fontId="27" fillId="51" borderId="0" applyNumberFormat="0" applyBorder="0" applyAlignment="0" applyProtection="0"/>
    <xf numFmtId="0" fontId="60" fillId="51" borderId="0" applyNumberFormat="0" applyBorder="0" applyAlignment="0" applyProtection="0"/>
    <xf numFmtId="0" fontId="68" fillId="51" borderId="0" applyNumberFormat="0" applyBorder="0" applyAlignment="0" applyProtection="0"/>
    <xf numFmtId="0" fontId="68" fillId="51" borderId="0" applyNumberFormat="0" applyBorder="0" applyAlignment="0" applyProtection="0"/>
    <xf numFmtId="0" fontId="60" fillId="51" borderId="0" applyNumberFormat="0" applyBorder="0" applyAlignment="0" applyProtection="0"/>
    <xf numFmtId="0" fontId="60" fillId="51" borderId="0" applyNumberFormat="0" applyBorder="0" applyAlignment="0" applyProtection="0"/>
    <xf numFmtId="0" fontId="60" fillId="51" borderId="0" applyNumberFormat="0" applyBorder="0" applyAlignment="0" applyProtection="0"/>
    <xf numFmtId="0" fontId="27" fillId="59" borderId="0" applyNumberFormat="0" applyBorder="0" applyAlignment="0" applyProtection="0"/>
    <xf numFmtId="0" fontId="27" fillId="59" borderId="0" applyNumberFormat="0" applyBorder="0" applyAlignment="0" applyProtection="0"/>
    <xf numFmtId="0" fontId="68" fillId="59" borderId="0" applyNumberFormat="0" applyBorder="0" applyAlignment="0" applyProtection="0"/>
    <xf numFmtId="0" fontId="27" fillId="59" borderId="0" applyNumberFormat="0" applyBorder="0" applyAlignment="0" applyProtection="0"/>
    <xf numFmtId="0" fontId="60" fillId="59" borderId="0" applyNumberFormat="0" applyBorder="0" applyAlignment="0" applyProtection="0"/>
    <xf numFmtId="0" fontId="68" fillId="59" borderId="0" applyNumberFormat="0" applyBorder="0" applyAlignment="0" applyProtection="0"/>
    <xf numFmtId="0" fontId="68" fillId="59" borderId="0" applyNumberFormat="0" applyBorder="0" applyAlignment="0" applyProtection="0"/>
    <xf numFmtId="0" fontId="60" fillId="59" borderId="0" applyNumberFormat="0" applyBorder="0" applyAlignment="0" applyProtection="0"/>
    <xf numFmtId="0" fontId="60" fillId="59" borderId="0" applyNumberFormat="0" applyBorder="0" applyAlignment="0" applyProtection="0"/>
    <xf numFmtId="0" fontId="60" fillId="59" borderId="0" applyNumberFormat="0" applyBorder="0" applyAlignment="0" applyProtection="0"/>
    <xf numFmtId="0" fontId="48" fillId="0" borderId="0" applyNumberFormat="0" applyFill="0" applyBorder="0" applyAlignment="0">
      <protection locked="0"/>
    </xf>
    <xf numFmtId="0" fontId="28" fillId="37" borderId="0" applyNumberFormat="0" applyBorder="0" applyAlignment="0" applyProtection="0"/>
    <xf numFmtId="0" fontId="28" fillId="37" borderId="0" applyNumberFormat="0" applyBorder="0" applyAlignment="0" applyProtection="0"/>
    <xf numFmtId="0" fontId="70" fillId="37" borderId="0" applyNumberFormat="0" applyBorder="0" applyAlignment="0" applyProtection="0"/>
    <xf numFmtId="0" fontId="28" fillId="37" borderId="0" applyNumberFormat="0" applyBorder="0" applyAlignment="0" applyProtection="0"/>
    <xf numFmtId="0" fontId="69" fillId="37" borderId="0" applyNumberFormat="0" applyBorder="0" applyAlignment="0" applyProtection="0"/>
    <xf numFmtId="0" fontId="70" fillId="37" borderId="0" applyNumberFormat="0" applyBorder="0" applyAlignment="0" applyProtection="0"/>
    <xf numFmtId="0" fontId="70" fillId="37" borderId="0" applyNumberFormat="0" applyBorder="0" applyAlignment="0" applyProtection="0"/>
    <xf numFmtId="0" fontId="69" fillId="37" borderId="0" applyNumberFormat="0" applyBorder="0" applyAlignment="0" applyProtection="0"/>
    <xf numFmtId="0" fontId="69" fillId="37" borderId="0" applyNumberFormat="0" applyBorder="0" applyAlignment="0" applyProtection="0"/>
    <xf numFmtId="0" fontId="69" fillId="37" borderId="0" applyNumberFormat="0" applyBorder="0" applyAlignment="0" applyProtection="0"/>
    <xf numFmtId="167" fontId="39" fillId="0" borderId="0" applyFill="0" applyBorder="0" applyAlignment="0"/>
    <xf numFmtId="0" fontId="29" fillId="35" borderId="12" applyNumberFormat="0" applyAlignment="0" applyProtection="0"/>
    <xf numFmtId="0" fontId="29" fillId="35" borderId="12" applyNumberFormat="0" applyAlignment="0" applyProtection="0"/>
    <xf numFmtId="0" fontId="29" fillId="48" borderId="13" applyNumberFormat="0" applyAlignment="0" applyProtection="0"/>
    <xf numFmtId="0" fontId="29" fillId="35" borderId="12" applyNumberFormat="0" applyAlignment="0" applyProtection="0"/>
    <xf numFmtId="0" fontId="71" fillId="45" borderId="12" applyNumberFormat="0" applyAlignment="0" applyProtection="0"/>
    <xf numFmtId="0" fontId="29" fillId="48" borderId="13" applyNumberFormat="0" applyAlignment="0" applyProtection="0"/>
    <xf numFmtId="0" fontId="29" fillId="48" borderId="13" applyNumberFormat="0" applyAlignment="0" applyProtection="0"/>
    <xf numFmtId="0" fontId="71" fillId="45" borderId="12" applyNumberFormat="0" applyAlignment="0" applyProtection="0"/>
    <xf numFmtId="0" fontId="29" fillId="48" borderId="13" applyNumberFormat="0" applyAlignment="0" applyProtection="0"/>
    <xf numFmtId="0" fontId="71" fillId="45" borderId="12" applyNumberFormat="0" applyAlignment="0" applyProtection="0"/>
    <xf numFmtId="0" fontId="30" fillId="45" borderId="14" applyNumberFormat="0" applyAlignment="0" applyProtection="0"/>
    <xf numFmtId="0" fontId="30" fillId="45" borderId="14" applyNumberFormat="0" applyAlignment="0" applyProtection="0"/>
    <xf numFmtId="0" fontId="72" fillId="35" borderId="14" applyNumberFormat="0" applyAlignment="0" applyProtection="0"/>
    <xf numFmtId="0" fontId="30" fillId="45" borderId="14" applyNumberFormat="0" applyAlignment="0" applyProtection="0"/>
    <xf numFmtId="0" fontId="59" fillId="35" borderId="14" applyNumberFormat="0" applyAlignment="0" applyProtection="0"/>
    <xf numFmtId="0" fontId="72" fillId="35" borderId="14" applyNumberFormat="0" applyAlignment="0" applyProtection="0"/>
    <xf numFmtId="0" fontId="72" fillId="35" borderId="14" applyNumberFormat="0" applyAlignment="0" applyProtection="0"/>
    <xf numFmtId="0" fontId="59" fillId="35" borderId="14" applyNumberFormat="0" applyAlignment="0" applyProtection="0"/>
    <xf numFmtId="0" fontId="72" fillId="35" borderId="14" applyNumberFormat="0" applyAlignment="0" applyProtection="0"/>
    <xf numFmtId="0" fontId="59" fillId="35" borderId="14" applyNumberFormat="0" applyAlignment="0" applyProtection="0"/>
    <xf numFmtId="43" fontId="20" fillId="0" borderId="0" applyFont="0" applyFill="0" applyBorder="0" applyAlignment="0" applyProtection="0"/>
    <xf numFmtId="0" fontId="73" fillId="0" borderId="0" applyFont="0" applyFill="0" applyBorder="0" applyAlignment="0" applyProtection="0">
      <alignment horizontal="right"/>
    </xf>
    <xf numFmtId="43" fontId="23"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43" fontId="24"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43" fontId="24" fillId="0" borderId="0" applyFont="0" applyFill="0" applyBorder="0" applyAlignment="0" applyProtection="0"/>
    <xf numFmtId="43" fontId="24"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0" fontId="73" fillId="0" borderId="0" applyFont="0" applyFill="0" applyBorder="0" applyAlignment="0" applyProtection="0">
      <alignment horizontal="right"/>
    </xf>
    <xf numFmtId="0" fontId="73" fillId="0" borderId="0" applyFont="0" applyFill="0" applyBorder="0" applyAlignment="0" applyProtection="0">
      <alignment horizontal="right"/>
    </xf>
    <xf numFmtId="43" fontId="23" fillId="0" borderId="0" applyFont="0" applyFill="0" applyBorder="0" applyAlignment="0" applyProtection="0"/>
    <xf numFmtId="43" fontId="40"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7" fillId="0" borderId="0" applyFont="0" applyFill="0" applyBorder="0" applyAlignment="0" applyProtection="0"/>
    <xf numFmtId="43" fontId="40" fillId="0" borderId="0" applyFont="0" applyFill="0" applyBorder="0" applyAlignment="0" applyProtection="0"/>
    <xf numFmtId="43" fontId="26" fillId="0" borderId="0" applyFont="0" applyFill="0" applyBorder="0" applyAlignment="0" applyProtection="0"/>
    <xf numFmtId="43" fontId="40" fillId="0" borderId="0" applyFont="0" applyFill="0" applyBorder="0" applyAlignment="0" applyProtection="0"/>
    <xf numFmtId="43" fontId="74" fillId="0" borderId="0" applyFont="0" applyFill="0" applyBorder="0" applyAlignment="0" applyProtection="0"/>
    <xf numFmtId="43" fontId="23" fillId="0" borderId="0" applyFont="0" applyFill="0" applyBorder="0" applyAlignment="0" applyProtection="0"/>
    <xf numFmtId="43" fontId="74"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40" fillId="0" borderId="0" applyFont="0" applyFill="0" applyBorder="0" applyAlignment="0" applyProtection="0"/>
    <xf numFmtId="43" fontId="3"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40"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177" fontId="21" fillId="0" borderId="0" applyFont="0" applyFill="0" applyBorder="0" applyAlignment="0" applyProtection="0"/>
    <xf numFmtId="43" fontId="23" fillId="0" borderId="0" applyFont="0" applyFill="0" applyBorder="0" applyAlignment="0" applyProtection="0"/>
    <xf numFmtId="43" fontId="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3" fillId="0" borderId="0" applyFont="0" applyFill="0" applyBorder="0" applyAlignment="0" applyProtection="0"/>
    <xf numFmtId="43" fontId="3"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7" fillId="0" borderId="0" applyFont="0" applyFill="0" applyBorder="0" applyAlignment="0" applyProtection="0"/>
    <xf numFmtId="43" fontId="27"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3" fontId="23" fillId="0" borderId="0" applyFont="0" applyFill="0" applyBorder="0" applyAlignment="0" applyProtection="0"/>
    <xf numFmtId="0" fontId="41" fillId="0" borderId="0"/>
    <xf numFmtId="0" fontId="42" fillId="0" borderId="0" applyNumberFormat="0" applyAlignment="0">
      <alignment horizontal="left"/>
    </xf>
    <xf numFmtId="0" fontId="43" fillId="0" borderId="0" applyNumberFormat="0" applyAlignment="0"/>
    <xf numFmtId="0" fontId="41" fillId="0" borderId="0"/>
    <xf numFmtId="0" fontId="41" fillId="0" borderId="0"/>
    <xf numFmtId="44" fontId="20" fillId="0" borderId="0" applyFont="0" applyFill="0" applyBorder="0" applyAlignment="0" applyProtection="0"/>
    <xf numFmtId="0" fontId="73" fillId="0" borderId="0" applyFont="0" applyFill="0" applyBorder="0" applyAlignment="0" applyProtection="0">
      <alignment horizontal="right"/>
    </xf>
    <xf numFmtId="44" fontId="23" fillId="0" borderId="0" applyFont="0" applyFill="0" applyBorder="0" applyAlignment="0" applyProtection="0"/>
    <xf numFmtId="0" fontId="73" fillId="0" borderId="0" applyFont="0" applyFill="0" applyBorder="0" applyAlignment="0" applyProtection="0">
      <alignment horizontal="right"/>
    </xf>
    <xf numFmtId="44" fontId="23" fillId="0" borderId="0" applyFont="0" applyFill="0" applyBorder="0" applyAlignment="0" applyProtection="0"/>
    <xf numFmtId="0" fontId="73" fillId="0" borderId="0" applyFont="0" applyFill="0" applyBorder="0" applyAlignment="0" applyProtection="0">
      <alignment horizontal="right"/>
    </xf>
    <xf numFmtId="44" fontId="24" fillId="0" borderId="0" applyFont="0" applyFill="0" applyBorder="0" applyAlignment="0" applyProtection="0"/>
    <xf numFmtId="44" fontId="24"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6" fillId="0" borderId="0" applyFont="0" applyFill="0" applyBorder="0" applyAlignment="0" applyProtection="0"/>
    <xf numFmtId="44" fontId="26" fillId="0" borderId="0" applyFont="0" applyFill="0" applyBorder="0" applyAlignment="0" applyProtection="0"/>
    <xf numFmtId="44" fontId="26" fillId="0" borderId="0" applyFont="0" applyFill="0" applyBorder="0" applyAlignment="0" applyProtection="0"/>
    <xf numFmtId="5" fontId="23" fillId="0" borderId="0" applyFont="0" applyFill="0" applyBorder="0" applyAlignment="0" applyProtection="0"/>
    <xf numFmtId="14" fontId="24" fillId="0" borderId="0" applyFont="0" applyFill="0" applyBorder="0" applyAlignment="0" applyProtection="0"/>
    <xf numFmtId="14" fontId="24" fillId="0" borderId="0" applyFont="0" applyFill="0" applyBorder="0" applyAlignment="0" applyProtection="0"/>
    <xf numFmtId="0" fontId="73" fillId="0" borderId="0" applyFont="0" applyFill="0" applyBorder="0" applyAlignment="0" applyProtection="0"/>
    <xf numFmtId="0" fontId="73" fillId="0" borderId="15" applyNumberFormat="0" applyFont="0" applyFill="0" applyAlignment="0" applyProtection="0"/>
    <xf numFmtId="166" fontId="23" fillId="0" borderId="0"/>
    <xf numFmtId="0" fontId="31" fillId="0" borderId="0" applyNumberFormat="0" applyFill="0" applyBorder="0" applyAlignment="0" applyProtection="0"/>
    <xf numFmtId="0" fontId="31" fillId="0" borderId="0" applyNumberFormat="0" applyFill="0" applyBorder="0" applyAlignment="0" applyProtection="0"/>
    <xf numFmtId="0" fontId="76" fillId="0" borderId="0" applyNumberFormat="0" applyFill="0" applyBorder="0" applyAlignment="0" applyProtection="0"/>
    <xf numFmtId="0" fontId="31" fillId="0" borderId="0" applyNumberFormat="0" applyFill="0" applyBorder="0" applyAlignment="0" applyProtection="0"/>
    <xf numFmtId="0" fontId="75" fillId="0" borderId="0" applyNumberFormat="0" applyFill="0" applyBorder="0" applyAlignment="0" applyProtection="0"/>
    <xf numFmtId="0" fontId="76" fillId="0" borderId="0" applyNumberFormat="0" applyFill="0" applyBorder="0" applyAlignment="0" applyProtection="0"/>
    <xf numFmtId="0" fontId="76"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0" fontId="75" fillId="0" borderId="0" applyNumberFormat="0" applyFill="0" applyBorder="0" applyAlignment="0" applyProtection="0"/>
    <xf numFmtId="2" fontId="44" fillId="0" borderId="0" applyFont="0" applyFill="0" applyBorder="0" applyAlignment="0" applyProtection="0"/>
    <xf numFmtId="0" fontId="41" fillId="0" borderId="0"/>
    <xf numFmtId="0" fontId="77" fillId="0" borderId="0" applyFill="0" applyBorder="0" applyProtection="0">
      <alignment horizontal="left"/>
    </xf>
    <xf numFmtId="0" fontId="32" fillId="39" borderId="0" applyNumberFormat="0" applyBorder="0" applyAlignment="0" applyProtection="0"/>
    <xf numFmtId="0" fontId="32" fillId="39" borderId="0" applyNumberFormat="0" applyBorder="0" applyAlignment="0" applyProtection="0"/>
    <xf numFmtId="0" fontId="79" fillId="43" borderId="0" applyNumberFormat="0" applyBorder="0" applyAlignment="0" applyProtection="0"/>
    <xf numFmtId="0" fontId="32" fillId="39" borderId="0" applyNumberFormat="0" applyBorder="0" applyAlignment="0" applyProtection="0"/>
    <xf numFmtId="0" fontId="78" fillId="39" borderId="0" applyNumberFormat="0" applyBorder="0" applyAlignment="0" applyProtection="0"/>
    <xf numFmtId="0" fontId="79" fillId="43" borderId="0" applyNumberFormat="0" applyBorder="0" applyAlignment="0" applyProtection="0"/>
    <xf numFmtId="0" fontId="79" fillId="43" borderId="0" applyNumberFormat="0" applyBorder="0" applyAlignment="0" applyProtection="0"/>
    <xf numFmtId="0" fontId="78" fillId="39" borderId="0" applyNumberFormat="0" applyBorder="0" applyAlignment="0" applyProtection="0"/>
    <xf numFmtId="0" fontId="78" fillId="39" borderId="0" applyNumberFormat="0" applyBorder="0" applyAlignment="0" applyProtection="0"/>
    <xf numFmtId="0" fontId="78" fillId="39" borderId="0" applyNumberFormat="0" applyBorder="0" applyAlignment="0" applyProtection="0"/>
    <xf numFmtId="38" fontId="24" fillId="60" borderId="0" applyNumberFormat="0" applyBorder="0" applyAlignment="0" applyProtection="0"/>
    <xf numFmtId="38" fontId="24" fillId="60" borderId="0" applyNumberFormat="0" applyBorder="0" applyAlignment="0" applyProtection="0"/>
    <xf numFmtId="0" fontId="73" fillId="0" borderId="0" applyFont="0" applyFill="0" applyBorder="0" applyAlignment="0" applyProtection="0">
      <alignment horizontal="right"/>
    </xf>
    <xf numFmtId="0" fontId="80" fillId="0" borderId="0" applyProtection="0">
      <alignment horizontal="right"/>
    </xf>
    <xf numFmtId="0" fontId="45" fillId="0" borderId="16" applyNumberFormat="0" applyAlignment="0" applyProtection="0">
      <alignment horizontal="left"/>
    </xf>
    <xf numFmtId="0" fontId="45" fillId="0" borderId="17">
      <alignment horizontal="left"/>
    </xf>
    <xf numFmtId="0" fontId="46" fillId="0" borderId="19" applyNumberFormat="0" applyFill="0" applyAlignment="0" applyProtection="0"/>
    <xf numFmtId="0" fontId="46" fillId="0" borderId="19" applyNumberFormat="0" applyFill="0" applyAlignment="0" applyProtection="0"/>
    <xf numFmtId="0" fontId="46" fillId="0" borderId="19" applyNumberFormat="0" applyFill="0" applyAlignment="0" applyProtection="0"/>
    <xf numFmtId="0" fontId="81" fillId="0" borderId="18" applyNumberFormat="0" applyFill="0" applyAlignment="0" applyProtection="0"/>
    <xf numFmtId="0" fontId="82" fillId="0" borderId="19" applyNumberFormat="0" applyFill="0" applyAlignment="0" applyProtection="0"/>
    <xf numFmtId="0" fontId="82" fillId="0" borderId="19" applyNumberFormat="0" applyFill="0" applyAlignment="0" applyProtection="0"/>
    <xf numFmtId="0" fontId="81" fillId="0" borderId="18" applyNumberFormat="0" applyFill="0" applyAlignment="0" applyProtection="0"/>
    <xf numFmtId="0" fontId="82" fillId="0" borderId="19" applyNumberFormat="0" applyFill="0" applyAlignment="0" applyProtection="0"/>
    <xf numFmtId="0" fontId="81" fillId="0" borderId="18" applyNumberFormat="0" applyFill="0" applyAlignment="0" applyProtection="0"/>
    <xf numFmtId="0" fontId="45" fillId="0" borderId="0" applyNumberFormat="0" applyFont="0" applyFill="0" applyAlignment="0" applyProtection="0"/>
    <xf numFmtId="0" fontId="45" fillId="0" borderId="0" applyNumberFormat="0" applyFont="0" applyFill="0" applyAlignment="0" applyProtection="0"/>
    <xf numFmtId="0" fontId="45" fillId="0" borderId="0" applyNumberFormat="0" applyFont="0" applyFill="0" applyAlignment="0" applyProtection="0"/>
    <xf numFmtId="0" fontId="83" fillId="0" borderId="20" applyNumberFormat="0" applyFill="0" applyAlignment="0" applyProtection="0"/>
    <xf numFmtId="0" fontId="84" fillId="0" borderId="21" applyNumberFormat="0" applyFill="0" applyAlignment="0" applyProtection="0"/>
    <xf numFmtId="0" fontId="84" fillId="0" borderId="21" applyNumberFormat="0" applyFill="0" applyAlignment="0" applyProtection="0"/>
    <xf numFmtId="0" fontId="83" fillId="0" borderId="20" applyNumberFormat="0" applyFill="0" applyAlignment="0" applyProtection="0"/>
    <xf numFmtId="0" fontId="84" fillId="0" borderId="21" applyNumberFormat="0" applyFill="0" applyAlignment="0" applyProtection="0"/>
    <xf numFmtId="0" fontId="83" fillId="0" borderId="20" applyNumberFormat="0" applyFill="0" applyAlignment="0" applyProtection="0"/>
    <xf numFmtId="0" fontId="47" fillId="0" borderId="23" applyNumberFormat="0" applyFill="0" applyAlignment="0" applyProtection="0"/>
    <xf numFmtId="0" fontId="47" fillId="0" borderId="23" applyNumberFormat="0" applyFill="0" applyAlignment="0" applyProtection="0"/>
    <xf numFmtId="0" fontId="47" fillId="0" borderId="23" applyNumberFormat="0" applyFill="0" applyAlignment="0" applyProtection="0"/>
    <xf numFmtId="0" fontId="85" fillId="0" borderId="22" applyNumberFormat="0" applyFill="0" applyAlignment="0" applyProtection="0"/>
    <xf numFmtId="0" fontId="86" fillId="0" borderId="23" applyNumberFormat="0" applyFill="0" applyAlignment="0" applyProtection="0"/>
    <xf numFmtId="0" fontId="86" fillId="0" borderId="23" applyNumberFormat="0" applyFill="0" applyAlignment="0" applyProtection="0"/>
    <xf numFmtId="0" fontId="85" fillId="0" borderId="22" applyNumberFormat="0" applyFill="0" applyAlignment="0" applyProtection="0"/>
    <xf numFmtId="0" fontId="86" fillId="0" borderId="23" applyNumberFormat="0" applyFill="0" applyAlignment="0" applyProtection="0"/>
    <xf numFmtId="0" fontId="85" fillId="0" borderId="22" applyNumberFormat="0" applyFill="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47" fillId="0" borderId="0" applyNumberFormat="0" applyFill="0" applyBorder="0" applyAlignment="0" applyProtection="0"/>
    <xf numFmtId="0" fontId="85" fillId="0" borderId="0" applyNumberFormat="0" applyFill="0" applyBorder="0" applyAlignment="0" applyProtection="0"/>
    <xf numFmtId="0" fontId="86" fillId="0" borderId="0" applyNumberFormat="0" applyFill="0" applyBorder="0" applyAlignment="0" applyProtection="0"/>
    <xf numFmtId="0" fontId="86" fillId="0" borderId="0" applyNumberFormat="0" applyFill="0" applyBorder="0" applyAlignment="0" applyProtection="0"/>
    <xf numFmtId="0" fontId="85" fillId="0" borderId="0" applyNumberFormat="0" applyFill="0" applyBorder="0" applyAlignment="0" applyProtection="0"/>
    <xf numFmtId="0" fontId="85" fillId="0" borderId="0" applyNumberFormat="0" applyFill="0" applyBorder="0" applyAlignment="0" applyProtection="0"/>
    <xf numFmtId="38" fontId="25" fillId="0" borderId="0"/>
    <xf numFmtId="40" fontId="25" fillId="0" borderId="0"/>
    <xf numFmtId="0" fontId="56" fillId="0" borderId="0" applyNumberFormat="0" applyFill="0" applyBorder="0" applyAlignment="0" applyProtection="0">
      <alignment vertical="top"/>
      <protection locked="0"/>
    </xf>
    <xf numFmtId="0" fontId="87" fillId="0" borderId="0" applyNumberFormat="0" applyFill="0" applyBorder="0" applyAlignment="0" applyProtection="0"/>
    <xf numFmtId="0" fontId="56"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10" fontId="24" fillId="61" borderId="24" applyNumberFormat="0" applyBorder="0" applyAlignment="0" applyProtection="0"/>
    <xf numFmtId="10" fontId="24" fillId="61" borderId="24" applyNumberFormat="0" applyBorder="0" applyAlignment="0" applyProtection="0"/>
    <xf numFmtId="0" fontId="33" fillId="38" borderId="12" applyNumberFormat="0" applyAlignment="0" applyProtection="0"/>
    <xf numFmtId="0" fontId="33" fillId="38" borderId="12" applyNumberFormat="0" applyAlignment="0" applyProtection="0"/>
    <xf numFmtId="0" fontId="33" fillId="38" borderId="13" applyNumberFormat="0" applyAlignment="0" applyProtection="0"/>
    <xf numFmtId="0" fontId="33" fillId="38" borderId="12" applyNumberFormat="0" applyAlignment="0" applyProtection="0"/>
    <xf numFmtId="0" fontId="88" fillId="38" borderId="12" applyNumberFormat="0" applyAlignment="0" applyProtection="0"/>
    <xf numFmtId="0" fontId="33" fillId="38" borderId="13" applyNumberFormat="0" applyAlignment="0" applyProtection="0"/>
    <xf numFmtId="0" fontId="33" fillId="38" borderId="13" applyNumberFormat="0" applyAlignment="0" applyProtection="0"/>
    <xf numFmtId="0" fontId="88" fillId="38" borderId="12" applyNumberFormat="0" applyAlignment="0" applyProtection="0"/>
    <xf numFmtId="0" fontId="33" fillId="38" borderId="13" applyNumberFormat="0" applyAlignment="0" applyProtection="0"/>
    <xf numFmtId="0" fontId="33" fillId="38" borderId="12" applyNumberFormat="0" applyAlignment="0" applyProtection="0"/>
    <xf numFmtId="0" fontId="33" fillId="38" borderId="12" applyNumberFormat="0" applyAlignment="0" applyProtection="0"/>
    <xf numFmtId="0" fontId="33" fillId="38" borderId="12" applyNumberFormat="0" applyAlignment="0" applyProtection="0"/>
    <xf numFmtId="0" fontId="33" fillId="38" borderId="12" applyNumberFormat="0" applyAlignment="0" applyProtection="0"/>
    <xf numFmtId="0" fontId="33" fillId="38" borderId="12" applyNumberFormat="0" applyAlignment="0" applyProtection="0"/>
    <xf numFmtId="0" fontId="88" fillId="38" borderId="12" applyNumberFormat="0" applyAlignment="0" applyProtection="0"/>
    <xf numFmtId="41" fontId="48" fillId="62" borderId="25">
      <alignment horizontal="left"/>
      <protection locked="0"/>
    </xf>
    <xf numFmtId="0" fontId="24" fillId="60" borderId="0"/>
    <xf numFmtId="0" fontId="24" fillId="60" borderId="0"/>
    <xf numFmtId="0" fontId="34" fillId="0" borderId="26" applyNumberFormat="0" applyFill="0" applyAlignment="0" applyProtection="0"/>
    <xf numFmtId="0" fontId="34" fillId="0" borderId="26" applyNumberFormat="0" applyFill="0" applyAlignment="0" applyProtection="0"/>
    <xf numFmtId="0" fontId="34" fillId="0" borderId="26" applyNumberFormat="0" applyFill="0" applyAlignment="0" applyProtection="0"/>
    <xf numFmtId="0" fontId="89" fillId="0" borderId="26" applyNumberFormat="0" applyFill="0" applyAlignment="0" applyProtection="0"/>
    <xf numFmtId="0" fontId="34" fillId="0" borderId="26" applyNumberFormat="0" applyFill="0" applyAlignment="0" applyProtection="0"/>
    <xf numFmtId="0" fontId="89" fillId="0" borderId="26" applyNumberFormat="0" applyFill="0" applyAlignment="0" applyProtection="0"/>
    <xf numFmtId="0" fontId="34" fillId="0" borderId="26" applyNumberFormat="0" applyFill="0" applyAlignment="0" applyProtection="0"/>
    <xf numFmtId="0" fontId="89" fillId="0" borderId="26" applyNumberFormat="0" applyFill="0" applyAlignment="0" applyProtection="0"/>
    <xf numFmtId="44" fontId="21" fillId="0" borderId="27" applyNumberFormat="0" applyFont="0" applyAlignment="0">
      <alignment horizontal="center"/>
    </xf>
    <xf numFmtId="44" fontId="21" fillId="0" borderId="28" applyNumberFormat="0" applyFont="0" applyAlignment="0">
      <alignment horizontal="center"/>
    </xf>
    <xf numFmtId="0" fontId="73" fillId="0" borderId="0" applyFont="0" applyFill="0" applyBorder="0" applyAlignment="0" applyProtection="0">
      <alignment horizontal="right"/>
    </xf>
    <xf numFmtId="0" fontId="35" fillId="33" borderId="0" applyNumberFormat="0" applyBorder="0" applyAlignment="0" applyProtection="0"/>
    <xf numFmtId="0" fontId="35" fillId="33" borderId="0" applyNumberFormat="0" applyBorder="0" applyAlignment="0" applyProtection="0"/>
    <xf numFmtId="0" fontId="35" fillId="33" borderId="0" applyNumberFormat="0" applyBorder="0" applyAlignment="0" applyProtection="0"/>
    <xf numFmtId="0" fontId="90" fillId="33" borderId="0" applyNumberFormat="0" applyBorder="0" applyAlignment="0" applyProtection="0"/>
    <xf numFmtId="0" fontId="35" fillId="33" borderId="0" applyNumberFormat="0" applyBorder="0" applyAlignment="0" applyProtection="0"/>
    <xf numFmtId="0" fontId="90" fillId="33" borderId="0" applyNumberFormat="0" applyBorder="0" applyAlignment="0" applyProtection="0"/>
    <xf numFmtId="0" fontId="90" fillId="33" borderId="0" applyNumberFormat="0" applyBorder="0" applyAlignment="0" applyProtection="0"/>
    <xf numFmtId="0" fontId="90" fillId="33" borderId="0" applyNumberFormat="0" applyBorder="0" applyAlignment="0" applyProtection="0"/>
    <xf numFmtId="37" fontId="49" fillId="0" borderId="0"/>
    <xf numFmtId="168" fontId="50" fillId="0" borderId="0"/>
    <xf numFmtId="0" fontId="23"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 fillId="0" borderId="0"/>
    <xf numFmtId="0" fontId="26" fillId="0" borderId="0"/>
    <xf numFmtId="0" fontId="26"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 fillId="0" borderId="0"/>
    <xf numFmtId="0" fontId="26" fillId="0" borderId="0"/>
    <xf numFmtId="0" fontId="26" fillId="0" borderId="0"/>
    <xf numFmtId="0" fontId="26" fillId="0" borderId="0"/>
    <xf numFmtId="0" fontId="23" fillId="0" borderId="0"/>
    <xf numFmtId="0" fontId="23" fillId="0" borderId="0"/>
    <xf numFmtId="0" fontId="26" fillId="0" borderId="0"/>
    <xf numFmtId="0" fontId="26" fillId="0" borderId="0"/>
    <xf numFmtId="0" fontId="26" fillId="0" borderId="0"/>
    <xf numFmtId="0" fontId="23"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3" fillId="0" borderId="0"/>
    <xf numFmtId="0" fontId="23" fillId="0" borderId="0"/>
    <xf numFmtId="0" fontId="23" fillId="0" borderId="0"/>
    <xf numFmtId="0" fontId="23" fillId="0" borderId="0"/>
    <xf numFmtId="0" fontId="3" fillId="0" borderId="0"/>
    <xf numFmtId="0" fontId="26" fillId="0" borderId="0"/>
    <xf numFmtId="0" fontId="26" fillId="0" borderId="0"/>
    <xf numFmtId="0" fontId="26"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63" fillId="0" borderId="0"/>
    <xf numFmtId="0" fontId="63" fillId="0" borderId="0"/>
    <xf numFmtId="0" fontId="63" fillId="0" borderId="0"/>
    <xf numFmtId="0" fontId="63" fillId="0" borderId="0"/>
    <xf numFmtId="0" fontId="63" fillId="0" borderId="0"/>
    <xf numFmtId="0" fontId="6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4" fillId="0" borderId="0"/>
    <xf numFmtId="0" fontId="91" fillId="0" borderId="0"/>
    <xf numFmtId="0" fontId="24" fillId="0" borderId="0"/>
    <xf numFmtId="0" fontId="91" fillId="0" borderId="0"/>
    <xf numFmtId="0" fontId="24" fillId="0" borderId="0"/>
    <xf numFmtId="0" fontId="23" fillId="0" borderId="0"/>
    <xf numFmtId="0" fontId="26" fillId="0" borderId="0"/>
    <xf numFmtId="0" fontId="23" fillId="0" borderId="0"/>
    <xf numFmtId="0" fontId="24" fillId="0" borderId="0"/>
    <xf numFmtId="0" fontId="23" fillId="0" borderId="0"/>
    <xf numFmtId="0" fontId="24" fillId="0" borderId="0"/>
    <xf numFmtId="0" fontId="27"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40" fillId="0" borderId="0"/>
    <xf numFmtId="0" fontId="3" fillId="0" borderId="0"/>
    <xf numFmtId="0" fontId="3" fillId="0" borderId="0"/>
    <xf numFmtId="0" fontId="26" fillId="0" borderId="0"/>
    <xf numFmtId="0" fontId="40" fillId="0" borderId="0"/>
    <xf numFmtId="0" fontId="26" fillId="0" borderId="0"/>
    <xf numFmtId="0" fontId="40" fillId="0" borderId="0"/>
    <xf numFmtId="0" fontId="27" fillId="0" borderId="0"/>
    <xf numFmtId="0" fontId="3" fillId="0" borderId="0"/>
    <xf numFmtId="0" fontId="26" fillId="0" borderId="0"/>
    <xf numFmtId="0" fontId="40" fillId="0" borderId="0"/>
    <xf numFmtId="0" fontId="26" fillId="0" borderId="0"/>
    <xf numFmtId="0" fontId="3" fillId="0" borderId="0"/>
    <xf numFmtId="0" fontId="26" fillId="0" borderId="0"/>
    <xf numFmtId="0" fontId="23" fillId="0" borderId="0"/>
    <xf numFmtId="0" fontId="23" fillId="0" borderId="0"/>
    <xf numFmtId="0" fontId="23" fillId="0" borderId="0"/>
    <xf numFmtId="0" fontId="40" fillId="0" borderId="0"/>
    <xf numFmtId="0" fontId="3" fillId="0" borderId="0"/>
    <xf numFmtId="0" fontId="27"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 fillId="0" borderId="0"/>
    <xf numFmtId="0" fontId="26" fillId="0" borderId="0"/>
    <xf numFmtId="0" fontId="26" fillId="0" borderId="0"/>
    <xf numFmtId="0" fontId="26" fillId="0" borderId="0"/>
    <xf numFmtId="0" fontId="23" fillId="0" borderId="0"/>
    <xf numFmtId="0" fontId="26" fillId="0" borderId="0"/>
    <xf numFmtId="0" fontId="23"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3" fillId="0" borderId="0"/>
    <xf numFmtId="0" fontId="23"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40" borderId="29" applyNumberFormat="0" applyFont="0" applyAlignment="0" applyProtection="0"/>
    <xf numFmtId="0" fontId="23" fillId="40" borderId="29" applyNumberFormat="0" applyFont="0" applyAlignment="0" applyProtection="0"/>
    <xf numFmtId="0" fontId="23" fillId="40" borderId="13" applyNumberFormat="0" applyFont="0" applyAlignment="0" applyProtection="0"/>
    <xf numFmtId="0" fontId="23" fillId="40" borderId="13" applyNumberFormat="0" applyFont="0" applyAlignment="0" applyProtection="0"/>
    <xf numFmtId="0" fontId="23" fillId="40" borderId="13" applyNumberFormat="0" applyFont="0" applyAlignment="0" applyProtection="0"/>
    <xf numFmtId="0" fontId="23" fillId="40" borderId="29" applyNumberFormat="0" applyFont="0" applyAlignment="0" applyProtection="0"/>
    <xf numFmtId="0" fontId="27" fillId="40" borderId="29" applyNumberFormat="0" applyFont="0" applyAlignment="0" applyProtection="0"/>
    <xf numFmtId="0" fontId="36" fillId="35" borderId="30" applyNumberFormat="0" applyAlignment="0" applyProtection="0"/>
    <xf numFmtId="0" fontId="36" fillId="35" borderId="30" applyNumberFormat="0" applyAlignment="0" applyProtection="0"/>
    <xf numFmtId="0" fontId="36" fillId="48" borderId="30" applyNumberFormat="0" applyAlignment="0" applyProtection="0"/>
    <xf numFmtId="0" fontId="36" fillId="35" borderId="30" applyNumberFormat="0" applyAlignment="0" applyProtection="0"/>
    <xf numFmtId="0" fontId="92" fillId="45" borderId="30" applyNumberFormat="0" applyAlignment="0" applyProtection="0"/>
    <xf numFmtId="0" fontId="36" fillId="48" borderId="30" applyNumberFormat="0" applyAlignment="0" applyProtection="0"/>
    <xf numFmtId="0" fontId="36" fillId="48" borderId="30" applyNumberFormat="0" applyAlignment="0" applyProtection="0"/>
    <xf numFmtId="0" fontId="92" fillId="45" borderId="30" applyNumberFormat="0" applyAlignment="0" applyProtection="0"/>
    <xf numFmtId="0" fontId="36" fillId="48" borderId="30" applyNumberFormat="0" applyAlignment="0" applyProtection="0"/>
    <xf numFmtId="0" fontId="92" fillId="45" borderId="30" applyNumberFormat="0" applyAlignment="0" applyProtection="0"/>
    <xf numFmtId="1" fontId="93" fillId="0" borderId="0" applyProtection="0">
      <alignment horizontal="right" vertical="center"/>
    </xf>
    <xf numFmtId="0" fontId="41" fillId="0" borderId="0"/>
    <xf numFmtId="9" fontId="20" fillId="0" borderId="0" applyFont="0" applyFill="0" applyBorder="0" applyAlignment="0" applyProtection="0"/>
    <xf numFmtId="10"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3"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3" fillId="0" borderId="0" applyFont="0" applyFill="0" applyBorder="0" applyAlignment="0" applyProtection="0"/>
    <xf numFmtId="9" fontId="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1"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51" fillId="0" borderId="0" applyNumberFormat="0" applyFont="0" applyFill="0" applyBorder="0" applyAlignment="0" applyProtection="0">
      <alignment horizontal="left"/>
    </xf>
    <xf numFmtId="0" fontId="51" fillId="0" borderId="0" applyNumberFormat="0" applyFont="0" applyFill="0" applyBorder="0" applyAlignment="0" applyProtection="0">
      <alignment horizontal="left"/>
    </xf>
    <xf numFmtId="0" fontId="51" fillId="0" borderId="0" applyNumberFormat="0" applyFont="0" applyFill="0" applyBorder="0" applyAlignment="0" applyProtection="0">
      <alignment horizontal="left"/>
    </xf>
    <xf numFmtId="15" fontId="51" fillId="0" borderId="0" applyFont="0" applyFill="0" applyBorder="0" applyAlignment="0" applyProtection="0"/>
    <xf numFmtId="15" fontId="51" fillId="0" borderId="0" applyFont="0" applyFill="0" applyBorder="0" applyAlignment="0" applyProtection="0"/>
    <xf numFmtId="15" fontId="51" fillId="0" borderId="0" applyFont="0" applyFill="0" applyBorder="0" applyAlignment="0" applyProtection="0"/>
    <xf numFmtId="4" fontId="51" fillId="0" borderId="0" applyFont="0" applyFill="0" applyBorder="0" applyAlignment="0" applyProtection="0"/>
    <xf numFmtId="4" fontId="51" fillId="0" borderId="0" applyFont="0" applyFill="0" applyBorder="0" applyAlignment="0" applyProtection="0"/>
    <xf numFmtId="4" fontId="51" fillId="0" borderId="0" applyFont="0" applyFill="0" applyBorder="0" applyAlignment="0" applyProtection="0"/>
    <xf numFmtId="0" fontId="22" fillId="0" borderId="31">
      <alignment horizontal="center"/>
    </xf>
    <xf numFmtId="0" fontId="22" fillId="0" borderId="31">
      <alignment horizontal="center"/>
    </xf>
    <xf numFmtId="0" fontId="22" fillId="0" borderId="31">
      <alignment horizontal="center"/>
    </xf>
    <xf numFmtId="0" fontId="22" fillId="0" borderId="31">
      <alignment horizontal="center"/>
    </xf>
    <xf numFmtId="0" fontId="22" fillId="0" borderId="31">
      <alignment horizontal="center"/>
    </xf>
    <xf numFmtId="0" fontId="22" fillId="0" borderId="31">
      <alignment horizontal="center"/>
    </xf>
    <xf numFmtId="0" fontId="22" fillId="0" borderId="31">
      <alignment horizontal="center"/>
    </xf>
    <xf numFmtId="3" fontId="51" fillId="0" borderId="0" applyFont="0" applyFill="0" applyBorder="0" applyAlignment="0" applyProtection="0"/>
    <xf numFmtId="3" fontId="51" fillId="0" borderId="0" applyFont="0" applyFill="0" applyBorder="0" applyAlignment="0" applyProtection="0"/>
    <xf numFmtId="3" fontId="51" fillId="0" borderId="0" applyFont="0" applyFill="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0" fontId="51" fillId="63" borderId="0" applyNumberFormat="0" applyFont="0" applyBorder="0" applyAlignment="0" applyProtection="0"/>
    <xf numFmtId="178" fontId="77" fillId="0" borderId="32" applyFont="0" applyFill="0" applyBorder="0" applyAlignment="0" applyProtection="0"/>
    <xf numFmtId="0" fontId="94" fillId="0" borderId="0" applyNumberFormat="0" applyFill="0" applyBorder="0" applyAlignment="0" applyProtection="0"/>
    <xf numFmtId="14" fontId="52" fillId="0" borderId="0" applyNumberFormat="0" applyFill="0" applyBorder="0" applyAlignment="0" applyProtection="0">
      <alignment horizontal="left"/>
    </xf>
    <xf numFmtId="165" fontId="23" fillId="0" borderId="0" applyFont="0" applyFill="0" applyAlignment="0">
      <alignment horizontal="right"/>
    </xf>
    <xf numFmtId="0" fontId="95" fillId="60" borderId="0" applyNumberFormat="0" applyFont="0" applyBorder="0" applyAlignment="0" applyProtection="0"/>
    <xf numFmtId="39" fontId="23" fillId="64" borderId="0"/>
    <xf numFmtId="38" fontId="24" fillId="0" borderId="33"/>
    <xf numFmtId="38" fontId="24" fillId="0" borderId="33"/>
    <xf numFmtId="38" fontId="25" fillId="0" borderId="34"/>
    <xf numFmtId="39" fontId="52" fillId="65" borderId="0"/>
    <xf numFmtId="166" fontId="23" fillId="0" borderId="0">
      <alignment horizontal="left" wrapText="1"/>
    </xf>
    <xf numFmtId="40" fontId="53" fillId="0" borderId="0" applyBorder="0">
      <alignment horizontal="right"/>
    </xf>
    <xf numFmtId="0" fontId="96" fillId="0" borderId="0" applyBorder="0" applyProtection="0">
      <alignment vertical="center"/>
    </xf>
    <xf numFmtId="0" fontId="96" fillId="0" borderId="35" applyBorder="0" applyProtection="0">
      <alignment horizontal="right" vertical="center"/>
    </xf>
    <xf numFmtId="0" fontId="97" fillId="66" borderId="0" applyBorder="0" applyProtection="0">
      <alignment horizontal="centerContinuous" vertical="center"/>
    </xf>
    <xf numFmtId="0" fontId="97" fillId="67" borderId="35" applyBorder="0" applyProtection="0">
      <alignment horizontal="centerContinuous" vertical="center"/>
    </xf>
    <xf numFmtId="0" fontId="25" fillId="0" borderId="0" applyBorder="0" applyProtection="0">
      <alignment horizontal="left"/>
    </xf>
    <xf numFmtId="0" fontId="98" fillId="0" borderId="0" applyFill="0" applyBorder="0" applyProtection="0">
      <alignment horizontal="left"/>
    </xf>
    <xf numFmtId="0" fontId="24" fillId="0" borderId="32" applyFill="0" applyBorder="0" applyProtection="0">
      <alignment horizontal="left" vertical="top"/>
    </xf>
    <xf numFmtId="0" fontId="54" fillId="0" borderId="0" applyNumberFormat="0" applyFill="0" applyBorder="0" applyAlignment="0" applyProtection="0"/>
    <xf numFmtId="0" fontId="54" fillId="0" borderId="0" applyNumberFormat="0" applyFill="0" applyBorder="0" applyAlignment="0" applyProtection="0"/>
    <xf numFmtId="0" fontId="57" fillId="0" borderId="0" applyNumberFormat="0" applyFill="0" applyBorder="0" applyAlignment="0" applyProtection="0"/>
    <xf numFmtId="0" fontId="54"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99" fillId="0" borderId="0" applyNumberFormat="0" applyFill="0" applyBorder="0" applyAlignment="0" applyProtection="0"/>
    <xf numFmtId="0" fontId="99" fillId="0" borderId="0" applyNumberFormat="0" applyFill="0" applyBorder="0" applyAlignment="0" applyProtection="0"/>
    <xf numFmtId="0" fontId="57" fillId="0" borderId="0" applyNumberFormat="0" applyFill="0" applyBorder="0" applyAlignment="0" applyProtection="0"/>
    <xf numFmtId="0" fontId="57" fillId="0" borderId="0" applyNumberFormat="0" applyFill="0" applyBorder="0" applyAlignment="0" applyProtection="0"/>
    <xf numFmtId="0" fontId="21" fillId="61" borderId="0">
      <alignment horizontal="left" wrapText="1"/>
    </xf>
    <xf numFmtId="0" fontId="55" fillId="0" borderId="0">
      <alignment horizontal="left" vertical="center"/>
    </xf>
    <xf numFmtId="0" fontId="37" fillId="0" borderId="37" applyNumberFormat="0" applyFill="0" applyAlignment="0" applyProtection="0"/>
    <xf numFmtId="0" fontId="37" fillId="0" borderId="37" applyNumberFormat="0" applyFill="0" applyAlignment="0" applyProtection="0"/>
    <xf numFmtId="0" fontId="30" fillId="0" borderId="37" applyNumberFormat="0" applyFill="0" applyAlignment="0" applyProtection="0"/>
    <xf numFmtId="0" fontId="37" fillId="0" borderId="37" applyNumberFormat="0" applyFill="0" applyAlignment="0" applyProtection="0"/>
    <xf numFmtId="0" fontId="61" fillId="0" borderId="36" applyNumberFormat="0" applyFill="0" applyAlignment="0" applyProtection="0"/>
    <xf numFmtId="0" fontId="37" fillId="0" borderId="37" applyNumberFormat="0" applyFill="0" applyAlignment="0" applyProtection="0"/>
    <xf numFmtId="0" fontId="30" fillId="0" borderId="37" applyNumberFormat="0" applyFill="0" applyAlignment="0" applyProtection="0"/>
    <xf numFmtId="0" fontId="30" fillId="0" borderId="37" applyNumberFormat="0" applyFill="0" applyAlignment="0" applyProtection="0"/>
    <xf numFmtId="0" fontId="61" fillId="0" borderId="36" applyNumberFormat="0" applyFill="0" applyAlignment="0" applyProtection="0"/>
    <xf numFmtId="0" fontId="30" fillId="0" borderId="37" applyNumberFormat="0" applyFill="0" applyAlignment="0" applyProtection="0"/>
    <xf numFmtId="0" fontId="61" fillId="0" borderId="36" applyNumberFormat="0" applyFill="0" applyAlignment="0" applyProtection="0"/>
    <xf numFmtId="37" fontId="23" fillId="0" borderId="0"/>
    <xf numFmtId="0" fontId="3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38" fillId="0" borderId="0" applyNumberFormat="0" applyFill="0" applyBorder="0" applyAlignment="0" applyProtection="0"/>
    <xf numFmtId="0" fontId="38" fillId="0" borderId="0" applyNumberFormat="0" applyFill="0" applyBorder="0" applyAlignment="0" applyProtection="0"/>
    <xf numFmtId="0" fontId="58" fillId="0" borderId="0" applyNumberFormat="0" applyFill="0" applyBorder="0" applyAlignment="0" applyProtection="0"/>
    <xf numFmtId="0" fontId="58" fillId="0" borderId="0" applyNumberFormat="0" applyFill="0" applyBorder="0" applyAlignment="0" applyProtection="0"/>
    <xf numFmtId="0" fontId="20" fillId="0" borderId="0"/>
    <xf numFmtId="0" fontId="23" fillId="0" borderId="0"/>
    <xf numFmtId="0" fontId="3" fillId="10" borderId="0" applyNumberFormat="0" applyBorder="0" applyAlignment="0" applyProtection="0"/>
    <xf numFmtId="0" fontId="3" fillId="14" borderId="0" applyNumberFormat="0" applyBorder="0" applyAlignment="0" applyProtection="0"/>
    <xf numFmtId="0" fontId="3" fillId="18" borderId="0" applyNumberFormat="0" applyBorder="0" applyAlignment="0" applyProtection="0"/>
    <xf numFmtId="0" fontId="3" fillId="22" borderId="0" applyNumberFormat="0" applyBorder="0" applyAlignment="0" applyProtection="0"/>
    <xf numFmtId="0" fontId="3" fillId="26" borderId="0" applyNumberFormat="0" applyBorder="0" applyAlignment="0" applyProtection="0"/>
    <xf numFmtId="0" fontId="3" fillId="30" borderId="0" applyNumberFormat="0" applyBorder="0" applyAlignment="0" applyProtection="0"/>
    <xf numFmtId="0" fontId="3" fillId="11" borderId="0" applyNumberFormat="0" applyBorder="0" applyAlignment="0" applyProtection="0"/>
    <xf numFmtId="0" fontId="3" fillId="15" borderId="0" applyNumberFormat="0" applyBorder="0" applyAlignment="0" applyProtection="0"/>
    <xf numFmtId="0" fontId="3" fillId="19" borderId="0" applyNumberFormat="0" applyBorder="0" applyAlignment="0" applyProtection="0"/>
    <xf numFmtId="0" fontId="3" fillId="23" borderId="0" applyNumberFormat="0" applyBorder="0" applyAlignment="0" applyProtection="0"/>
    <xf numFmtId="0" fontId="3" fillId="27" borderId="0" applyNumberFormat="0" applyBorder="0" applyAlignment="0" applyProtection="0"/>
    <xf numFmtId="0" fontId="3" fillId="31" borderId="0" applyNumberFormat="0" applyBorder="0" applyAlignment="0" applyProtection="0"/>
    <xf numFmtId="0" fontId="19" fillId="12" borderId="0" applyNumberFormat="0" applyBorder="0" applyAlignment="0" applyProtection="0"/>
    <xf numFmtId="0" fontId="19" fillId="16" borderId="0" applyNumberFormat="0" applyBorder="0" applyAlignment="0" applyProtection="0"/>
    <xf numFmtId="0" fontId="19" fillId="20" borderId="0" applyNumberFormat="0" applyBorder="0" applyAlignment="0" applyProtection="0"/>
    <xf numFmtId="0" fontId="19" fillId="24" borderId="0" applyNumberFormat="0" applyBorder="0" applyAlignment="0" applyProtection="0"/>
    <xf numFmtId="0" fontId="19" fillId="28" borderId="0" applyNumberFormat="0" applyBorder="0" applyAlignment="0" applyProtection="0"/>
    <xf numFmtId="0" fontId="19" fillId="32" borderId="0" applyNumberFormat="0" applyBorder="0" applyAlignment="0" applyProtection="0"/>
    <xf numFmtId="0" fontId="19" fillId="9" borderId="0" applyNumberFormat="0" applyBorder="0" applyAlignment="0" applyProtection="0"/>
    <xf numFmtId="0" fontId="19" fillId="13" borderId="0" applyNumberFormat="0" applyBorder="0" applyAlignment="0" applyProtection="0"/>
    <xf numFmtId="0" fontId="19" fillId="17" borderId="0" applyNumberFormat="0" applyBorder="0" applyAlignment="0" applyProtection="0"/>
    <xf numFmtId="0" fontId="19" fillId="21" borderId="0" applyNumberFormat="0" applyBorder="0" applyAlignment="0" applyProtection="0"/>
    <xf numFmtId="0" fontId="19" fillId="25" borderId="0" applyNumberFormat="0" applyBorder="0" applyAlignment="0" applyProtection="0"/>
    <xf numFmtId="0" fontId="19" fillId="29" borderId="0" applyNumberFormat="0" applyBorder="0" applyAlignment="0" applyProtection="0"/>
    <xf numFmtId="0" fontId="9" fillId="3" borderId="0" applyNumberFormat="0" applyBorder="0" applyAlignment="0" applyProtection="0"/>
    <xf numFmtId="0" fontId="13" fillId="6" borderId="4" applyNumberFormat="0" applyAlignment="0" applyProtection="0"/>
    <xf numFmtId="0" fontId="15" fillId="7" borderId="7" applyNumberFormat="0" applyAlignment="0" applyProtection="0"/>
    <xf numFmtId="43" fontId="102" fillId="0" borderId="0" applyFont="0" applyFill="0" applyBorder="0" applyAlignment="0" applyProtection="0"/>
    <xf numFmtId="43" fontId="102" fillId="0" borderId="0" applyFont="0" applyFill="0" applyBorder="0" applyAlignment="0" applyProtection="0"/>
    <xf numFmtId="43" fontId="23" fillId="0" borderId="0" applyFont="0" applyFill="0" applyBorder="0" applyAlignment="0" applyProtection="0"/>
    <xf numFmtId="9" fontId="20" fillId="0" borderId="0" applyFont="0" applyFill="0" applyBorder="0" applyAlignment="0" applyProtection="0"/>
    <xf numFmtId="43" fontId="23" fillId="0" borderId="0" applyFont="0" applyFill="0" applyBorder="0" applyAlignment="0" applyProtection="0"/>
    <xf numFmtId="43" fontId="102"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43" fontId="26" fillId="0" borderId="0" applyFont="0" applyFill="0" applyBorder="0" applyAlignment="0" applyProtection="0"/>
    <xf numFmtId="43" fontId="23" fillId="0" borderId="0" applyFont="0" applyFill="0" applyBorder="0" applyAlignment="0" applyProtection="0"/>
    <xf numFmtId="0" fontId="23" fillId="0" borderId="0"/>
    <xf numFmtId="43" fontId="23"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9" fontId="23"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7" fillId="0" borderId="0" applyFont="0" applyFill="0" applyBorder="0" applyAlignment="0" applyProtection="0"/>
    <xf numFmtId="0" fontId="63" fillId="0" borderId="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7"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3" fontId="26"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44" fontId="23" fillId="0" borderId="0" applyFont="0" applyFill="0" applyBorder="0" applyAlignment="0" applyProtection="0"/>
    <xf numFmtId="0" fontId="17" fillId="0" borderId="0" applyNumberFormat="0" applyFill="0" applyBorder="0" applyAlignment="0" applyProtection="0"/>
    <xf numFmtId="0" fontId="8" fillId="2" borderId="0" applyNumberFormat="0" applyBorder="0" applyAlignment="0" applyProtection="0"/>
    <xf numFmtId="0" fontId="5" fillId="0" borderId="1" applyNumberFormat="0" applyFill="0" applyAlignment="0" applyProtection="0"/>
    <xf numFmtId="0" fontId="63" fillId="0" borderId="0"/>
    <xf numFmtId="0" fontId="6" fillId="0" borderId="2" applyNumberFormat="0" applyFill="0" applyAlignment="0" applyProtection="0"/>
    <xf numFmtId="0" fontId="7" fillId="0" borderId="3" applyNumberFormat="0" applyFill="0" applyAlignment="0" applyProtection="0"/>
    <xf numFmtId="0" fontId="7" fillId="0" borderId="0" applyNumberFormat="0" applyFill="0" applyBorder="0" applyAlignment="0" applyProtection="0"/>
    <xf numFmtId="0" fontId="87" fillId="0" borderId="0" applyNumberFormat="0" applyFill="0" applyBorder="0" applyAlignment="0" applyProtection="0"/>
    <xf numFmtId="0" fontId="103" fillId="0" borderId="0" applyNumberFormat="0" applyFill="0" applyBorder="0" applyAlignment="0" applyProtection="0"/>
    <xf numFmtId="0" fontId="56"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56" fillId="0" borderId="0" applyNumberFormat="0" applyFill="0" applyBorder="0" applyAlignment="0" applyProtection="0">
      <alignment vertical="top"/>
      <protection locked="0"/>
    </xf>
    <xf numFmtId="0" fontId="100" fillId="0" borderId="0" applyNumberFormat="0" applyFill="0" applyBorder="0" applyAlignment="0" applyProtection="0">
      <alignment vertical="top"/>
      <protection locked="0"/>
    </xf>
    <xf numFmtId="0" fontId="103" fillId="0" borderId="0" applyNumberFormat="0" applyFill="0" applyBorder="0" applyAlignment="0" applyProtection="0"/>
    <xf numFmtId="0" fontId="11" fillId="5" borderId="4" applyNumberFormat="0" applyAlignment="0" applyProtection="0"/>
    <xf numFmtId="0" fontId="63" fillId="0" borderId="0"/>
    <xf numFmtId="0" fontId="14" fillId="0" borderId="6" applyNumberFormat="0" applyFill="0" applyAlignment="0" applyProtection="0"/>
    <xf numFmtId="0" fontId="10" fillId="4" borderId="0" applyNumberFormat="0" applyBorder="0" applyAlignment="0" applyProtection="0"/>
    <xf numFmtId="0" fontId="26" fillId="0" borderId="0"/>
    <xf numFmtId="0" fontId="3" fillId="0" borderId="0"/>
    <xf numFmtId="0" fontId="63" fillId="0" borderId="0"/>
    <xf numFmtId="0" fontId="63" fillId="0" borderId="0"/>
    <xf numFmtId="0" fontId="26" fillId="0" borderId="0"/>
    <xf numFmtId="0" fontId="3" fillId="0" borderId="0"/>
    <xf numFmtId="0" fontId="26" fillId="0" borderId="0"/>
    <xf numFmtId="0" fontId="3" fillId="0" borderId="0"/>
    <xf numFmtId="0" fontId="26" fillId="0" borderId="0"/>
    <xf numFmtId="0" fontId="3" fillId="0" borderId="0"/>
    <xf numFmtId="0" fontId="26" fillId="0" borderId="0"/>
    <xf numFmtId="0" fontId="3" fillId="0" borderId="0"/>
    <xf numFmtId="0" fontId="26" fillId="0" borderId="0"/>
    <xf numFmtId="0" fontId="3" fillId="0" borderId="0"/>
    <xf numFmtId="0" fontId="63" fillId="0" borderId="0"/>
    <xf numFmtId="0" fontId="63" fillId="0" borderId="0"/>
    <xf numFmtId="0" fontId="23" fillId="0" borderId="0"/>
    <xf numFmtId="0" fontId="26" fillId="0" borderId="0"/>
    <xf numFmtId="0" fontId="3" fillId="0" borderId="0"/>
    <xf numFmtId="0" fontId="26"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6" fillId="0" borderId="0"/>
    <xf numFmtId="0" fontId="3" fillId="0" borderId="0"/>
    <xf numFmtId="0" fontId="23" fillId="0" borderId="0"/>
    <xf numFmtId="0" fontId="23" fillId="0" borderId="0"/>
    <xf numFmtId="0" fontId="26" fillId="0" borderId="0"/>
    <xf numFmtId="0" fontId="3" fillId="0" borderId="0"/>
    <xf numFmtId="9" fontId="20" fillId="0" borderId="0" applyFont="0" applyFill="0" applyBorder="0" applyAlignment="0" applyProtection="0"/>
    <xf numFmtId="0" fontId="3" fillId="0" borderId="0"/>
    <xf numFmtId="0" fontId="26" fillId="0" borderId="0"/>
    <xf numFmtId="0" fontId="3" fillId="0" borderId="0"/>
    <xf numFmtId="0" fontId="3" fillId="0" borderId="0"/>
    <xf numFmtId="0" fontId="26" fillId="0" borderId="0"/>
    <xf numFmtId="0" fontId="3" fillId="0" borderId="0"/>
    <xf numFmtId="0" fontId="3" fillId="0" borderId="0"/>
    <xf numFmtId="0" fontId="3" fillId="0" borderId="0"/>
    <xf numFmtId="0" fontId="26" fillId="0" borderId="0"/>
    <xf numFmtId="0" fontId="3" fillId="0" borderId="0"/>
    <xf numFmtId="0" fontId="3" fillId="0" borderId="0"/>
    <xf numFmtId="0" fontId="23" fillId="0" borderId="0"/>
    <xf numFmtId="0" fontId="23" fillId="0" borderId="0"/>
    <xf numFmtId="0" fontId="63" fillId="0" borderId="0"/>
    <xf numFmtId="0" fontId="63" fillId="0" borderId="0"/>
    <xf numFmtId="0" fontId="26" fillId="0" borderId="0"/>
    <xf numFmtId="0" fontId="3" fillId="0" borderId="0"/>
    <xf numFmtId="0" fontId="26" fillId="0" borderId="0"/>
    <xf numFmtId="0" fontId="3" fillId="0" borderId="0"/>
    <xf numFmtId="0" fontId="26" fillId="0" borderId="0"/>
    <xf numFmtId="0" fontId="3" fillId="0" borderId="0"/>
    <xf numFmtId="0" fontId="26" fillId="0" borderId="0"/>
    <xf numFmtId="0" fontId="3" fillId="0" borderId="0"/>
    <xf numFmtId="0" fontId="26" fillId="0" borderId="0"/>
    <xf numFmtId="0" fontId="3" fillId="0" borderId="0"/>
    <xf numFmtId="0" fontId="27" fillId="40" borderId="29" applyNumberFormat="0" applyFont="0" applyAlignment="0" applyProtection="0"/>
    <xf numFmtId="0" fontId="27" fillId="8" borderId="8" applyNumberFormat="0" applyFont="0" applyAlignment="0" applyProtection="0"/>
    <xf numFmtId="0" fontId="23" fillId="40" borderId="29" applyNumberFormat="0" applyFont="0" applyAlignment="0" applyProtection="0"/>
    <xf numFmtId="0" fontId="12" fillId="6" borderId="5" applyNumberFormat="0" applyAlignment="0" applyProtection="0"/>
    <xf numFmtId="0" fontId="63" fillId="0" borderId="0"/>
    <xf numFmtId="0" fontId="63" fillId="0" borderId="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63" fillId="0" borderId="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7"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9" fontId="26" fillId="0" borderId="0" applyFont="0" applyFill="0" applyBorder="0" applyAlignment="0" applyProtection="0"/>
    <xf numFmtId="0" fontId="20" fillId="0" borderId="0"/>
    <xf numFmtId="0" fontId="63" fillId="0" borderId="0"/>
    <xf numFmtId="0" fontId="63" fillId="0" borderId="0"/>
    <xf numFmtId="0" fontId="63" fillId="0" borderId="0"/>
    <xf numFmtId="0" fontId="63" fillId="0" borderId="0"/>
    <xf numFmtId="0" fontId="63" fillId="0" borderId="0"/>
    <xf numFmtId="0" fontId="4" fillId="0" borderId="0" applyNumberFormat="0" applyFill="0" applyBorder="0" applyAlignment="0" applyProtection="0"/>
    <xf numFmtId="0" fontId="18" fillId="0" borderId="9" applyNumberFormat="0" applyFill="0" applyAlignment="0" applyProtection="0"/>
    <xf numFmtId="0" fontId="16" fillId="0" borderId="0" applyNumberFormat="0" applyFill="0" applyBorder="0" applyAlignment="0" applyProtection="0"/>
    <xf numFmtId="9" fontId="23" fillId="0" borderId="0" applyFont="0" applyFill="0" applyBorder="0" applyAlignment="0" applyProtection="0"/>
    <xf numFmtId="0" fontId="107" fillId="0" borderId="0"/>
    <xf numFmtId="0" fontId="23" fillId="0" borderId="0"/>
    <xf numFmtId="0" fontId="63" fillId="0" borderId="0"/>
    <xf numFmtId="9" fontId="23" fillId="0" borderId="0" applyFont="0" applyFill="0" applyBorder="0" applyAlignment="0" applyProtection="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0" fontId="63" fillId="0" borderId="0"/>
    <xf numFmtId="43" fontId="3" fillId="0" borderId="0" applyFont="0" applyFill="0" applyBorder="0" applyAlignment="0" applyProtection="0"/>
    <xf numFmtId="0" fontId="103" fillId="0" borderId="0" applyNumberFormat="0" applyFill="0" applyBorder="0" applyAlignment="0" applyProtection="0"/>
    <xf numFmtId="0" fontId="20" fillId="0" borderId="0"/>
    <xf numFmtId="0" fontId="23" fillId="0" borderId="0"/>
    <xf numFmtId="9" fontId="23" fillId="0" borderId="0" applyFont="0" applyFill="0" applyBorder="0" applyAlignment="0" applyProtection="0"/>
    <xf numFmtId="9" fontId="23" fillId="0" borderId="0" applyFont="0" applyFill="0" applyBorder="0" applyAlignment="0" applyProtection="0"/>
    <xf numFmtId="9" fontId="20"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0"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3" fillId="0" borderId="0" applyFont="0" applyFill="0" applyBorder="0" applyAlignment="0" applyProtection="0"/>
    <xf numFmtId="0" fontId="20" fillId="0" borderId="0"/>
    <xf numFmtId="9" fontId="23" fillId="0" borderId="0" applyFont="0" applyFill="0" applyBorder="0" applyAlignment="0" applyProtection="0"/>
    <xf numFmtId="9" fontId="20"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3" fillId="0" borderId="0" applyFont="0" applyFill="0" applyBorder="0" applyAlignment="0" applyProtection="0"/>
    <xf numFmtId="9" fontId="20" fillId="0" borderId="0" applyFont="0" applyFill="0" applyBorder="0" applyAlignment="0" applyProtection="0"/>
    <xf numFmtId="0" fontId="23" fillId="0" borderId="0"/>
    <xf numFmtId="0" fontId="20"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0" fontId="23" fillId="0" borderId="0"/>
    <xf numFmtId="9" fontId="23"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0" fillId="0" borderId="0"/>
    <xf numFmtId="9"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166" fontId="20" fillId="0" borderId="0">
      <alignment horizontal="left" wrapText="1"/>
    </xf>
    <xf numFmtId="164" fontId="20" fillId="0" borderId="0">
      <alignment horizontal="left" wrapText="1"/>
    </xf>
    <xf numFmtId="166" fontId="20" fillId="0" borderId="0">
      <alignment horizontal="left" wrapText="1"/>
    </xf>
    <xf numFmtId="166" fontId="20" fillId="0" borderId="0">
      <alignment horizontal="left" wrapText="1"/>
    </xf>
    <xf numFmtId="164" fontId="20" fillId="0" borderId="0">
      <alignment horizontal="left" wrapText="1"/>
    </xf>
    <xf numFmtId="166" fontId="20" fillId="0" borderId="0">
      <alignment horizontal="left" wrapText="1"/>
    </xf>
    <xf numFmtId="164" fontId="20" fillId="0" borderId="0">
      <alignment horizontal="left" wrapText="1"/>
    </xf>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3"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5" fontId="20" fillId="0" borderId="0" applyFont="0" applyFill="0" applyBorder="0" applyAlignment="0" applyProtection="0"/>
    <xf numFmtId="166"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40" borderId="29" applyNumberFormat="0" applyFont="0" applyAlignment="0" applyProtection="0"/>
    <xf numFmtId="0" fontId="20" fillId="40" borderId="29" applyNumberFormat="0" applyFont="0" applyAlignment="0" applyProtection="0"/>
    <xf numFmtId="0" fontId="20" fillId="40" borderId="13" applyNumberFormat="0" applyFont="0" applyAlignment="0" applyProtection="0"/>
    <xf numFmtId="0" fontId="20" fillId="40" borderId="13" applyNumberFormat="0" applyFont="0" applyAlignment="0" applyProtection="0"/>
    <xf numFmtId="0" fontId="20" fillId="40" borderId="29" applyNumberFormat="0" applyFont="0" applyAlignment="0" applyProtection="0"/>
    <xf numFmtId="10"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165" fontId="20" fillId="0" borderId="0" applyFont="0" applyFill="0" applyAlignment="0">
      <alignment horizontal="right"/>
    </xf>
    <xf numFmtId="39" fontId="20" fillId="64" borderId="0"/>
    <xf numFmtId="166" fontId="20" fillId="0" borderId="0">
      <alignment horizontal="left" wrapText="1"/>
    </xf>
    <xf numFmtId="37" fontId="20" fillId="0" borderId="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0" fontId="20" fillId="0" borderId="0"/>
    <xf numFmtId="43" fontId="20" fillId="0" borderId="0" applyFont="0" applyFill="0" applyBorder="0" applyAlignment="0" applyProtection="0"/>
    <xf numFmtId="9"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44" fontId="20" fillId="0" borderId="0" applyFont="0" applyFill="0" applyBorder="0" applyAlignment="0" applyProtection="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0" borderId="0"/>
    <xf numFmtId="0" fontId="20" fillId="40" borderId="29" applyNumberFormat="0" applyFont="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63"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9"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0" fontId="120" fillId="0" borderId="0"/>
    <xf numFmtId="9" fontId="120" fillId="0" borderId="0" applyFont="0" applyFill="0" applyBorder="0" applyAlignment="0" applyProtection="0"/>
    <xf numFmtId="43" fontId="40" fillId="0" borderId="0" applyFont="0" applyFill="0" applyBorder="0" applyAlignment="0" applyProtection="0"/>
    <xf numFmtId="43" fontId="26" fillId="0" borderId="0" applyFont="0" applyFill="0" applyBorder="0" applyAlignment="0" applyProtection="0"/>
    <xf numFmtId="3" fontId="20" fillId="0" borderId="0" applyFont="0" applyFill="0" applyBorder="0" applyAlignment="0" applyProtection="0"/>
    <xf numFmtId="0" fontId="24" fillId="0" borderId="0"/>
    <xf numFmtId="0" fontId="89" fillId="0" borderId="61" applyNumberFormat="0" applyFill="0" applyAlignment="0" applyProtection="0"/>
    <xf numFmtId="0" fontId="89" fillId="0" borderId="61" applyNumberFormat="0" applyFill="0" applyAlignment="0" applyProtection="0"/>
    <xf numFmtId="0" fontId="89" fillId="0" borderId="61" applyNumberFormat="0" applyFill="0" applyAlignment="0" applyProtection="0"/>
    <xf numFmtId="0" fontId="34" fillId="0" borderId="61" applyNumberFormat="0" applyFill="0" applyAlignment="0" applyProtection="0"/>
    <xf numFmtId="9" fontId="20" fillId="0" borderId="0" applyFont="0" applyFill="0" applyBorder="0" applyAlignment="0" applyProtection="0"/>
    <xf numFmtId="3" fontId="20" fillId="0" borderId="0" applyFont="0" applyFill="0" applyBorder="0" applyAlignment="0" applyProtection="0"/>
    <xf numFmtId="0" fontId="34" fillId="0" borderId="61" applyNumberFormat="0" applyFill="0" applyAlignment="0" applyProtection="0"/>
    <xf numFmtId="0" fontId="34" fillId="0" borderId="61" applyNumberFormat="0" applyFill="0" applyAlignment="0" applyProtection="0"/>
    <xf numFmtId="0" fontId="34" fillId="0" borderId="61" applyNumberFormat="0" applyFill="0" applyAlignment="0" applyProtection="0"/>
    <xf numFmtId="3" fontId="20" fillId="0" borderId="0" applyFont="0" applyFill="0" applyBorder="0" applyAlignment="0" applyProtection="0"/>
    <xf numFmtId="3"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0" fontId="121" fillId="0" borderId="0"/>
    <xf numFmtId="0" fontId="122" fillId="83" borderId="64" applyNumberFormat="0" applyAlignment="0" applyProtection="0"/>
    <xf numFmtId="0" fontId="122" fillId="83" borderId="64" applyNumberFormat="0" applyAlignment="0" applyProtection="0"/>
    <xf numFmtId="2" fontId="122" fillId="84" borderId="64" applyProtection="0">
      <alignment horizontal="right"/>
    </xf>
    <xf numFmtId="2" fontId="122" fillId="84" borderId="64" applyProtection="0">
      <alignment horizontal="right"/>
    </xf>
    <xf numFmtId="2" fontId="123" fillId="85" borderId="64" applyProtection="0">
      <alignment horizontal="right"/>
    </xf>
    <xf numFmtId="2" fontId="123" fillId="85" borderId="64" applyProtection="0">
      <alignment horizontal="right"/>
    </xf>
    <xf numFmtId="14" fontId="124" fillId="86" borderId="64" applyProtection="0">
      <alignment horizontal="right"/>
    </xf>
    <xf numFmtId="14" fontId="124" fillId="86" borderId="64" applyProtection="0">
      <alignment horizontal="right"/>
    </xf>
    <xf numFmtId="14" fontId="124" fillId="86" borderId="64" applyProtection="0">
      <alignment horizontal="left"/>
    </xf>
    <xf numFmtId="14" fontId="124" fillId="86" borderId="64" applyProtection="0">
      <alignment horizontal="left"/>
    </xf>
    <xf numFmtId="0" fontId="125" fillId="83" borderId="64" applyNumberFormat="0" applyProtection="0">
      <alignment horizontal="left"/>
    </xf>
    <xf numFmtId="0" fontId="125" fillId="83" borderId="64" applyNumberFormat="0" applyProtection="0">
      <alignment horizontal="left"/>
    </xf>
    <xf numFmtId="2" fontId="124" fillId="83" borderId="64" applyProtection="0"/>
    <xf numFmtId="2" fontId="124" fillId="83" borderId="64" applyProtection="0"/>
    <xf numFmtId="2" fontId="124" fillId="83" borderId="64" applyProtection="0"/>
    <xf numFmtId="2" fontId="124" fillId="83" borderId="64" applyProtection="0"/>
    <xf numFmtId="2" fontId="60" fillId="0" borderId="0" applyFill="0" applyBorder="0" applyProtection="0"/>
    <xf numFmtId="2" fontId="60" fillId="0" borderId="0" applyFill="0" applyBorder="0" applyProtection="0"/>
    <xf numFmtId="2" fontId="123" fillId="0" borderId="0" applyFill="0" applyBorder="0" applyProtection="0"/>
    <xf numFmtId="2" fontId="123" fillId="0" borderId="0" applyFill="0" applyBorder="0" applyProtection="0"/>
    <xf numFmtId="2" fontId="123" fillId="84" borderId="64" applyProtection="0"/>
    <xf numFmtId="2" fontId="123" fillId="84" borderId="64" applyProtection="0"/>
    <xf numFmtId="2" fontId="123" fillId="87" borderId="64" applyProtection="0"/>
    <xf numFmtId="2" fontId="123" fillId="87" borderId="64" applyProtection="0"/>
    <xf numFmtId="2" fontId="123" fillId="85" borderId="64" applyProtection="0"/>
    <xf numFmtId="2" fontId="123" fillId="85" borderId="64" applyProtection="0"/>
    <xf numFmtId="2" fontId="123" fillId="85" borderId="64" applyProtection="0">
      <alignment horizontal="center"/>
    </xf>
    <xf numFmtId="2" fontId="123" fillId="85" borderId="64" applyProtection="0">
      <alignment horizontal="center"/>
    </xf>
    <xf numFmtId="2" fontId="123" fillId="87" borderId="64" applyProtection="0">
      <alignment horizontal="center"/>
    </xf>
    <xf numFmtId="2" fontId="123" fillId="87" borderId="64" applyProtection="0">
      <alignment horizontal="center"/>
    </xf>
    <xf numFmtId="43" fontId="20" fillId="0" borderId="0" applyFont="0" applyFill="0" applyBorder="0" applyAlignment="0" applyProtection="0"/>
    <xf numFmtId="9" fontId="20" fillId="0" borderId="0" applyFont="0" applyFill="0" applyBorder="0" applyAlignment="0" applyProtection="0"/>
    <xf numFmtId="0" fontId="122" fillId="83" borderId="64" applyNumberFormat="0" applyAlignment="0" applyProtection="0"/>
    <xf numFmtId="2" fontId="122" fillId="84" borderId="64" applyProtection="0">
      <alignment horizontal="right"/>
    </xf>
    <xf numFmtId="2" fontId="123" fillId="85" borderId="64" applyProtection="0">
      <alignment horizontal="right"/>
    </xf>
    <xf numFmtId="14" fontId="124" fillId="86" borderId="64" applyProtection="0">
      <alignment horizontal="right"/>
    </xf>
    <xf numFmtId="14" fontId="124" fillId="86" borderId="64" applyProtection="0">
      <alignment horizontal="left"/>
    </xf>
    <xf numFmtId="0" fontId="125" fillId="83" borderId="64" applyNumberFormat="0" applyProtection="0">
      <alignment horizontal="left"/>
    </xf>
    <xf numFmtId="2" fontId="124" fillId="83" borderId="64" applyProtection="0"/>
    <xf numFmtId="2" fontId="124" fillId="83" borderId="64" applyProtection="0"/>
    <xf numFmtId="2" fontId="60" fillId="0" borderId="0" applyFill="0" applyBorder="0" applyProtection="0"/>
    <xf numFmtId="2" fontId="123" fillId="0" borderId="0" applyFill="0" applyBorder="0" applyProtection="0"/>
    <xf numFmtId="2" fontId="123" fillId="84" borderId="64" applyProtection="0"/>
    <xf numFmtId="2" fontId="123" fillId="87" borderId="64" applyProtection="0"/>
    <xf numFmtId="2" fontId="123" fillId="85" borderId="64" applyProtection="0"/>
    <xf numFmtId="2" fontId="123" fillId="85" borderId="64" applyProtection="0">
      <alignment horizontal="center"/>
    </xf>
    <xf numFmtId="2" fontId="123" fillId="87" borderId="64" applyProtection="0">
      <alignment horizontal="center"/>
    </xf>
    <xf numFmtId="3" fontId="20"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3" fontId="20" fillId="0" borderId="0" applyFont="0" applyFill="0" applyBorder="0" applyAlignment="0" applyProtection="0"/>
    <xf numFmtId="0" fontId="20" fillId="0" borderId="0"/>
    <xf numFmtId="3" fontId="20" fillId="0" borderId="0" applyFont="0" applyFill="0" applyBorder="0" applyAlignment="0" applyProtection="0"/>
    <xf numFmtId="0" fontId="126" fillId="0" borderId="0"/>
    <xf numFmtId="0" fontId="51" fillId="0" borderId="0"/>
    <xf numFmtId="0" fontId="157" fillId="0" borderId="0"/>
    <xf numFmtId="0" fontId="20" fillId="0" borderId="0"/>
    <xf numFmtId="0" fontId="152" fillId="0" borderId="0" applyNumberFormat="0">
      <alignment horizontal="left" wrapText="1"/>
    </xf>
    <xf numFmtId="0" fontId="152" fillId="0" borderId="68">
      <alignment horizontal="left" wrapText="1"/>
    </xf>
    <xf numFmtId="0" fontId="154" fillId="89" borderId="0" applyNumberFormat="0">
      <alignment horizontal="left" vertical="center"/>
    </xf>
    <xf numFmtId="0" fontId="155" fillId="88" borderId="0" applyNumberFormat="0">
      <alignment horizontal="left" vertical="center"/>
    </xf>
    <xf numFmtId="0" fontId="152" fillId="0" borderId="69" applyNumberFormat="0">
      <alignment horizontal="left" vertical="center"/>
    </xf>
    <xf numFmtId="0" fontId="153" fillId="0" borderId="0" applyNumberFormat="0">
      <alignment horizontal="left" vertical="center" wrapText="1" indent="1"/>
    </xf>
    <xf numFmtId="0" fontId="153" fillId="0" borderId="0" applyNumberFormat="0">
      <alignment horizontal="left" vertical="center" wrapText="1" indent="2"/>
    </xf>
    <xf numFmtId="0" fontId="153" fillId="0" borderId="0" applyNumberFormat="0">
      <alignment horizontal="left" vertical="center" wrapText="1" indent="3"/>
    </xf>
    <xf numFmtId="0" fontId="153" fillId="0" borderId="0" applyNumberFormat="0">
      <alignment horizontal="left" vertical="center" wrapText="1" indent="4"/>
    </xf>
    <xf numFmtId="0" fontId="156" fillId="0" borderId="0" applyNumberFormat="0">
      <alignment horizontal="left"/>
    </xf>
    <xf numFmtId="0" fontId="156" fillId="0" borderId="0">
      <alignment horizontal="left"/>
    </xf>
    <xf numFmtId="0" fontId="155" fillId="89" borderId="0">
      <alignment vertical="center"/>
    </xf>
    <xf numFmtId="3" fontId="152" fillId="0" borderId="70">
      <alignment vertical="center"/>
    </xf>
    <xf numFmtId="0" fontId="51" fillId="0" borderId="0"/>
    <xf numFmtId="43" fontId="20" fillId="0" borderId="0" applyFont="0" applyFill="0" applyBorder="0" applyAlignment="0" applyProtection="0"/>
    <xf numFmtId="38" fontId="186" fillId="0" borderId="0" applyFont="0" applyFill="0" applyBorder="0" applyAlignment="0" applyProtection="0"/>
    <xf numFmtId="38" fontId="186" fillId="0" borderId="0" applyFont="0" applyFill="0" applyBorder="0" applyAlignment="0" applyProtection="0"/>
    <xf numFmtId="44" fontId="20" fillId="0" borderId="0" applyFont="0" applyFill="0" applyBorder="0" applyAlignment="0" applyProtection="0"/>
    <xf numFmtId="44" fontId="186" fillId="0" borderId="0" applyFont="0" applyFill="0" applyBorder="0" applyAlignment="0" applyProtection="0"/>
    <xf numFmtId="44" fontId="186" fillId="0" borderId="0" applyFont="0" applyFill="0" applyBorder="0" applyAlignment="0" applyProtection="0"/>
    <xf numFmtId="0" fontId="20" fillId="0" borderId="0"/>
    <xf numFmtId="0" fontId="91" fillId="0" borderId="0"/>
    <xf numFmtId="0" fontId="91" fillId="0" borderId="0"/>
    <xf numFmtId="38" fontId="186" fillId="0" borderId="0"/>
    <xf numFmtId="0" fontId="91" fillId="0" borderId="0"/>
    <xf numFmtId="0" fontId="20" fillId="90" borderId="0"/>
    <xf numFmtId="9" fontId="20" fillId="0" borderId="0" applyFont="0" applyFill="0" applyBorder="0" applyAlignment="0" applyProtection="0"/>
    <xf numFmtId="9" fontId="186" fillId="0" borderId="0" applyFont="0" applyFill="0" applyBorder="0" applyAlignment="0" applyProtection="0"/>
    <xf numFmtId="9" fontId="186" fillId="0" borderId="0" applyFont="0" applyFill="0" applyBorder="0" applyAlignment="0" applyProtection="0"/>
    <xf numFmtId="44" fontId="3" fillId="0" borderId="0" applyFont="0" applyFill="0" applyBorder="0" applyAlignment="0" applyProtection="0"/>
    <xf numFmtId="0" fontId="209" fillId="4" borderId="0" applyNumberFormat="0" applyBorder="0" applyAlignment="0" applyProtection="0"/>
  </cellStyleXfs>
  <cellXfs count="1013">
    <xf numFmtId="0" fontId="0" fillId="0" borderId="0" xfId="0"/>
    <xf numFmtId="0" fontId="18" fillId="71" borderId="0" xfId="0" applyFont="1" applyFill="1"/>
    <xf numFmtId="0" fontId="108" fillId="70" borderId="0" xfId="0" applyFont="1" applyFill="1" applyAlignment="1">
      <alignment horizontal="left" wrapText="1"/>
    </xf>
    <xf numFmtId="0" fontId="104" fillId="71" borderId="0" xfId="1279" applyFont="1" applyFill="1" applyAlignment="1">
      <alignment horizontal="center"/>
    </xf>
    <xf numFmtId="0" fontId="18" fillId="75" borderId="0" xfId="0" applyFont="1" applyFill="1"/>
    <xf numFmtId="0" fontId="106" fillId="75" borderId="0" xfId="0" applyFont="1" applyFill="1"/>
    <xf numFmtId="0" fontId="18" fillId="75" borderId="32" xfId="0" applyFont="1" applyFill="1" applyBorder="1" applyAlignment="1">
      <alignment horizontal="right"/>
    </xf>
    <xf numFmtId="0" fontId="18" fillId="75" borderId="0" xfId="0" applyFont="1" applyFill="1" applyAlignment="1">
      <alignment horizontal="right"/>
    </xf>
    <xf numFmtId="0" fontId="18" fillId="75" borderId="0" xfId="0" applyFont="1" applyFill="1" applyAlignment="1">
      <alignment horizontal="center"/>
    </xf>
    <xf numFmtId="0" fontId="18" fillId="75" borderId="40" xfId="0" applyFont="1" applyFill="1" applyBorder="1" applyAlignment="1">
      <alignment horizontal="center"/>
    </xf>
    <xf numFmtId="0" fontId="18" fillId="75" borderId="38" xfId="0" applyFont="1" applyFill="1" applyBorder="1"/>
    <xf numFmtId="0" fontId="18" fillId="75" borderId="34" xfId="0" applyFont="1" applyFill="1" applyBorder="1"/>
    <xf numFmtId="0" fontId="18" fillId="75" borderId="32" xfId="0" applyFont="1" applyFill="1" applyBorder="1"/>
    <xf numFmtId="0" fontId="3" fillId="0" borderId="0" xfId="0" applyFont="1"/>
    <xf numFmtId="0" fontId="113" fillId="75" borderId="32" xfId="0" applyFont="1" applyFill="1" applyBorder="1" applyAlignment="1">
      <alignment horizontal="right"/>
    </xf>
    <xf numFmtId="0" fontId="113" fillId="75" borderId="0" xfId="0" applyFont="1" applyFill="1" applyAlignment="1">
      <alignment horizontal="right"/>
    </xf>
    <xf numFmtId="0" fontId="3" fillId="70" borderId="0" xfId="0" applyFont="1" applyFill="1"/>
    <xf numFmtId="0" fontId="115" fillId="71" borderId="0" xfId="1279" applyFont="1" applyFill="1" applyAlignment="1">
      <alignment horizontal="center"/>
    </xf>
    <xf numFmtId="0" fontId="115" fillId="71" borderId="40" xfId="1279" applyFont="1" applyFill="1" applyBorder="1" applyAlignment="1">
      <alignment horizontal="center"/>
    </xf>
    <xf numFmtId="0" fontId="3" fillId="71" borderId="0" xfId="0" applyFont="1" applyFill="1"/>
    <xf numFmtId="0" fontId="3" fillId="71" borderId="40" xfId="0" applyFont="1" applyFill="1" applyBorder="1"/>
    <xf numFmtId="0" fontId="3" fillId="70" borderId="0" xfId="0" applyFont="1" applyFill="1" applyAlignment="1">
      <alignment horizontal="center"/>
    </xf>
    <xf numFmtId="0" fontId="3" fillId="69" borderId="0" xfId="0" applyFont="1" applyFill="1" applyAlignment="1">
      <alignment horizontal="center"/>
    </xf>
    <xf numFmtId="0" fontId="3" fillId="73" borderId="0" xfId="0" applyFont="1" applyFill="1" applyAlignment="1">
      <alignment horizontal="center"/>
    </xf>
    <xf numFmtId="6" fontId="3" fillId="70" borderId="0" xfId="0" applyNumberFormat="1" applyFont="1" applyFill="1" applyAlignment="1">
      <alignment horizontal="center"/>
    </xf>
    <xf numFmtId="1" fontId="3" fillId="70" borderId="0" xfId="0" applyNumberFormat="1" applyFont="1" applyFill="1" applyAlignment="1">
      <alignment horizontal="center"/>
    </xf>
    <xf numFmtId="0" fontId="3" fillId="75" borderId="0" xfId="0" applyFont="1" applyFill="1" applyAlignment="1">
      <alignment horizontal="center"/>
    </xf>
    <xf numFmtId="0" fontId="3" fillId="75" borderId="35" xfId="0" applyFont="1" applyFill="1" applyBorder="1" applyAlignment="1">
      <alignment horizontal="center"/>
    </xf>
    <xf numFmtId="0" fontId="3" fillId="71" borderId="35" xfId="0" applyFont="1" applyFill="1" applyBorder="1"/>
    <xf numFmtId="0" fontId="3" fillId="71" borderId="42" xfId="0" applyFont="1" applyFill="1" applyBorder="1"/>
    <xf numFmtId="0" fontId="3" fillId="75" borderId="0" xfId="0" applyFont="1" applyFill="1"/>
    <xf numFmtId="0" fontId="3" fillId="75" borderId="40" xfId="0" applyFont="1" applyFill="1" applyBorder="1"/>
    <xf numFmtId="0" fontId="114" fillId="75" borderId="32" xfId="1562" applyFont="1" applyFill="1" applyBorder="1"/>
    <xf numFmtId="0" fontId="111" fillId="75" borderId="0" xfId="0" applyFont="1" applyFill="1"/>
    <xf numFmtId="0" fontId="3" fillId="75" borderId="32" xfId="0" applyFont="1" applyFill="1" applyBorder="1"/>
    <xf numFmtId="0" fontId="114" fillId="75" borderId="0" xfId="1574" applyFont="1" applyFill="1"/>
    <xf numFmtId="179" fontId="3" fillId="73" borderId="0" xfId="1560" applyNumberFormat="1" applyFont="1" applyFill="1" applyBorder="1"/>
    <xf numFmtId="179" fontId="3" fillId="69" borderId="0" xfId="1560" applyNumberFormat="1" applyFont="1" applyFill="1" applyBorder="1"/>
    <xf numFmtId="179" fontId="3" fillId="69" borderId="40" xfId="1560" applyNumberFormat="1" applyFont="1" applyFill="1" applyBorder="1"/>
    <xf numFmtId="0" fontId="114" fillId="75" borderId="32" xfId="1575" applyFont="1" applyFill="1" applyBorder="1"/>
    <xf numFmtId="179" fontId="3" fillId="75" borderId="0" xfId="1560" applyNumberFormat="1" applyFont="1" applyFill="1" applyBorder="1"/>
    <xf numFmtId="179" fontId="3" fillId="75" borderId="40" xfId="1560" applyNumberFormat="1" applyFont="1" applyFill="1" applyBorder="1"/>
    <xf numFmtId="0" fontId="114" fillId="75" borderId="32" xfId="1576" applyFont="1" applyFill="1" applyBorder="1"/>
    <xf numFmtId="0" fontId="114" fillId="75" borderId="0" xfId="1577" applyFont="1" applyFill="1"/>
    <xf numFmtId="0" fontId="117" fillId="75" borderId="0" xfId="1578" applyFont="1" applyFill="1" applyAlignment="1">
      <alignment horizontal="left"/>
    </xf>
    <xf numFmtId="0" fontId="114" fillId="75" borderId="0" xfId="1578" applyFont="1" applyFill="1" applyAlignment="1">
      <alignment horizontal="left" indent="3"/>
    </xf>
    <xf numFmtId="180" fontId="114" fillId="75" borderId="0" xfId="1560" applyNumberFormat="1" applyFont="1" applyFill="1" applyBorder="1" applyAlignment="1">
      <alignment horizontal="left" indent="2"/>
    </xf>
    <xf numFmtId="180" fontId="117" fillId="75" borderId="0" xfId="1560" applyNumberFormat="1" applyFont="1" applyFill="1" applyBorder="1" applyAlignment="1">
      <alignment horizontal="left"/>
    </xf>
    <xf numFmtId="0" fontId="114" fillId="75" borderId="0" xfId="1563" applyFont="1" applyFill="1" applyAlignment="1">
      <alignment horizontal="left" indent="3"/>
    </xf>
    <xf numFmtId="0" fontId="114" fillId="75" borderId="0" xfId="1563" applyFont="1" applyFill="1"/>
    <xf numFmtId="0" fontId="114" fillId="75" borderId="32" xfId="1579" applyFont="1" applyFill="1" applyBorder="1"/>
    <xf numFmtId="179" fontId="3" fillId="75" borderId="0" xfId="0" applyNumberFormat="1" applyFont="1" applyFill="1"/>
    <xf numFmtId="179" fontId="3" fillId="75" borderId="40" xfId="0" applyNumberFormat="1" applyFont="1" applyFill="1" applyBorder="1"/>
    <xf numFmtId="0" fontId="114" fillId="75" borderId="32" xfId="1580" applyFont="1" applyFill="1" applyBorder="1"/>
    <xf numFmtId="0" fontId="114" fillId="75" borderId="32" xfId="1581" applyFont="1" applyFill="1" applyBorder="1"/>
    <xf numFmtId="0" fontId="117" fillId="75" borderId="32" xfId="1581" applyFont="1" applyFill="1" applyBorder="1"/>
    <xf numFmtId="0" fontId="118" fillId="75" borderId="32" xfId="1583" applyFont="1" applyFill="1" applyBorder="1"/>
    <xf numFmtId="0" fontId="114" fillId="75" borderId="0" xfId="1600" applyFont="1" applyFill="1"/>
    <xf numFmtId="0" fontId="114" fillId="75" borderId="0" xfId="1603" applyFont="1" applyFill="1" applyAlignment="1">
      <alignment horizontal="left" indent="2"/>
    </xf>
    <xf numFmtId="0" fontId="114" fillId="75" borderId="0" xfId="1599" applyFont="1" applyFill="1" applyAlignment="1">
      <alignment horizontal="left" indent="2"/>
    </xf>
    <xf numFmtId="0" fontId="114" fillId="75" borderId="0" xfId="1599" applyFont="1" applyFill="1"/>
    <xf numFmtId="0" fontId="114" fillId="75" borderId="0" xfId="1599" applyFont="1" applyFill="1" applyAlignment="1">
      <alignment horizontal="left" indent="4"/>
    </xf>
    <xf numFmtId="0" fontId="114" fillId="75" borderId="0" xfId="611" applyFont="1" applyFill="1" applyAlignment="1">
      <alignment horizontal="left" indent="4"/>
    </xf>
    <xf numFmtId="6" fontId="3" fillId="0" borderId="0" xfId="0" applyNumberFormat="1" applyFont="1"/>
    <xf numFmtId="0" fontId="117" fillId="75" borderId="0" xfId="1604" applyFont="1" applyFill="1"/>
    <xf numFmtId="0" fontId="118" fillId="75" borderId="32" xfId="1601" applyFont="1" applyFill="1" applyBorder="1"/>
    <xf numFmtId="0" fontId="114" fillId="75" borderId="0" xfId="1605" applyFont="1" applyFill="1"/>
    <xf numFmtId="0" fontId="114" fillId="75" borderId="0" xfId="1605" applyFont="1" applyFill="1" applyAlignment="1">
      <alignment horizontal="left"/>
    </xf>
    <xf numFmtId="0" fontId="117" fillId="75" borderId="0" xfId="1606" applyFont="1" applyFill="1" applyAlignment="1">
      <alignment horizontal="left" indent="2"/>
    </xf>
    <xf numFmtId="0" fontId="118" fillId="75" borderId="32" xfId="1607" applyFont="1" applyFill="1" applyBorder="1"/>
    <xf numFmtId="0" fontId="114" fillId="75" borderId="0" xfId="1608" applyFont="1" applyFill="1"/>
    <xf numFmtId="181" fontId="3" fillId="73" borderId="0" xfId="1560" applyNumberFormat="1" applyFont="1" applyFill="1" applyBorder="1"/>
    <xf numFmtId="0" fontId="117" fillId="75" borderId="0" xfId="1609" applyFont="1" applyFill="1" applyAlignment="1">
      <alignment horizontal="left" indent="2"/>
    </xf>
    <xf numFmtId="0" fontId="114" fillId="75" borderId="32" xfId="1610" applyFont="1" applyFill="1" applyBorder="1"/>
    <xf numFmtId="0" fontId="114" fillId="75" borderId="32" xfId="1611" applyFont="1" applyFill="1" applyBorder="1"/>
    <xf numFmtId="0" fontId="114" fillId="75" borderId="32" xfId="1612" applyFont="1" applyFill="1" applyBorder="1"/>
    <xf numFmtId="0" fontId="3" fillId="75" borderId="41" xfId="0" applyFont="1" applyFill="1" applyBorder="1"/>
    <xf numFmtId="0" fontId="3" fillId="75" borderId="35" xfId="0" applyFont="1" applyFill="1" applyBorder="1"/>
    <xf numFmtId="0" fontId="3" fillId="75" borderId="42" xfId="0" applyFont="1" applyFill="1" applyBorder="1"/>
    <xf numFmtId="1" fontId="3" fillId="75" borderId="0" xfId="0" applyNumberFormat="1" applyFont="1" applyFill="1"/>
    <xf numFmtId="1" fontId="3" fillId="75" borderId="40" xfId="0" applyNumberFormat="1" applyFont="1" applyFill="1" applyBorder="1"/>
    <xf numFmtId="179" fontId="112" fillId="75" borderId="0" xfId="1560" applyNumberFormat="1" applyFont="1" applyFill="1" applyBorder="1"/>
    <xf numFmtId="179" fontId="112" fillId="75" borderId="40" xfId="1560" applyNumberFormat="1" applyFont="1" applyFill="1" applyBorder="1"/>
    <xf numFmtId="179" fontId="18" fillId="75" borderId="0" xfId="0" applyNumberFormat="1" applyFont="1" applyFill="1"/>
    <xf numFmtId="179" fontId="18" fillId="75" borderId="40" xfId="0" applyNumberFormat="1" applyFont="1" applyFill="1" applyBorder="1"/>
    <xf numFmtId="181" fontId="3" fillId="75" borderId="0" xfId="1560" applyNumberFormat="1" applyFont="1" applyFill="1" applyBorder="1"/>
    <xf numFmtId="181" fontId="3" fillId="75" borderId="40" xfId="1560" applyNumberFormat="1" applyFont="1" applyFill="1" applyBorder="1"/>
    <xf numFmtId="0" fontId="0" fillId="75" borderId="0" xfId="0" applyFill="1"/>
    <xf numFmtId="0" fontId="0" fillId="75" borderId="0" xfId="0" applyFill="1" applyAlignment="1">
      <alignment horizontal="left" indent="2"/>
    </xf>
    <xf numFmtId="0" fontId="117" fillId="75" borderId="32" xfId="1576" applyFont="1" applyFill="1" applyBorder="1"/>
    <xf numFmtId="0" fontId="128" fillId="0" borderId="0" xfId="0" applyFont="1"/>
    <xf numFmtId="14" fontId="128" fillId="70" borderId="0" xfId="0" applyNumberFormat="1" applyFont="1" applyFill="1" applyAlignment="1">
      <alignment horizontal="center"/>
    </xf>
    <xf numFmtId="0" fontId="129" fillId="71" borderId="0" xfId="0" applyFont="1" applyFill="1"/>
    <xf numFmtId="0" fontId="128" fillId="70" borderId="0" xfId="0" applyFont="1" applyFill="1" applyAlignment="1">
      <alignment horizontal="center"/>
    </xf>
    <xf numFmtId="0" fontId="128" fillId="71" borderId="0" xfId="0" applyFont="1" applyFill="1"/>
    <xf numFmtId="0" fontId="128" fillId="71" borderId="47" xfId="0" applyFont="1" applyFill="1" applyBorder="1"/>
    <xf numFmtId="0" fontId="140" fillId="71" borderId="32" xfId="1561" applyFont="1" applyFill="1" applyBorder="1" applyAlignment="1"/>
    <xf numFmtId="0" fontId="128" fillId="80" borderId="0" xfId="0" applyFont="1" applyFill="1"/>
    <xf numFmtId="0" fontId="128" fillId="80" borderId="47" xfId="0" applyFont="1" applyFill="1" applyBorder="1"/>
    <xf numFmtId="179" fontId="128" fillId="80" borderId="47" xfId="1560" applyNumberFormat="1" applyFont="1" applyFill="1" applyBorder="1"/>
    <xf numFmtId="179" fontId="128" fillId="80" borderId="0" xfId="1560" applyNumberFormat="1" applyFont="1" applyFill="1" applyBorder="1"/>
    <xf numFmtId="179" fontId="131" fillId="70" borderId="0" xfId="1560" applyNumberFormat="1" applyFont="1" applyFill="1" applyBorder="1"/>
    <xf numFmtId="179" fontId="142" fillId="70" borderId="0" xfId="1560" applyNumberFormat="1" applyFont="1" applyFill="1" applyBorder="1"/>
    <xf numFmtId="179" fontId="133" fillId="70" borderId="0" xfId="1560" applyNumberFormat="1" applyFont="1" applyFill="1" applyBorder="1"/>
    <xf numFmtId="179" fontId="135" fillId="70" borderId="47" xfId="1560" applyNumberFormat="1" applyFont="1" applyFill="1" applyBorder="1"/>
    <xf numFmtId="179" fontId="135" fillId="70" borderId="0" xfId="1560" applyNumberFormat="1" applyFont="1" applyFill="1" applyBorder="1"/>
    <xf numFmtId="179" fontId="137" fillId="70" borderId="0" xfId="1560" applyNumberFormat="1" applyFont="1" applyFill="1" applyBorder="1"/>
    <xf numFmtId="179" fontId="128" fillId="80" borderId="0" xfId="0" applyNumberFormat="1" applyFont="1" applyFill="1"/>
    <xf numFmtId="179" fontId="128" fillId="80" borderId="47" xfId="0" applyNumberFormat="1" applyFont="1" applyFill="1" applyBorder="1"/>
    <xf numFmtId="179" fontId="133" fillId="70" borderId="0" xfId="0" applyNumberFormat="1" applyFont="1" applyFill="1"/>
    <xf numFmtId="179" fontId="128" fillId="0" borderId="0" xfId="1560" applyNumberFormat="1" applyFont="1"/>
    <xf numFmtId="179" fontId="128" fillId="0" borderId="0" xfId="0" applyNumberFormat="1" applyFont="1"/>
    <xf numFmtId="0" fontId="128" fillId="71" borderId="40" xfId="0" applyFont="1" applyFill="1" applyBorder="1"/>
    <xf numFmtId="0" fontId="128" fillId="71" borderId="35" xfId="0" applyFont="1" applyFill="1" applyBorder="1"/>
    <xf numFmtId="0" fontId="128" fillId="71" borderId="42" xfId="0" applyFont="1" applyFill="1" applyBorder="1"/>
    <xf numFmtId="179" fontId="128" fillId="0" borderId="0" xfId="1560" applyNumberFormat="1" applyFont="1" applyFill="1" applyBorder="1"/>
    <xf numFmtId="0" fontId="104" fillId="71" borderId="0" xfId="1633" applyFont="1" applyFill="1" applyAlignment="1">
      <alignment horizontal="center"/>
    </xf>
    <xf numFmtId="0" fontId="128" fillId="0" borderId="0" xfId="0" applyFont="1" applyAlignment="1">
      <alignment horizontal="center"/>
    </xf>
    <xf numFmtId="0" fontId="128" fillId="80" borderId="32" xfId="0" applyFont="1" applyFill="1" applyBorder="1"/>
    <xf numFmtId="0" fontId="128" fillId="80" borderId="35" xfId="0" applyFont="1" applyFill="1" applyBorder="1"/>
    <xf numFmtId="179" fontId="128" fillId="80" borderId="35" xfId="1560" applyNumberFormat="1" applyFont="1" applyFill="1" applyBorder="1"/>
    <xf numFmtId="179" fontId="129" fillId="80" borderId="47" xfId="0" applyNumberFormat="1" applyFont="1" applyFill="1" applyBorder="1"/>
    <xf numFmtId="179" fontId="129" fillId="80" borderId="0" xfId="0" applyNumberFormat="1" applyFont="1" applyFill="1"/>
    <xf numFmtId="43" fontId="128" fillId="0" borderId="0" xfId="0" applyNumberFormat="1" applyFont="1"/>
    <xf numFmtId="0" fontId="129" fillId="0" borderId="0" xfId="0" applyFont="1"/>
    <xf numFmtId="0" fontId="105" fillId="80" borderId="0" xfId="0" applyFont="1" applyFill="1" applyAlignment="1">
      <alignment horizontal="right"/>
    </xf>
    <xf numFmtId="0" fontId="129" fillId="80" borderId="0" xfId="0" applyFont="1" applyFill="1" applyAlignment="1">
      <alignment horizontal="right"/>
    </xf>
    <xf numFmtId="0" fontId="129" fillId="80" borderId="0" xfId="0" applyFont="1" applyFill="1" applyAlignment="1">
      <alignment horizontal="center" wrapText="1"/>
    </xf>
    <xf numFmtId="0" fontId="129" fillId="72" borderId="0" xfId="0" applyFont="1" applyFill="1" applyAlignment="1">
      <alignment horizontal="center" wrapText="1"/>
    </xf>
    <xf numFmtId="0" fontId="128" fillId="80" borderId="0" xfId="0" applyFont="1" applyFill="1" applyAlignment="1">
      <alignment horizontal="center"/>
    </xf>
    <xf numFmtId="0" fontId="135" fillId="0" borderId="0" xfId="0" applyFont="1"/>
    <xf numFmtId="179" fontId="145" fillId="80" borderId="0" xfId="1560" applyNumberFormat="1" applyFont="1" applyFill="1" applyBorder="1" applyProtection="1">
      <protection locked="0"/>
    </xf>
    <xf numFmtId="0" fontId="128" fillId="81" borderId="0" xfId="0" applyFont="1" applyFill="1"/>
    <xf numFmtId="0" fontId="128" fillId="81" borderId="31" xfId="0" applyFont="1" applyFill="1" applyBorder="1"/>
    <xf numFmtId="0" fontId="160" fillId="76" borderId="0" xfId="0" applyFont="1" applyFill="1"/>
    <xf numFmtId="179" fontId="160" fillId="76" borderId="0" xfId="1560" applyNumberFormat="1" applyFont="1" applyFill="1" applyBorder="1"/>
    <xf numFmtId="0" fontId="128" fillId="71" borderId="46" xfId="0" applyFont="1" applyFill="1" applyBorder="1"/>
    <xf numFmtId="0" fontId="129" fillId="0" borderId="0" xfId="0" applyFont="1" applyAlignment="1">
      <alignment horizontal="center"/>
    </xf>
    <xf numFmtId="0" fontId="130" fillId="71" borderId="0" xfId="1561" applyFont="1" applyFill="1" applyBorder="1" applyAlignment="1"/>
    <xf numFmtId="0" fontId="130" fillId="71" borderId="40" xfId="1561" applyFont="1" applyFill="1" applyBorder="1" applyAlignment="1"/>
    <xf numFmtId="0" fontId="129" fillId="71" borderId="0" xfId="0" applyFont="1" applyFill="1" applyAlignment="1">
      <alignment vertical="top" wrapText="1"/>
    </xf>
    <xf numFmtId="0" fontId="133" fillId="71" borderId="0" xfId="1561" applyFont="1" applyFill="1" applyBorder="1" applyAlignment="1">
      <alignment vertical="top"/>
    </xf>
    <xf numFmtId="0" fontId="128" fillId="71" borderId="35" xfId="0" applyFont="1" applyFill="1" applyBorder="1" applyAlignment="1">
      <alignment horizontal="center"/>
    </xf>
    <xf numFmtId="0" fontId="175" fillId="82" borderId="35" xfId="0" applyFont="1" applyFill="1" applyBorder="1" applyAlignment="1">
      <alignment horizontal="center"/>
    </xf>
    <xf numFmtId="14" fontId="20" fillId="71" borderId="0" xfId="1561" applyNumberFormat="1" applyFont="1" applyFill="1" applyBorder="1" applyAlignment="1">
      <alignment horizontal="center" vertical="center" wrapText="1"/>
    </xf>
    <xf numFmtId="14" fontId="20" fillId="0" borderId="0" xfId="1561" applyNumberFormat="1" applyFont="1" applyFill="1" applyBorder="1" applyAlignment="1">
      <alignment horizontal="center" vertical="center" wrapText="1"/>
    </xf>
    <xf numFmtId="0" fontId="129" fillId="0" borderId="0" xfId="0" applyFont="1" applyAlignment="1">
      <alignment horizontal="center" vertical="center"/>
    </xf>
    <xf numFmtId="0" fontId="105" fillId="71" borderId="0" xfId="0" applyFont="1" applyFill="1"/>
    <xf numFmtId="0" fontId="100" fillId="71" borderId="0" xfId="1561" applyFont="1" applyFill="1" applyBorder="1" applyAlignment="1"/>
    <xf numFmtId="0" fontId="129" fillId="71" borderId="40" xfId="0" applyFont="1" applyFill="1" applyBorder="1"/>
    <xf numFmtId="0" fontId="21" fillId="71" borderId="42" xfId="0" applyFont="1" applyFill="1" applyBorder="1"/>
    <xf numFmtId="0" fontId="105" fillId="71" borderId="35" xfId="0" applyFont="1" applyFill="1" applyBorder="1"/>
    <xf numFmtId="0" fontId="132" fillId="71" borderId="0" xfId="1561" applyFont="1" applyFill="1" applyBorder="1" applyAlignment="1">
      <alignment horizontal="left" vertical="top"/>
    </xf>
    <xf numFmtId="0" fontId="147" fillId="70" borderId="0" xfId="0" applyFont="1" applyFill="1" applyAlignment="1">
      <alignment horizontal="center"/>
    </xf>
    <xf numFmtId="0" fontId="158" fillId="71" borderId="32" xfId="1561" applyFont="1" applyFill="1" applyBorder="1" applyAlignment="1">
      <alignment horizontal="left" vertical="top"/>
    </xf>
    <xf numFmtId="0" fontId="131" fillId="71" borderId="0" xfId="1561" applyFont="1" applyFill="1" applyBorder="1" applyAlignment="1">
      <alignment horizontal="left" vertical="top"/>
    </xf>
    <xf numFmtId="37" fontId="136" fillId="71" borderId="32" xfId="1561" applyNumberFormat="1" applyFont="1" applyFill="1" applyBorder="1" applyAlignment="1">
      <alignment vertical="center"/>
    </xf>
    <xf numFmtId="0" fontId="20" fillId="71" borderId="0" xfId="1561" applyFont="1" applyFill="1" applyBorder="1" applyAlignment="1">
      <alignment horizontal="right" vertical="top" wrapText="1"/>
    </xf>
    <xf numFmtId="0" fontId="137" fillId="71" borderId="32" xfId="1561" applyFont="1" applyFill="1" applyBorder="1" applyAlignment="1"/>
    <xf numFmtId="0" fontId="138" fillId="71" borderId="0" xfId="1561" applyFont="1" applyFill="1" applyBorder="1" applyAlignment="1">
      <alignment vertical="top" wrapText="1"/>
    </xf>
    <xf numFmtId="0" fontId="128" fillId="69" borderId="0" xfId="0" applyFont="1" applyFill="1" applyAlignment="1">
      <alignment horizontal="center"/>
    </xf>
    <xf numFmtId="0" fontId="129" fillId="72" borderId="54" xfId="0" applyFont="1" applyFill="1" applyBorder="1" applyAlignment="1">
      <alignment horizontal="center" wrapText="1"/>
    </xf>
    <xf numFmtId="0" fontId="129" fillId="72" borderId="53" xfId="0" applyFont="1" applyFill="1" applyBorder="1" applyAlignment="1">
      <alignment horizontal="center" wrapText="1"/>
    </xf>
    <xf numFmtId="0" fontId="129" fillId="72" borderId="55" xfId="0" applyFont="1" applyFill="1" applyBorder="1" applyAlignment="1">
      <alignment horizontal="center" wrapText="1"/>
    </xf>
    <xf numFmtId="0" fontId="129" fillId="0" borderId="0" xfId="0" applyFont="1" applyAlignment="1">
      <alignment horizontal="center" wrapText="1"/>
    </xf>
    <xf numFmtId="0" fontId="151" fillId="72" borderId="46" xfId="0" applyFont="1" applyFill="1" applyBorder="1"/>
    <xf numFmtId="0" fontId="129" fillId="80" borderId="47" xfId="0" applyFont="1" applyFill="1" applyBorder="1" applyAlignment="1">
      <alignment horizontal="center" wrapText="1"/>
    </xf>
    <xf numFmtId="0" fontId="128" fillId="72" borderId="46" xfId="0" applyFont="1" applyFill="1" applyBorder="1"/>
    <xf numFmtId="0" fontId="129" fillId="72" borderId="0" xfId="0" applyFont="1" applyFill="1"/>
    <xf numFmtId="179" fontId="128" fillId="81" borderId="0" xfId="1560" applyNumberFormat="1" applyFont="1" applyFill="1" applyBorder="1"/>
    <xf numFmtId="14" fontId="128" fillId="0" borderId="0" xfId="0" applyNumberFormat="1" applyFont="1" applyAlignment="1">
      <alignment horizontal="center"/>
    </xf>
    <xf numFmtId="0" fontId="128" fillId="72" borderId="46" xfId="0" applyFont="1" applyFill="1" applyBorder="1" applyAlignment="1">
      <alignment horizontal="left"/>
    </xf>
    <xf numFmtId="0" fontId="128" fillId="72" borderId="0" xfId="0" applyFont="1" applyFill="1"/>
    <xf numFmtId="9" fontId="147" fillId="81" borderId="0" xfId="1582" applyFont="1" applyFill="1" applyBorder="1"/>
    <xf numFmtId="10" fontId="147" fillId="81" borderId="0" xfId="1582" applyNumberFormat="1" applyFont="1" applyFill="1" applyBorder="1"/>
    <xf numFmtId="10" fontId="147" fillId="81" borderId="47" xfId="1582" applyNumberFormat="1" applyFont="1" applyFill="1" applyBorder="1"/>
    <xf numFmtId="0" fontId="144" fillId="72" borderId="46" xfId="0" applyFont="1" applyFill="1" applyBorder="1" applyAlignment="1">
      <alignment horizontal="left" indent="1"/>
    </xf>
    <xf numFmtId="0" fontId="128" fillId="72" borderId="46" xfId="0" applyFont="1" applyFill="1" applyBorder="1" applyAlignment="1">
      <alignment horizontal="left" indent="4"/>
    </xf>
    <xf numFmtId="179" fontId="128" fillId="81" borderId="47" xfId="1560" applyNumberFormat="1" applyFont="1" applyFill="1" applyBorder="1"/>
    <xf numFmtId="0" fontId="129" fillId="72" borderId="46" xfId="0" applyFont="1" applyFill="1" applyBorder="1" applyAlignment="1">
      <alignment horizontal="left" indent="5"/>
    </xf>
    <xf numFmtId="179" fontId="129" fillId="81" borderId="0" xfId="0" applyNumberFormat="1" applyFont="1" applyFill="1"/>
    <xf numFmtId="179" fontId="129" fillId="81" borderId="47" xfId="0" applyNumberFormat="1" applyFont="1" applyFill="1" applyBorder="1"/>
    <xf numFmtId="179" fontId="128" fillId="81" borderId="0" xfId="0" applyNumberFormat="1" applyFont="1" applyFill="1"/>
    <xf numFmtId="37" fontId="135" fillId="70" borderId="0" xfId="0" applyNumberFormat="1" applyFont="1" applyFill="1"/>
    <xf numFmtId="37" fontId="145" fillId="69" borderId="0" xfId="0" applyNumberFormat="1" applyFont="1" applyFill="1"/>
    <xf numFmtId="0" fontId="128" fillId="72" borderId="46" xfId="0" applyFont="1" applyFill="1" applyBorder="1" applyAlignment="1">
      <alignment horizontal="left" indent="2"/>
    </xf>
    <xf numFmtId="0" fontId="128" fillId="72" borderId="46" xfId="0" applyFont="1" applyFill="1" applyBorder="1" applyAlignment="1">
      <alignment horizontal="left" indent="3"/>
    </xf>
    <xf numFmtId="37" fontId="135" fillId="70" borderId="47" xfId="0" applyNumberFormat="1" applyFont="1" applyFill="1" applyBorder="1"/>
    <xf numFmtId="182" fontId="147" fillId="81" borderId="0" xfId="0" applyNumberFormat="1" applyFont="1" applyFill="1"/>
    <xf numFmtId="182" fontId="147" fillId="81" borderId="0" xfId="1582" applyNumberFormat="1" applyFont="1" applyFill="1" applyBorder="1"/>
    <xf numFmtId="182" fontId="147" fillId="81" borderId="47" xfId="1582" applyNumberFormat="1" applyFont="1" applyFill="1" applyBorder="1"/>
    <xf numFmtId="0" fontId="21" fillId="72" borderId="46" xfId="1615" applyFont="1" applyFill="1" applyBorder="1"/>
    <xf numFmtId="0" fontId="20" fillId="72" borderId="46" xfId="1617" applyFill="1" applyBorder="1" applyAlignment="1">
      <alignment horizontal="left" indent="2"/>
    </xf>
    <xf numFmtId="37" fontId="128" fillId="81" borderId="0" xfId="0" applyNumberFormat="1" applyFont="1" applyFill="1"/>
    <xf numFmtId="37" fontId="143" fillId="70" borderId="0" xfId="0" applyNumberFormat="1" applyFont="1" applyFill="1"/>
    <xf numFmtId="0" fontId="20" fillId="72" borderId="46" xfId="1617" applyFill="1" applyBorder="1" applyAlignment="1">
      <alignment horizontal="left" indent="5"/>
    </xf>
    <xf numFmtId="0" fontId="105" fillId="72" borderId="46" xfId="0" applyFont="1" applyFill="1" applyBorder="1"/>
    <xf numFmtId="179" fontId="174" fillId="70" borderId="0" xfId="1560" applyNumberFormat="1" applyFont="1" applyFill="1" applyBorder="1"/>
    <xf numFmtId="179" fontId="174" fillId="70" borderId="47" xfId="1560" applyNumberFormat="1" applyFont="1" applyFill="1" applyBorder="1"/>
    <xf numFmtId="0" fontId="128" fillId="72" borderId="46" xfId="0" applyFont="1" applyFill="1" applyBorder="1" applyAlignment="1">
      <alignment horizontal="left" indent="5"/>
    </xf>
    <xf numFmtId="0" fontId="20" fillId="72" borderId="46" xfId="1621" applyFill="1" applyBorder="1" applyAlignment="1">
      <alignment horizontal="left" indent="2"/>
    </xf>
    <xf numFmtId="43" fontId="128" fillId="81" borderId="0" xfId="1560" applyFont="1" applyFill="1" applyBorder="1"/>
    <xf numFmtId="0" fontId="20" fillId="72" borderId="46" xfId="1621" applyFill="1" applyBorder="1" applyAlignment="1">
      <alignment horizontal="left" indent="5"/>
    </xf>
    <xf numFmtId="0" fontId="20" fillId="72" borderId="46" xfId="1623" applyFill="1" applyBorder="1" applyAlignment="1">
      <alignment horizontal="left" indent="2"/>
    </xf>
    <xf numFmtId="179" fontId="128" fillId="81" borderId="35" xfId="0" applyNumberFormat="1" applyFont="1" applyFill="1" applyBorder="1"/>
    <xf numFmtId="179" fontId="174" fillId="70" borderId="51" xfId="1560" applyNumberFormat="1" applyFont="1" applyFill="1" applyBorder="1"/>
    <xf numFmtId="0" fontId="21" fillId="72" borderId="46" xfId="1623" applyFont="1" applyFill="1" applyBorder="1" applyAlignment="1">
      <alignment horizontal="left" indent="5"/>
    </xf>
    <xf numFmtId="0" fontId="20" fillId="72" borderId="46" xfId="1625" applyFill="1" applyBorder="1" applyAlignment="1">
      <alignment horizontal="left" indent="2"/>
    </xf>
    <xf numFmtId="179" fontId="174" fillId="70" borderId="35" xfId="1560" applyNumberFormat="1" applyFont="1" applyFill="1" applyBorder="1"/>
    <xf numFmtId="179" fontId="128" fillId="81" borderId="35" xfId="1560" applyNumberFormat="1" applyFont="1" applyFill="1" applyBorder="1"/>
    <xf numFmtId="179" fontId="128" fillId="81" borderId="51" xfId="1560" applyNumberFormat="1" applyFont="1" applyFill="1" applyBorder="1"/>
    <xf numFmtId="0" fontId="21" fillId="72" borderId="46" xfId="1628" applyFont="1" applyFill="1" applyBorder="1" applyAlignment="1">
      <alignment horizontal="left" indent="5"/>
    </xf>
    <xf numFmtId="0" fontId="141" fillId="72" borderId="46" xfId="0" applyFont="1" applyFill="1" applyBorder="1"/>
    <xf numFmtId="179" fontId="177" fillId="68" borderId="57" xfId="1560" applyNumberFormat="1" applyFont="1" applyFill="1" applyBorder="1"/>
    <xf numFmtId="180" fontId="128" fillId="80" borderId="0" xfId="1560" applyNumberFormat="1" applyFont="1" applyFill="1" applyBorder="1"/>
    <xf numFmtId="179" fontId="178" fillId="68" borderId="57" xfId="1560" applyNumberFormat="1" applyFont="1" applyFill="1" applyBorder="1"/>
    <xf numFmtId="179" fontId="145" fillId="81" borderId="35" xfId="1560" applyNumberFormat="1" applyFont="1" applyFill="1" applyBorder="1"/>
    <xf numFmtId="179" fontId="129" fillId="81" borderId="0" xfId="1560" applyNumberFormat="1" applyFont="1" applyFill="1" applyBorder="1"/>
    <xf numFmtId="179" fontId="129" fillId="81" borderId="47" xfId="1560" applyNumberFormat="1" applyFont="1" applyFill="1" applyBorder="1"/>
    <xf numFmtId="0" fontId="129" fillId="72" borderId="48" xfId="0" applyFont="1" applyFill="1" applyBorder="1" applyAlignment="1">
      <alignment horizontal="left" indent="1"/>
    </xf>
    <xf numFmtId="179" fontId="129" fillId="81" borderId="31" xfId="0" applyNumberFormat="1" applyFont="1" applyFill="1" applyBorder="1"/>
    <xf numFmtId="179" fontId="129" fillId="81" borderId="49" xfId="0" applyNumberFormat="1" applyFont="1" applyFill="1" applyBorder="1"/>
    <xf numFmtId="0" fontId="128" fillId="0" borderId="46" xfId="0" applyFont="1" applyBorder="1"/>
    <xf numFmtId="0" fontId="143" fillId="71" borderId="0" xfId="1561" applyFont="1" applyFill="1" applyBorder="1" applyAlignment="1">
      <alignment vertical="top"/>
    </xf>
    <xf numFmtId="179" fontId="142" fillId="80" borderId="0" xfId="1560" applyNumberFormat="1" applyFont="1" applyFill="1" applyBorder="1"/>
    <xf numFmtId="37" fontId="135" fillId="80" borderId="0" xfId="0" applyNumberFormat="1" applyFont="1" applyFill="1"/>
    <xf numFmtId="43" fontId="128" fillId="81" borderId="0" xfId="0" applyNumberFormat="1" applyFont="1" applyFill="1"/>
    <xf numFmtId="179" fontId="128" fillId="81" borderId="51" xfId="0" applyNumberFormat="1" applyFont="1" applyFill="1" applyBorder="1"/>
    <xf numFmtId="183" fontId="128" fillId="0" borderId="0" xfId="0" applyNumberFormat="1" applyFont="1"/>
    <xf numFmtId="1" fontId="128" fillId="0" borderId="0" xfId="0" applyNumberFormat="1" applyFont="1"/>
    <xf numFmtId="0" fontId="129" fillId="81" borderId="44" xfId="0" applyFont="1" applyFill="1" applyBorder="1"/>
    <xf numFmtId="0" fontId="128" fillId="81" borderId="56" xfId="0" applyFont="1" applyFill="1" applyBorder="1"/>
    <xf numFmtId="0" fontId="129" fillId="81" borderId="56" xfId="0" applyFont="1" applyFill="1" applyBorder="1"/>
    <xf numFmtId="0" fontId="129" fillId="81" borderId="46" xfId="0" applyFont="1" applyFill="1" applyBorder="1"/>
    <xf numFmtId="0" fontId="129" fillId="81" borderId="46" xfId="0" applyFont="1" applyFill="1" applyBorder="1" applyAlignment="1">
      <alignment vertical="center"/>
    </xf>
    <xf numFmtId="0" fontId="129" fillId="81" borderId="48" xfId="0" applyFont="1" applyFill="1" applyBorder="1"/>
    <xf numFmtId="0" fontId="129" fillId="0" borderId="0" xfId="0" applyFont="1" applyAlignment="1">
      <alignment horizontal="center" vertical="center" wrapText="1"/>
    </xf>
    <xf numFmtId="0" fontId="128" fillId="78" borderId="0" xfId="0" applyFont="1" applyFill="1"/>
    <xf numFmtId="179" fontId="128" fillId="78" borderId="0" xfId="1560" applyNumberFormat="1" applyFont="1" applyFill="1"/>
    <xf numFmtId="179" fontId="129" fillId="0" borderId="0" xfId="1560" applyNumberFormat="1" applyFont="1" applyFill="1" applyBorder="1"/>
    <xf numFmtId="0" fontId="128" fillId="78" borderId="66" xfId="0" applyFont="1" applyFill="1" applyBorder="1"/>
    <xf numFmtId="179" fontId="128" fillId="78" borderId="66" xfId="1560" applyNumberFormat="1" applyFont="1" applyFill="1" applyBorder="1"/>
    <xf numFmtId="179" fontId="129" fillId="0" borderId="0" xfId="1560" applyNumberFormat="1" applyFont="1"/>
    <xf numFmtId="0" fontId="128" fillId="0" borderId="66" xfId="0" applyFont="1" applyBorder="1"/>
    <xf numFmtId="179" fontId="128" fillId="0" borderId="66" xfId="1560" applyNumberFormat="1" applyFont="1" applyBorder="1"/>
    <xf numFmtId="0" fontId="129" fillId="78" borderId="0" xfId="0" applyFont="1" applyFill="1"/>
    <xf numFmtId="179" fontId="129" fillId="78" borderId="0" xfId="1560" applyNumberFormat="1" applyFont="1" applyFill="1"/>
    <xf numFmtId="0" fontId="180" fillId="0" borderId="0" xfId="0" applyFont="1" applyAlignment="1">
      <alignment horizontal="center" wrapText="1"/>
    </xf>
    <xf numFmtId="0" fontId="180" fillId="0" borderId="0" xfId="0" applyFont="1" applyAlignment="1">
      <alignment horizontal="center" vertical="center"/>
    </xf>
    <xf numFmtId="0" fontId="181" fillId="78" borderId="0" xfId="0" applyFont="1" applyFill="1"/>
    <xf numFmtId="9" fontId="181" fillId="78" borderId="0" xfId="1582" applyFont="1" applyFill="1"/>
    <xf numFmtId="9" fontId="181" fillId="0" borderId="0" xfId="1582" applyFont="1" applyFill="1" applyBorder="1"/>
    <xf numFmtId="0" fontId="181" fillId="0" borderId="0" xfId="0" applyFont="1"/>
    <xf numFmtId="9" fontId="181" fillId="0" borderId="0" xfId="1582" applyFont="1"/>
    <xf numFmtId="0" fontId="181" fillId="78" borderId="66" xfId="0" applyFont="1" applyFill="1" applyBorder="1"/>
    <xf numFmtId="9" fontId="181" fillId="78" borderId="66" xfId="1582" applyFont="1" applyFill="1" applyBorder="1"/>
    <xf numFmtId="0" fontId="180" fillId="0" borderId="0" xfId="0" applyFont="1"/>
    <xf numFmtId="9" fontId="180" fillId="0" borderId="0" xfId="1582" applyFont="1"/>
    <xf numFmtId="9" fontId="180" fillId="0" borderId="0" xfId="1582" applyFont="1" applyFill="1" applyBorder="1"/>
    <xf numFmtId="0" fontId="182" fillId="0" borderId="0" xfId="0" applyFont="1" applyAlignment="1">
      <alignment horizontal="center" vertical="center"/>
    </xf>
    <xf numFmtId="9" fontId="182" fillId="0" borderId="0" xfId="1582" applyFont="1" applyFill="1" applyBorder="1"/>
    <xf numFmtId="179" fontId="131" fillId="70" borderId="0" xfId="1560" applyNumberFormat="1" applyFont="1" applyFill="1" applyBorder="1" applyProtection="1"/>
    <xf numFmtId="0" fontId="128" fillId="0" borderId="0" xfId="0" applyFont="1" applyProtection="1">
      <protection locked="0"/>
    </xf>
    <xf numFmtId="0" fontId="128" fillId="0" borderId="0" xfId="0" applyFont="1" applyAlignment="1" applyProtection="1">
      <alignment horizontal="center"/>
      <protection locked="0"/>
    </xf>
    <xf numFmtId="179" fontId="131" fillId="70" borderId="0" xfId="1560" applyNumberFormat="1" applyFont="1" applyFill="1" applyBorder="1" applyProtection="1">
      <protection locked="0"/>
    </xf>
    <xf numFmtId="179" fontId="137" fillId="70" borderId="0" xfId="1560" applyNumberFormat="1" applyFont="1" applyFill="1" applyBorder="1" applyProtection="1">
      <protection locked="0"/>
    </xf>
    <xf numFmtId="10" fontId="145" fillId="69" borderId="0" xfId="0" applyNumberFormat="1" applyFont="1" applyFill="1" applyProtection="1">
      <protection locked="0"/>
    </xf>
    <xf numFmtId="179" fontId="128" fillId="0" borderId="0" xfId="1560" applyNumberFormat="1" applyFont="1" applyFill="1" applyBorder="1" applyAlignment="1" applyProtection="1">
      <alignment horizontal="center"/>
      <protection locked="0"/>
    </xf>
    <xf numFmtId="179" fontId="128" fillId="0" borderId="0" xfId="0" applyNumberFormat="1" applyFont="1" applyAlignment="1" applyProtection="1">
      <alignment horizontal="center"/>
      <protection locked="0"/>
    </xf>
    <xf numFmtId="43" fontId="128" fillId="0" borderId="0" xfId="0" applyNumberFormat="1" applyFont="1" applyProtection="1">
      <protection locked="0"/>
    </xf>
    <xf numFmtId="0" fontId="167" fillId="0" borderId="0" xfId="0" applyFont="1" applyProtection="1">
      <protection locked="0"/>
    </xf>
    <xf numFmtId="0" fontId="22" fillId="0" borderId="0" xfId="0" applyFont="1" applyAlignment="1">
      <alignment horizontal="center" vertical="center"/>
    </xf>
    <xf numFmtId="179" fontId="135" fillId="78" borderId="66" xfId="1560" applyNumberFormat="1" applyFont="1" applyFill="1" applyBorder="1"/>
    <xf numFmtId="0" fontId="129" fillId="72" borderId="0" xfId="0" applyFont="1" applyFill="1" applyAlignment="1">
      <alignment horizontal="center"/>
    </xf>
    <xf numFmtId="0" fontId="134" fillId="0" borderId="32" xfId="1561" applyFont="1" applyFill="1" applyBorder="1"/>
    <xf numFmtId="0" fontId="129" fillId="71" borderId="32" xfId="0" applyFont="1" applyFill="1" applyBorder="1" applyAlignment="1">
      <alignment horizontal="right"/>
    </xf>
    <xf numFmtId="179" fontId="135" fillId="71" borderId="0" xfId="1560" applyNumberFormat="1" applyFont="1" applyFill="1" applyBorder="1"/>
    <xf numFmtId="179" fontId="141" fillId="71" borderId="0" xfId="1560" applyNumberFormat="1" applyFont="1" applyFill="1" applyBorder="1"/>
    <xf numFmtId="179" fontId="148" fillId="71" borderId="0" xfId="1560" applyNumberFormat="1" applyFont="1" applyFill="1" applyBorder="1"/>
    <xf numFmtId="179" fontId="129" fillId="71" borderId="0" xfId="1560" applyNumberFormat="1" applyFont="1" applyFill="1" applyBorder="1"/>
    <xf numFmtId="179" fontId="160" fillId="70" borderId="0" xfId="1560" applyNumberFormat="1" applyFont="1" applyFill="1" applyBorder="1" applyAlignment="1">
      <alignment horizontal="center" vertical="top" wrapText="1"/>
    </xf>
    <xf numFmtId="179" fontId="160" fillId="70" borderId="0" xfId="1560" applyNumberFormat="1" applyFont="1" applyFill="1" applyBorder="1" applyAlignment="1">
      <alignment horizontal="center"/>
    </xf>
    <xf numFmtId="179" fontId="2" fillId="71" borderId="0" xfId="1560" applyNumberFormat="1" applyFont="1" applyFill="1" applyBorder="1"/>
    <xf numFmtId="179" fontId="2" fillId="0" borderId="0" xfId="1560" applyNumberFormat="1" applyFont="1" applyFill="1" applyBorder="1"/>
    <xf numFmtId="179" fontId="2" fillId="0" borderId="0" xfId="0" applyNumberFormat="1" applyFont="1"/>
    <xf numFmtId="179" fontId="1" fillId="0" borderId="0" xfId="1560" applyNumberFormat="1" applyFont="1" applyFill="1" applyBorder="1"/>
    <xf numFmtId="0" fontId="2" fillId="0" borderId="0" xfId="0" applyFont="1"/>
    <xf numFmtId="0" fontId="2" fillId="71" borderId="0" xfId="0" applyFont="1" applyFill="1"/>
    <xf numFmtId="0" fontId="1" fillId="71" borderId="0" xfId="0" applyFont="1" applyFill="1"/>
    <xf numFmtId="0" fontId="2" fillId="79" borderId="24" xfId="0" applyFont="1" applyFill="1" applyBorder="1" applyAlignment="1">
      <alignment horizontal="center"/>
    </xf>
    <xf numFmtId="0" fontId="2" fillId="69" borderId="24" xfId="0" applyFont="1" applyFill="1" applyBorder="1" applyAlignment="1">
      <alignment horizontal="center"/>
    </xf>
    <xf numFmtId="179" fontId="2" fillId="0" borderId="0" xfId="1560" applyNumberFormat="1" applyFont="1" applyFill="1"/>
    <xf numFmtId="179" fontId="1" fillId="71" borderId="0" xfId="1560" applyNumberFormat="1" applyFont="1" applyFill="1" applyBorder="1"/>
    <xf numFmtId="182" fontId="2" fillId="0" borderId="0" xfId="1582" applyNumberFormat="1" applyFont="1" applyFill="1"/>
    <xf numFmtId="43" fontId="2" fillId="0" borderId="0" xfId="0" applyNumberFormat="1" applyFont="1"/>
    <xf numFmtId="0" fontId="2" fillId="0" borderId="0" xfId="0" applyFont="1" applyAlignment="1">
      <alignment horizontal="right"/>
    </xf>
    <xf numFmtId="0" fontId="129" fillId="72" borderId="48" xfId="0" applyFont="1" applyFill="1" applyBorder="1" applyAlignment="1">
      <alignment horizontal="left" indent="5"/>
    </xf>
    <xf numFmtId="0" fontId="128" fillId="72" borderId="31" xfId="0" applyFont="1" applyFill="1" applyBorder="1"/>
    <xf numFmtId="179" fontId="129" fillId="80" borderId="0" xfId="1560" applyNumberFormat="1" applyFont="1" applyFill="1" applyBorder="1" applyAlignment="1">
      <alignment horizontal="center" wrapText="1"/>
    </xf>
    <xf numFmtId="179" fontId="129" fillId="80" borderId="47" xfId="1560" applyNumberFormat="1" applyFont="1" applyFill="1" applyBorder="1" applyAlignment="1">
      <alignment horizontal="center" wrapText="1"/>
    </xf>
    <xf numFmtId="0" fontId="187" fillId="0" borderId="0" xfId="0" applyFont="1" applyAlignment="1">
      <alignment horizontal="center" wrapText="1"/>
    </xf>
    <xf numFmtId="181" fontId="2" fillId="0" borderId="0" xfId="1560" applyNumberFormat="1" applyFont="1" applyFill="1"/>
    <xf numFmtId="181" fontId="129" fillId="0" borderId="0" xfId="1560" applyNumberFormat="1" applyFont="1" applyFill="1"/>
    <xf numFmtId="182" fontId="129" fillId="0" borderId="0" xfId="1582" applyNumberFormat="1" applyFont="1" applyFill="1"/>
    <xf numFmtId="0" fontId="2" fillId="0" borderId="0" xfId="0" applyFont="1" applyAlignment="1">
      <alignment vertical="top" wrapText="1"/>
    </xf>
    <xf numFmtId="181" fontId="2" fillId="0" borderId="0" xfId="0" applyNumberFormat="1" applyFont="1" applyAlignment="1">
      <alignment vertical="top" wrapText="1"/>
    </xf>
    <xf numFmtId="181" fontId="2" fillId="0" borderId="0" xfId="0" applyNumberFormat="1" applyFont="1"/>
    <xf numFmtId="0" fontId="149" fillId="0" borderId="0" xfId="0" applyFont="1" applyAlignment="1">
      <alignment vertical="top" wrapText="1"/>
    </xf>
    <xf numFmtId="0" fontId="105" fillId="0" borderId="0" xfId="0" applyFont="1" applyAlignment="1">
      <alignment horizontal="center" vertical="center" wrapText="1"/>
    </xf>
    <xf numFmtId="0" fontId="129" fillId="0" borderId="35" xfId="0" applyFont="1" applyBorder="1" applyAlignment="1">
      <alignment horizontal="center"/>
    </xf>
    <xf numFmtId="0" fontId="2" fillId="0" borderId="0" xfId="0" applyFont="1" applyAlignment="1">
      <alignment vertical="center"/>
    </xf>
    <xf numFmtId="0" fontId="129" fillId="0" borderId="35" xfId="0" applyFont="1" applyBorder="1"/>
    <xf numFmtId="0" fontId="149" fillId="0" borderId="35" xfId="0" applyFont="1" applyBorder="1" applyAlignment="1">
      <alignment horizontal="center" wrapText="1"/>
    </xf>
    <xf numFmtId="0" fontId="147" fillId="0" borderId="35" xfId="0" applyFont="1" applyBorder="1" applyAlignment="1">
      <alignment horizontal="center"/>
    </xf>
    <xf numFmtId="0" fontId="2" fillId="0" borderId="35" xfId="0" applyFont="1" applyBorder="1"/>
    <xf numFmtId="181" fontId="2" fillId="0" borderId="35" xfId="1560" applyNumberFormat="1" applyFont="1" applyFill="1" applyBorder="1"/>
    <xf numFmtId="182" fontId="2" fillId="0" borderId="35" xfId="1582" applyNumberFormat="1" applyFont="1" applyFill="1" applyBorder="1"/>
    <xf numFmtId="0" fontId="129" fillId="0" borderId="0" xfId="0" applyFont="1" applyAlignment="1">
      <alignment horizontal="left"/>
    </xf>
    <xf numFmtId="0" fontId="141" fillId="0" borderId="0" xfId="0" applyFont="1"/>
    <xf numFmtId="179" fontId="141" fillId="0" borderId="0" xfId="1560" applyNumberFormat="1" applyFont="1" applyFill="1"/>
    <xf numFmtId="0" fontId="129" fillId="0" borderId="58" xfId="0" applyFont="1" applyBorder="1" applyAlignment="1">
      <alignment horizontal="center"/>
    </xf>
    <xf numFmtId="0" fontId="2" fillId="0" borderId="0" xfId="0" applyFont="1" applyAlignment="1">
      <alignment horizontal="left" vertical="center" wrapText="1"/>
    </xf>
    <xf numFmtId="10" fontId="2" fillId="0" borderId="59" xfId="1582" applyNumberFormat="1" applyFont="1" applyFill="1" applyBorder="1"/>
    <xf numFmtId="179" fontId="2" fillId="0" borderId="59" xfId="1560" applyNumberFormat="1" applyFont="1" applyFill="1" applyBorder="1"/>
    <xf numFmtId="10" fontId="2" fillId="0" borderId="60" xfId="1582" applyNumberFormat="1" applyFont="1" applyFill="1" applyBorder="1"/>
    <xf numFmtId="179" fontId="2" fillId="0" borderId="60" xfId="1560" applyNumberFormat="1" applyFont="1" applyFill="1" applyBorder="1"/>
    <xf numFmtId="0" fontId="129" fillId="0" borderId="0" xfId="0" applyFont="1" applyAlignment="1">
      <alignment horizontal="left" vertical="center" wrapText="1"/>
    </xf>
    <xf numFmtId="14" fontId="2" fillId="0" borderId="0" xfId="0" applyNumberFormat="1" applyFont="1"/>
    <xf numFmtId="0" fontId="16" fillId="71" borderId="0" xfId="0" applyFont="1" applyFill="1"/>
    <xf numFmtId="0" fontId="189" fillId="71" borderId="35" xfId="0" applyFont="1" applyFill="1" applyBorder="1" applyAlignment="1">
      <alignment horizontal="center"/>
    </xf>
    <xf numFmtId="0" fontId="189" fillId="71" borderId="0" xfId="0" applyFont="1" applyFill="1" applyAlignment="1">
      <alignment horizontal="center"/>
    </xf>
    <xf numFmtId="0" fontId="16" fillId="0" borderId="0" xfId="0" applyFont="1"/>
    <xf numFmtId="0" fontId="190" fillId="71" borderId="0" xfId="0" applyFont="1" applyFill="1"/>
    <xf numFmtId="0" fontId="191" fillId="71" borderId="0" xfId="0" applyFont="1" applyFill="1"/>
    <xf numFmtId="0" fontId="16" fillId="71" borderId="0" xfId="0" applyFont="1" applyFill="1" applyAlignment="1">
      <alignment horizontal="center" wrapText="1"/>
    </xf>
    <xf numFmtId="0" fontId="189" fillId="71" borderId="35" xfId="0" applyFont="1" applyFill="1" applyBorder="1" applyAlignment="1">
      <alignment horizontal="left"/>
    </xf>
    <xf numFmtId="0" fontId="191" fillId="71" borderId="35" xfId="0" applyFont="1" applyFill="1" applyBorder="1" applyAlignment="1">
      <alignment horizontal="center" wrapText="1"/>
    </xf>
    <xf numFmtId="0" fontId="16" fillId="78" borderId="0" xfId="0" applyFont="1" applyFill="1"/>
    <xf numFmtId="1" fontId="16" fillId="78" borderId="0" xfId="0" applyNumberFormat="1" applyFont="1" applyFill="1" applyAlignment="1">
      <alignment horizontal="center"/>
    </xf>
    <xf numFmtId="182" fontId="16" fillId="78" borderId="0" xfId="1582" applyNumberFormat="1" applyFont="1" applyFill="1"/>
    <xf numFmtId="1" fontId="16" fillId="71" borderId="0" xfId="0" applyNumberFormat="1" applyFont="1" applyFill="1" applyAlignment="1">
      <alignment horizontal="center"/>
    </xf>
    <xf numFmtId="182" fontId="16" fillId="71" borderId="0" xfId="1582" applyNumberFormat="1" applyFont="1" applyFill="1"/>
    <xf numFmtId="0" fontId="16" fillId="71" borderId="35" xfId="0" applyFont="1" applyFill="1" applyBorder="1"/>
    <xf numFmtId="1" fontId="16" fillId="71" borderId="35" xfId="0" applyNumberFormat="1" applyFont="1" applyFill="1" applyBorder="1" applyAlignment="1">
      <alignment horizontal="center"/>
    </xf>
    <xf numFmtId="182" fontId="16" fillId="71" borderId="35" xfId="1582" applyNumberFormat="1" applyFont="1" applyFill="1" applyBorder="1"/>
    <xf numFmtId="0" fontId="189" fillId="78" borderId="0" xfId="0" applyFont="1" applyFill="1"/>
    <xf numFmtId="0" fontId="189" fillId="78" borderId="0" xfId="0" applyFont="1" applyFill="1" applyAlignment="1">
      <alignment horizontal="left" indent="2"/>
    </xf>
    <xf numFmtId="1" fontId="189" fillId="78" borderId="0" xfId="0" applyNumberFormat="1" applyFont="1" applyFill="1" applyAlignment="1">
      <alignment horizontal="center"/>
    </xf>
    <xf numFmtId="182" fontId="189" fillId="78" borderId="0" xfId="0" applyNumberFormat="1" applyFont="1" applyFill="1"/>
    <xf numFmtId="0" fontId="189" fillId="71" borderId="0" xfId="0" applyFont="1" applyFill="1"/>
    <xf numFmtId="1" fontId="16" fillId="71" borderId="0" xfId="0" applyNumberFormat="1" applyFont="1" applyFill="1"/>
    <xf numFmtId="0" fontId="16" fillId="78" borderId="35" xfId="0" applyFont="1" applyFill="1" applyBorder="1"/>
    <xf numFmtId="1" fontId="16" fillId="78" borderId="35" xfId="0" applyNumberFormat="1" applyFont="1" applyFill="1" applyBorder="1" applyAlignment="1">
      <alignment horizontal="center"/>
    </xf>
    <xf numFmtId="182" fontId="16" fillId="78" borderId="35" xfId="1582" applyNumberFormat="1" applyFont="1" applyFill="1" applyBorder="1"/>
    <xf numFmtId="0" fontId="189" fillId="71" borderId="0" xfId="0" applyFont="1" applyFill="1" applyAlignment="1">
      <alignment horizontal="right"/>
    </xf>
    <xf numFmtId="0" fontId="189" fillId="71" borderId="0" xfId="0" applyFont="1" applyFill="1" applyAlignment="1">
      <alignment horizontal="left" indent="2"/>
    </xf>
    <xf numFmtId="1" fontId="189" fillId="71" borderId="0" xfId="0" applyNumberFormat="1" applyFont="1" applyFill="1" applyAlignment="1">
      <alignment horizontal="center"/>
    </xf>
    <xf numFmtId="182" fontId="189" fillId="71" borderId="0" xfId="1582" applyNumberFormat="1" applyFont="1" applyFill="1"/>
    <xf numFmtId="182" fontId="189" fillId="78" borderId="0" xfId="1582" applyNumberFormat="1" applyFont="1" applyFill="1" applyBorder="1"/>
    <xf numFmtId="182" fontId="16" fillId="71" borderId="0" xfId="0" applyNumberFormat="1" applyFont="1" applyFill="1"/>
    <xf numFmtId="0" fontId="189" fillId="78" borderId="0" xfId="0" applyFont="1" applyFill="1" applyAlignment="1">
      <alignment horizontal="right"/>
    </xf>
    <xf numFmtId="182" fontId="189" fillId="78" borderId="0" xfId="1582" applyNumberFormat="1" applyFont="1" applyFill="1"/>
    <xf numFmtId="182" fontId="189" fillId="71" borderId="0" xfId="0" applyNumberFormat="1" applyFont="1" applyFill="1"/>
    <xf numFmtId="1" fontId="189" fillId="78" borderId="0" xfId="0" applyNumberFormat="1" applyFont="1" applyFill="1"/>
    <xf numFmtId="179" fontId="16" fillId="0" borderId="0" xfId="0" applyNumberFormat="1" applyFont="1"/>
    <xf numFmtId="0" fontId="16" fillId="75" borderId="0" xfId="0" applyFont="1" applyFill="1"/>
    <xf numFmtId="0" fontId="194" fillId="75" borderId="0" xfId="0" applyFont="1" applyFill="1" applyAlignment="1">
      <alignment horizontal="center"/>
    </xf>
    <xf numFmtId="0" fontId="195" fillId="0" borderId="0" xfId="0" applyFont="1"/>
    <xf numFmtId="0" fontId="194" fillId="77" borderId="58" xfId="0" applyFont="1" applyFill="1" applyBorder="1" applyAlignment="1">
      <alignment horizontal="center"/>
    </xf>
    <xf numFmtId="0" fontId="194" fillId="71" borderId="0" xfId="0" applyFont="1" applyFill="1" applyAlignment="1">
      <alignment horizontal="center"/>
    </xf>
    <xf numFmtId="0" fontId="16" fillId="75" borderId="32" xfId="0" applyFont="1" applyFill="1" applyBorder="1"/>
    <xf numFmtId="0" fontId="194" fillId="77" borderId="59" xfId="0" applyFont="1" applyFill="1" applyBorder="1" applyAlignment="1">
      <alignment horizontal="center"/>
    </xf>
    <xf numFmtId="0" fontId="173" fillId="71" borderId="35" xfId="1641" applyFont="1" applyFill="1" applyBorder="1"/>
    <xf numFmtId="0" fontId="194" fillId="71" borderId="35" xfId="0" applyFont="1" applyFill="1" applyBorder="1" applyAlignment="1">
      <alignment horizontal="center"/>
    </xf>
    <xf numFmtId="0" fontId="173" fillId="75" borderId="32" xfId="1562" applyFont="1" applyFill="1" applyBorder="1"/>
    <xf numFmtId="0" fontId="195" fillId="77" borderId="59" xfId="0" applyFont="1" applyFill="1" applyBorder="1"/>
    <xf numFmtId="0" fontId="173" fillId="71" borderId="0" xfId="1574" applyFont="1" applyFill="1"/>
    <xf numFmtId="179" fontId="195" fillId="71" borderId="0" xfId="0" applyNumberFormat="1" applyFont="1" applyFill="1"/>
    <xf numFmtId="0" fontId="173" fillId="75" borderId="0" xfId="1574" applyFont="1" applyFill="1"/>
    <xf numFmtId="179" fontId="195" fillId="75" borderId="0" xfId="1560" applyNumberFormat="1" applyFont="1" applyFill="1" applyBorder="1"/>
    <xf numFmtId="179" fontId="195" fillId="77" borderId="59" xfId="1560" applyNumberFormat="1" applyFont="1" applyFill="1" applyBorder="1"/>
    <xf numFmtId="0" fontId="173" fillId="71" borderId="0" xfId="1639" applyFont="1" applyFill="1"/>
    <xf numFmtId="0" fontId="173" fillId="71" borderId="0" xfId="1641" applyFont="1" applyFill="1"/>
    <xf numFmtId="179" fontId="195" fillId="71" borderId="35" xfId="0" applyNumberFormat="1" applyFont="1" applyFill="1" applyBorder="1"/>
    <xf numFmtId="0" fontId="195" fillId="0" borderId="0" xfId="0" applyFont="1" applyAlignment="1">
      <alignment horizontal="center"/>
    </xf>
    <xf numFmtId="0" fontId="173" fillId="75" borderId="32" xfId="1634" applyFont="1" applyFill="1" applyBorder="1"/>
    <xf numFmtId="0" fontId="195" fillId="75" borderId="0" xfId="0" applyFont="1" applyFill="1"/>
    <xf numFmtId="0" fontId="173" fillId="75" borderId="32" xfId="1639" applyFont="1" applyFill="1" applyBorder="1"/>
    <xf numFmtId="179" fontId="195" fillId="75" borderId="0" xfId="0" applyNumberFormat="1" applyFont="1" applyFill="1"/>
    <xf numFmtId="0" fontId="173" fillId="75" borderId="32" xfId="1640" applyFont="1" applyFill="1" applyBorder="1"/>
    <xf numFmtId="0" fontId="173" fillId="75" borderId="32" xfId="1641" applyFont="1" applyFill="1" applyBorder="1"/>
    <xf numFmtId="0" fontId="173" fillId="75" borderId="0" xfId="1641" applyFont="1" applyFill="1"/>
    <xf numFmtId="0" fontId="173" fillId="75" borderId="35" xfId="1641" applyFont="1" applyFill="1" applyBorder="1"/>
    <xf numFmtId="0" fontId="16" fillId="75" borderId="35" xfId="0" applyFont="1" applyFill="1" applyBorder="1"/>
    <xf numFmtId="179" fontId="195" fillId="75" borderId="35" xfId="0" applyNumberFormat="1" applyFont="1" applyFill="1" applyBorder="1"/>
    <xf numFmtId="179" fontId="195" fillId="75" borderId="51" xfId="0" applyNumberFormat="1" applyFont="1" applyFill="1" applyBorder="1"/>
    <xf numFmtId="179" fontId="195" fillId="77" borderId="60" xfId="0" applyNumberFormat="1" applyFont="1" applyFill="1" applyBorder="1"/>
    <xf numFmtId="179" fontId="195" fillId="0" borderId="0" xfId="0" applyNumberFormat="1" applyFont="1"/>
    <xf numFmtId="9" fontId="16" fillId="0" borderId="0" xfId="1582" applyFont="1"/>
    <xf numFmtId="179" fontId="191" fillId="0" borderId="0" xfId="0" applyNumberFormat="1" applyFont="1"/>
    <xf numFmtId="0" fontId="129" fillId="0" borderId="0" xfId="0" applyFont="1" applyAlignment="1">
      <alignment horizontal="right"/>
    </xf>
    <xf numFmtId="0" fontId="2" fillId="82" borderId="0" xfId="0" applyFont="1" applyFill="1"/>
    <xf numFmtId="179" fontId="135" fillId="0" borderId="0" xfId="1560" applyNumberFormat="1" applyFont="1" applyFill="1" applyBorder="1"/>
    <xf numFmtId="179" fontId="141" fillId="0" borderId="0" xfId="1560" applyNumberFormat="1" applyFont="1" applyFill="1" applyBorder="1"/>
    <xf numFmtId="179" fontId="145" fillId="81" borderId="0" xfId="1560" applyNumberFormat="1" applyFont="1" applyFill="1" applyBorder="1"/>
    <xf numFmtId="179" fontId="129" fillId="81" borderId="35" xfId="1560" applyNumberFormat="1" applyFont="1" applyFill="1" applyBorder="1"/>
    <xf numFmtId="179" fontId="129" fillId="81" borderId="51" xfId="1560" applyNumberFormat="1" applyFont="1" applyFill="1" applyBorder="1"/>
    <xf numFmtId="0" fontId="128" fillId="80" borderId="46" xfId="0" applyFont="1" applyFill="1" applyBorder="1"/>
    <xf numFmtId="0" fontId="129" fillId="71" borderId="47" xfId="0" applyFont="1" applyFill="1" applyBorder="1"/>
    <xf numFmtId="0" fontId="128" fillId="71" borderId="51" xfId="0" applyFont="1" applyFill="1" applyBorder="1"/>
    <xf numFmtId="0" fontId="21" fillId="72" borderId="48" xfId="1628" applyFont="1" applyFill="1" applyBorder="1" applyAlignment="1">
      <alignment horizontal="left" indent="5"/>
    </xf>
    <xf numFmtId="179" fontId="128" fillId="82" borderId="0" xfId="1560" applyNumberFormat="1" applyFont="1" applyFill="1" applyBorder="1" applyAlignment="1" applyProtection="1">
      <alignment horizontal="center"/>
      <protection locked="0"/>
    </xf>
    <xf numFmtId="0" fontId="2" fillId="0" borderId="0" xfId="0" applyFont="1" applyAlignment="1">
      <alignment horizontal="center"/>
    </xf>
    <xf numFmtId="0" fontId="2" fillId="0" borderId="32" xfId="0" applyFont="1" applyBorder="1"/>
    <xf numFmtId="0" fontId="2" fillId="70" borderId="24" xfId="0" applyFont="1" applyFill="1" applyBorder="1" applyAlignment="1">
      <alignment horizontal="center"/>
    </xf>
    <xf numFmtId="0" fontId="2" fillId="80" borderId="24" xfId="0" applyFont="1" applyFill="1" applyBorder="1" applyAlignment="1">
      <alignment horizontal="center"/>
    </xf>
    <xf numFmtId="0" fontId="2" fillId="81" borderId="0" xfId="0" applyFont="1" applyFill="1"/>
    <xf numFmtId="179" fontId="2" fillId="71" borderId="0" xfId="1560" applyNumberFormat="1" applyFont="1" applyFill="1" applyBorder="1" applyAlignment="1">
      <alignment horizontal="center"/>
    </xf>
    <xf numFmtId="0" fontId="1" fillId="0" borderId="0" xfId="0" applyFont="1" applyAlignment="1">
      <alignment horizontal="center"/>
    </xf>
    <xf numFmtId="179" fontId="1" fillId="0" borderId="0" xfId="1560" applyNumberFormat="1" applyFont="1" applyFill="1" applyBorder="1" applyAlignment="1">
      <alignment horizontal="center"/>
    </xf>
    <xf numFmtId="0" fontId="51" fillId="0" borderId="0" xfId="0" applyFont="1" applyAlignment="1">
      <alignment vertical="center"/>
    </xf>
    <xf numFmtId="2" fontId="51" fillId="0" borderId="0" xfId="0" applyNumberFormat="1" applyFont="1" applyAlignment="1">
      <alignment horizontal="center" vertical="center"/>
    </xf>
    <xf numFmtId="166" fontId="51" fillId="0" borderId="0" xfId="0" applyNumberFormat="1" applyFont="1" applyAlignment="1">
      <alignment vertical="center"/>
    </xf>
    <xf numFmtId="2" fontId="51" fillId="0" borderId="0" xfId="0" applyNumberFormat="1" applyFont="1" applyAlignment="1">
      <alignment vertical="center"/>
    </xf>
    <xf numFmtId="0" fontId="51" fillId="0" borderId="0" xfId="0" applyFont="1" applyAlignment="1">
      <alignment horizontal="left" vertical="center"/>
    </xf>
    <xf numFmtId="0" fontId="51" fillId="0" borderId="0" xfId="0" applyFont="1" applyAlignment="1">
      <alignment vertical="center" wrapText="1"/>
    </xf>
    <xf numFmtId="0" fontId="51" fillId="0" borderId="35" xfId="0" applyFont="1" applyBorder="1" applyAlignment="1">
      <alignment horizontal="center" vertical="center"/>
    </xf>
    <xf numFmtId="0" fontId="51" fillId="0" borderId="0" xfId="0" applyFont="1" applyAlignment="1">
      <alignment horizontal="left"/>
    </xf>
    <xf numFmtId="0" fontId="51" fillId="0" borderId="0" xfId="0" applyFont="1" applyAlignment="1">
      <alignment wrapText="1"/>
    </xf>
    <xf numFmtId="0" fontId="22" fillId="0" borderId="0" xfId="0" applyFont="1" applyAlignment="1">
      <alignment horizontal="center" vertical="center" wrapText="1"/>
    </xf>
    <xf numFmtId="10" fontId="51" fillId="0" borderId="0" xfId="1582" applyNumberFormat="1" applyFont="1" applyAlignment="1">
      <alignment horizontal="center" vertical="center"/>
    </xf>
    <xf numFmtId="186" fontId="51" fillId="0" borderId="0" xfId="2405" applyNumberFormat="1" applyAlignment="1">
      <alignment horizontal="center"/>
    </xf>
    <xf numFmtId="186" fontId="51" fillId="0" borderId="0" xfId="0" applyNumberFormat="1" applyFont="1" applyAlignment="1">
      <alignment horizontal="center" vertical="center"/>
    </xf>
    <xf numFmtId="0" fontId="21" fillId="0" borderId="32" xfId="0" applyFont="1" applyBorder="1" applyAlignment="1" applyProtection="1">
      <alignment horizontal="right"/>
      <protection locked="0"/>
    </xf>
    <xf numFmtId="0" fontId="148" fillId="0" borderId="32" xfId="0" applyFont="1" applyBorder="1" applyAlignment="1" applyProtection="1">
      <alignment horizontal="right"/>
      <protection locked="0"/>
    </xf>
    <xf numFmtId="0" fontId="148" fillId="0" borderId="41" xfId="0" applyFont="1" applyBorder="1" applyAlignment="1" applyProtection="1">
      <alignment horizontal="right"/>
      <protection locked="0"/>
    </xf>
    <xf numFmtId="1" fontId="145" fillId="0" borderId="0" xfId="0" applyNumberFormat="1" applyFont="1" applyAlignment="1" applyProtection="1">
      <alignment horizontal="center"/>
      <protection locked="0"/>
    </xf>
    <xf numFmtId="0" fontId="145" fillId="0" borderId="0" xfId="0" applyFont="1" applyAlignment="1" applyProtection="1">
      <alignment horizontal="center"/>
      <protection locked="0"/>
    </xf>
    <xf numFmtId="0" fontId="145" fillId="0" borderId="35" xfId="0" applyFont="1" applyBorder="1" applyAlignment="1" applyProtection="1">
      <alignment horizontal="center"/>
      <protection locked="0"/>
    </xf>
    <xf numFmtId="14" fontId="145" fillId="0" borderId="0" xfId="0" applyNumberFormat="1" applyFont="1" applyAlignment="1" applyProtection="1">
      <alignment horizontal="center"/>
      <protection locked="0"/>
    </xf>
    <xf numFmtId="14" fontId="145" fillId="0" borderId="0" xfId="0" applyNumberFormat="1" applyFont="1" applyProtection="1">
      <protection locked="0"/>
    </xf>
    <xf numFmtId="0" fontId="148" fillId="0" borderId="0" xfId="0" applyFont="1" applyProtection="1">
      <protection locked="0"/>
    </xf>
    <xf numFmtId="0" fontId="145" fillId="0" borderId="0" xfId="0" applyFont="1" applyProtection="1">
      <protection locked="0"/>
    </xf>
    <xf numFmtId="0" fontId="129" fillId="0" borderId="0" xfId="0" applyFont="1" applyProtection="1">
      <protection locked="0"/>
    </xf>
    <xf numFmtId="10" fontId="145" fillId="0" borderId="67" xfId="0" applyNumberFormat="1" applyFont="1" applyBorder="1" applyAlignment="1" applyProtection="1">
      <alignment horizontal="center"/>
      <protection locked="0"/>
    </xf>
    <xf numFmtId="0" fontId="145" fillId="0" borderId="67" xfId="0" applyFont="1" applyBorder="1" applyAlignment="1" applyProtection="1">
      <alignment horizontal="center"/>
      <protection locked="0"/>
    </xf>
    <xf numFmtId="0" fontId="145" fillId="0" borderId="0" xfId="0" applyFont="1" applyAlignment="1" applyProtection="1">
      <alignment horizontal="right"/>
      <protection locked="0"/>
    </xf>
    <xf numFmtId="3" fontId="145" fillId="0" borderId="0" xfId="0" applyNumberFormat="1" applyFont="1" applyAlignment="1" applyProtection="1">
      <alignment horizontal="right"/>
      <protection locked="0"/>
    </xf>
    <xf numFmtId="0" fontId="21" fillId="0" borderId="0" xfId="0" applyFont="1" applyAlignment="1" applyProtection="1">
      <alignment vertical="top" wrapText="1"/>
      <protection locked="0"/>
    </xf>
    <xf numFmtId="14" fontId="145" fillId="0" borderId="0" xfId="0" applyNumberFormat="1" applyFont="1" applyAlignment="1" applyProtection="1">
      <alignment horizontal="right"/>
      <protection locked="0"/>
    </xf>
    <xf numFmtId="14" fontId="128" fillId="0" borderId="0" xfId="0" applyNumberFormat="1" applyFont="1" applyAlignment="1" applyProtection="1">
      <alignment horizontal="right"/>
      <protection locked="0"/>
    </xf>
    <xf numFmtId="0" fontId="148" fillId="0" borderId="35" xfId="0" applyFont="1" applyBorder="1" applyAlignment="1" applyProtection="1">
      <alignment horizontal="right"/>
      <protection locked="0"/>
    </xf>
    <xf numFmtId="0" fontId="148" fillId="0" borderId="41" xfId="0" applyFont="1" applyBorder="1" applyProtection="1">
      <protection locked="0"/>
    </xf>
    <xf numFmtId="0" fontId="131" fillId="0" borderId="0" xfId="1561" applyFont="1" applyFill="1" applyBorder="1" applyProtection="1">
      <protection locked="0"/>
    </xf>
    <xf numFmtId="0" fontId="140" fillId="0" borderId="32" xfId="1561" applyFont="1" applyFill="1" applyBorder="1" applyProtection="1">
      <protection locked="0"/>
    </xf>
    <xf numFmtId="0" fontId="135" fillId="0" borderId="32" xfId="1561" applyFont="1" applyFill="1" applyBorder="1" applyProtection="1">
      <protection locked="0"/>
    </xf>
    <xf numFmtId="0" fontId="159" fillId="0" borderId="32" xfId="1561" applyFont="1" applyFill="1" applyBorder="1" applyAlignment="1" applyProtection="1">
      <alignment vertical="top"/>
      <protection locked="0"/>
    </xf>
    <xf numFmtId="0" fontId="160" fillId="0" borderId="0" xfId="1561" applyFont="1" applyFill="1" applyBorder="1" applyAlignment="1" applyProtection="1">
      <alignment vertical="top"/>
      <protection locked="0"/>
    </xf>
    <xf numFmtId="0" fontId="129" fillId="0" borderId="0" xfId="0" applyFont="1" applyAlignment="1" applyProtection="1">
      <alignment horizontal="center"/>
      <protection locked="0"/>
    </xf>
    <xf numFmtId="0" fontId="128" fillId="0" borderId="46" xfId="0" applyFont="1" applyBorder="1" applyProtection="1">
      <protection locked="0"/>
    </xf>
    <xf numFmtId="0" fontId="162" fillId="0" borderId="0" xfId="0" applyFont="1" applyAlignment="1" applyProtection="1">
      <alignment horizontal="center"/>
      <protection locked="0"/>
    </xf>
    <xf numFmtId="179" fontId="128" fillId="0" borderId="0" xfId="1560" applyNumberFormat="1" applyFont="1" applyFill="1" applyBorder="1" applyProtection="1">
      <protection locked="0"/>
    </xf>
    <xf numFmtId="10" fontId="163" fillId="0" borderId="0" xfId="1582" applyNumberFormat="1" applyFont="1" applyFill="1" applyBorder="1" applyAlignment="1" applyProtection="1">
      <alignment horizontal="center"/>
      <protection locked="0"/>
    </xf>
    <xf numFmtId="179" fontId="137" fillId="0" borderId="0" xfId="1560" applyNumberFormat="1" applyFont="1" applyFill="1" applyBorder="1" applyProtection="1">
      <protection locked="0"/>
    </xf>
    <xf numFmtId="179" fontId="131" fillId="0" borderId="0" xfId="1560" applyNumberFormat="1" applyFont="1" applyFill="1" applyBorder="1" applyProtection="1">
      <protection locked="0"/>
    </xf>
    <xf numFmtId="179" fontId="135" fillId="0" borderId="0" xfId="1560" applyNumberFormat="1" applyFont="1" applyFill="1" applyBorder="1" applyProtection="1">
      <protection locked="0"/>
    </xf>
    <xf numFmtId="179" fontId="128" fillId="0" borderId="0" xfId="0" applyNumberFormat="1" applyFont="1" applyProtection="1">
      <protection locked="0"/>
    </xf>
    <xf numFmtId="179" fontId="164" fillId="0" borderId="0" xfId="0" applyNumberFormat="1" applyFont="1" applyProtection="1">
      <protection locked="0"/>
    </xf>
    <xf numFmtId="10" fontId="128" fillId="0" borderId="0" xfId="1582" applyNumberFormat="1" applyFont="1" applyFill="1" applyBorder="1" applyProtection="1">
      <protection locked="0"/>
    </xf>
    <xf numFmtId="10" fontId="128" fillId="0" borderId="0" xfId="0" applyNumberFormat="1" applyFont="1" applyProtection="1">
      <protection locked="0"/>
    </xf>
    <xf numFmtId="10" fontId="145" fillId="0" borderId="0" xfId="0" applyNumberFormat="1" applyFont="1" applyProtection="1">
      <protection locked="0"/>
    </xf>
    <xf numFmtId="0" fontId="128" fillId="0" borderId="32" xfId="0" applyFont="1" applyBorder="1" applyProtection="1">
      <protection locked="0"/>
    </xf>
    <xf numFmtId="0" fontId="128" fillId="0" borderId="35" xfId="0" applyFont="1" applyBorder="1" applyProtection="1">
      <protection locked="0"/>
    </xf>
    <xf numFmtId="0" fontId="128" fillId="0" borderId="48" xfId="0" applyFont="1" applyBorder="1" applyProtection="1">
      <protection locked="0"/>
    </xf>
    <xf numFmtId="0" fontId="128" fillId="0" borderId="47" xfId="0" applyFont="1" applyBorder="1" applyProtection="1">
      <protection locked="0"/>
    </xf>
    <xf numFmtId="179" fontId="145" fillId="0" borderId="0" xfId="1560" applyNumberFormat="1" applyFont="1" applyFill="1" applyBorder="1" applyProtection="1">
      <protection locked="0"/>
    </xf>
    <xf numFmtId="179" fontId="165" fillId="0" borderId="0" xfId="1560" applyNumberFormat="1" applyFont="1" applyFill="1" applyBorder="1" applyProtection="1">
      <protection locked="0"/>
    </xf>
    <xf numFmtId="179" fontId="129" fillId="0" borderId="0" xfId="0" applyNumberFormat="1" applyFont="1" applyProtection="1">
      <protection locked="0"/>
    </xf>
    <xf numFmtId="0" fontId="147" fillId="0" borderId="35" xfId="0" applyFont="1" applyBorder="1" applyAlignment="1" applyProtection="1">
      <alignment horizontal="center"/>
      <protection locked="0"/>
    </xf>
    <xf numFmtId="0" fontId="147" fillId="0" borderId="0" xfId="0" applyFont="1" applyAlignment="1" applyProtection="1">
      <alignment horizontal="center"/>
      <protection locked="0"/>
    </xf>
    <xf numFmtId="0" fontId="150" fillId="0" borderId="0" xfId="0" applyFont="1" applyAlignment="1" applyProtection="1">
      <alignment horizontal="center"/>
      <protection locked="0"/>
    </xf>
    <xf numFmtId="179" fontId="147" fillId="0" borderId="0" xfId="1560" applyNumberFormat="1" applyFont="1" applyFill="1" applyBorder="1" applyProtection="1">
      <protection locked="0"/>
    </xf>
    <xf numFmtId="0" fontId="147" fillId="0" borderId="0" xfId="0" applyFont="1" applyAlignment="1" applyProtection="1">
      <alignment horizontal="left" indent="2"/>
      <protection locked="0"/>
    </xf>
    <xf numFmtId="9" fontId="147" fillId="0" borderId="0" xfId="1582" applyFont="1" applyFill="1" applyBorder="1" applyProtection="1">
      <protection locked="0"/>
    </xf>
    <xf numFmtId="0" fontId="147" fillId="0" borderId="32" xfId="0" applyFont="1" applyBorder="1" applyProtection="1">
      <protection locked="0"/>
    </xf>
    <xf numFmtId="0" fontId="147" fillId="0" borderId="0" xfId="0" applyFont="1" applyProtection="1">
      <protection locked="0"/>
    </xf>
    <xf numFmtId="179" fontId="166" fillId="0" borderId="0" xfId="1560" applyNumberFormat="1" applyFont="1" applyFill="1" applyBorder="1" applyProtection="1">
      <protection locked="0"/>
    </xf>
    <xf numFmtId="179" fontId="160" fillId="0" borderId="0" xfId="1560" applyNumberFormat="1" applyFont="1" applyFill="1" applyBorder="1" applyProtection="1">
      <protection locked="0"/>
    </xf>
    <xf numFmtId="0" fontId="100" fillId="0" borderId="0" xfId="1561" applyFont="1" applyFill="1" applyBorder="1" applyAlignment="1" applyProtection="1">
      <alignment horizontal="left" indent="2"/>
      <protection locked="0"/>
    </xf>
    <xf numFmtId="0" fontId="147" fillId="0" borderId="41" xfId="0" applyFont="1" applyBorder="1" applyProtection="1">
      <protection locked="0"/>
    </xf>
    <xf numFmtId="0" fontId="147" fillId="0" borderId="35" xfId="0" applyFont="1" applyBorder="1" applyProtection="1">
      <protection locked="0"/>
    </xf>
    <xf numFmtId="179" fontId="166" fillId="0" borderId="35" xfId="1560" applyNumberFormat="1" applyFont="1" applyFill="1" applyBorder="1" applyProtection="1">
      <protection locked="0"/>
    </xf>
    <xf numFmtId="1" fontId="160" fillId="0" borderId="35" xfId="0" applyNumberFormat="1" applyFont="1" applyBorder="1" applyProtection="1">
      <protection locked="0"/>
    </xf>
    <xf numFmtId="0" fontId="128" fillId="0" borderId="31" xfId="0" applyFont="1" applyBorder="1" applyProtection="1">
      <protection locked="0"/>
    </xf>
    <xf numFmtId="0" fontId="128" fillId="0" borderId="49" xfId="0" applyFont="1" applyBorder="1" applyProtection="1">
      <protection locked="0"/>
    </xf>
    <xf numFmtId="179" fontId="161" fillId="0" borderId="0" xfId="1560" applyNumberFormat="1" applyFont="1" applyFill="1" applyBorder="1" applyProtection="1">
      <protection locked="0"/>
    </xf>
    <xf numFmtId="179" fontId="161" fillId="0" borderId="0" xfId="0" applyNumberFormat="1" applyFont="1" applyProtection="1">
      <protection locked="0"/>
    </xf>
    <xf numFmtId="0" fontId="128" fillId="68" borderId="0" xfId="0" applyFont="1" applyFill="1" applyProtection="1">
      <protection locked="0"/>
    </xf>
    <xf numFmtId="179" fontId="131" fillId="68" borderId="0" xfId="1560" applyNumberFormat="1" applyFont="1" applyFill="1" applyBorder="1" applyProtection="1">
      <protection locked="0"/>
    </xf>
    <xf numFmtId="179" fontId="140" fillId="68" borderId="0" xfId="1560" applyNumberFormat="1" applyFont="1" applyFill="1" applyBorder="1" applyProtection="1">
      <protection locked="0"/>
    </xf>
    <xf numFmtId="179" fontId="159" fillId="68" borderId="0" xfId="1560" applyNumberFormat="1" applyFont="1" applyFill="1" applyBorder="1" applyProtection="1">
      <protection locked="0"/>
    </xf>
    <xf numFmtId="0" fontId="129" fillId="0" borderId="0" xfId="0" applyFont="1" applyAlignment="1" applyProtection="1">
      <alignment horizontal="center" wrapText="1"/>
      <protection locked="0"/>
    </xf>
    <xf numFmtId="14" fontId="128" fillId="0" borderId="0" xfId="0" applyNumberFormat="1" applyFont="1" applyAlignment="1" applyProtection="1">
      <alignment horizontal="center"/>
      <protection locked="0"/>
    </xf>
    <xf numFmtId="179" fontId="2" fillId="0" borderId="0" xfId="1560" applyNumberFormat="1" applyFont="1" applyFill="1" applyBorder="1" applyProtection="1">
      <protection locked="0"/>
    </xf>
    <xf numFmtId="0" fontId="128" fillId="0" borderId="0" xfId="0" applyFont="1" applyAlignment="1" applyProtection="1">
      <alignment horizontal="left" indent="2"/>
      <protection locked="0"/>
    </xf>
    <xf numFmtId="179" fontId="2" fillId="0" borderId="0" xfId="0" applyNumberFormat="1" applyFont="1" applyProtection="1">
      <protection locked="0"/>
    </xf>
    <xf numFmtId="179" fontId="2" fillId="0" borderId="0" xfId="1560" applyNumberFormat="1" applyFont="1" applyFill="1" applyBorder="1" applyProtection="1"/>
    <xf numFmtId="179" fontId="2" fillId="93" borderId="0" xfId="0" applyNumberFormat="1" applyFont="1" applyFill="1" applyProtection="1">
      <protection locked="0"/>
    </xf>
    <xf numFmtId="0" fontId="2" fillId="0" borderId="0" xfId="0" applyFont="1" applyProtection="1">
      <protection locked="0"/>
    </xf>
    <xf numFmtId="10" fontId="2" fillId="0" borderId="0" xfId="0" applyNumberFormat="1" applyFont="1" applyProtection="1">
      <protection locked="0"/>
    </xf>
    <xf numFmtId="0" fontId="128" fillId="0" borderId="0" xfId="0" applyFont="1" applyAlignment="1" applyProtection="1">
      <alignment horizontal="left" indent="4"/>
      <protection locked="0"/>
    </xf>
    <xf numFmtId="0" fontId="129" fillId="0" borderId="0" xfId="0" applyFont="1" applyAlignment="1" applyProtection="1">
      <alignment horizontal="left"/>
      <protection locked="0"/>
    </xf>
    <xf numFmtId="0" fontId="128" fillId="68" borderId="0" xfId="0" applyFont="1" applyFill="1" applyAlignment="1" applyProtection="1">
      <alignment horizontal="left" indent="2"/>
      <protection locked="0"/>
    </xf>
    <xf numFmtId="0" fontId="2" fillId="68" borderId="0" xfId="0" applyFont="1" applyFill="1" applyProtection="1">
      <protection locked="0"/>
    </xf>
    <xf numFmtId="179" fontId="2" fillId="68" borderId="0" xfId="1560" applyNumberFormat="1" applyFont="1" applyFill="1" applyBorder="1" applyProtection="1">
      <protection locked="0"/>
    </xf>
    <xf numFmtId="0" fontId="128" fillId="68" borderId="0" xfId="0" applyFont="1" applyFill="1" applyAlignment="1" applyProtection="1">
      <alignment horizontal="center"/>
      <protection locked="0"/>
    </xf>
    <xf numFmtId="179" fontId="129" fillId="0" borderId="0" xfId="1560" applyNumberFormat="1" applyFont="1" applyFill="1" applyBorder="1" applyProtection="1">
      <protection locked="0"/>
    </xf>
    <xf numFmtId="179" fontId="141" fillId="82" borderId="0" xfId="1560" applyNumberFormat="1" applyFont="1" applyFill="1" applyBorder="1" applyProtection="1">
      <protection locked="0"/>
    </xf>
    <xf numFmtId="179" fontId="128" fillId="82" borderId="0" xfId="1560" applyNumberFormat="1" applyFont="1" applyFill="1" applyBorder="1" applyProtection="1">
      <protection locked="0"/>
    </xf>
    <xf numFmtId="179" fontId="129" fillId="82" borderId="0" xfId="1560" applyNumberFormat="1" applyFont="1" applyFill="1" applyBorder="1" applyProtection="1">
      <protection locked="0"/>
    </xf>
    <xf numFmtId="0" fontId="128" fillId="82" borderId="0" xfId="0" applyFont="1" applyFill="1" applyProtection="1">
      <protection locked="0"/>
    </xf>
    <xf numFmtId="0" fontId="129" fillId="0" borderId="46" xfId="0" applyFont="1" applyBorder="1" applyAlignment="1">
      <alignment horizontal="right"/>
    </xf>
    <xf numFmtId="9" fontId="2" fillId="0" borderId="0" xfId="1582" applyFont="1" applyFill="1" applyBorder="1" applyAlignment="1">
      <alignment horizontal="center"/>
    </xf>
    <xf numFmtId="43" fontId="2" fillId="0" borderId="0" xfId="0" applyNumberFormat="1" applyFont="1" applyAlignment="1">
      <alignment horizontal="center"/>
    </xf>
    <xf numFmtId="43" fontId="1" fillId="71" borderId="0" xfId="1560" applyFont="1" applyFill="1" applyBorder="1"/>
    <xf numFmtId="179" fontId="2" fillId="0" borderId="0" xfId="1560" applyNumberFormat="1" applyFont="1" applyBorder="1"/>
    <xf numFmtId="0" fontId="139" fillId="0" borderId="0" xfId="0" applyFont="1" applyAlignment="1">
      <alignment vertical="top" wrapText="1"/>
    </xf>
    <xf numFmtId="0" fontId="172" fillId="76" borderId="0" xfId="0" applyFont="1" applyFill="1" applyAlignment="1">
      <alignment horizontal="center" vertical="top" wrapText="1"/>
    </xf>
    <xf numFmtId="0" fontId="1" fillId="0" borderId="0" xfId="0" applyFont="1" applyAlignment="1">
      <alignment horizontal="center" vertical="top" wrapText="1"/>
    </xf>
    <xf numFmtId="0" fontId="160" fillId="70" borderId="0" xfId="0" applyFont="1" applyFill="1" applyAlignment="1">
      <alignment horizontal="right" vertical="top" wrapText="1"/>
    </xf>
    <xf numFmtId="179" fontId="1" fillId="0" borderId="0" xfId="1560" applyNumberFormat="1" applyFont="1" applyBorder="1" applyAlignment="1">
      <alignment horizontal="center"/>
    </xf>
    <xf numFmtId="0" fontId="129" fillId="0" borderId="56" xfId="0" applyFont="1" applyBorder="1" applyAlignment="1">
      <alignment horizontal="center"/>
    </xf>
    <xf numFmtId="0" fontId="105" fillId="0" borderId="56" xfId="0" applyFont="1" applyBorder="1" applyAlignment="1">
      <alignment horizontal="center"/>
    </xf>
    <xf numFmtId="0" fontId="105" fillId="0" borderId="32" xfId="0" applyFont="1" applyBorder="1" applyAlignment="1">
      <alignment horizontal="right"/>
    </xf>
    <xf numFmtId="14" fontId="2" fillId="0" borderId="0" xfId="0" applyNumberFormat="1" applyFont="1" applyAlignment="1">
      <alignment horizontal="center"/>
    </xf>
    <xf numFmtId="0" fontId="130" fillId="0" borderId="0" xfId="1561" applyFont="1" applyFill="1" applyBorder="1" applyAlignment="1">
      <alignment horizontal="center"/>
    </xf>
    <xf numFmtId="0" fontId="130" fillId="0" borderId="40" xfId="1561" applyFont="1" applyFill="1" applyBorder="1" applyAlignment="1">
      <alignment horizontal="center"/>
    </xf>
    <xf numFmtId="0" fontId="129" fillId="0" borderId="35" xfId="0" applyFont="1" applyBorder="1" applyAlignment="1">
      <alignment horizontal="right"/>
    </xf>
    <xf numFmtId="0" fontId="129" fillId="0" borderId="41" xfId="0" applyFont="1" applyBorder="1"/>
    <xf numFmtId="0" fontId="2" fillId="0" borderId="40" xfId="0" applyFont="1" applyBorder="1"/>
    <xf numFmtId="14" fontId="2" fillId="0" borderId="0" xfId="0" applyNumberFormat="1" applyFont="1" applyAlignment="1">
      <alignment horizontal="right"/>
    </xf>
    <xf numFmtId="0" fontId="147" fillId="0" borderId="0" xfId="0" applyFont="1" applyAlignment="1">
      <alignment horizontal="center"/>
    </xf>
    <xf numFmtId="179" fontId="147" fillId="0" borderId="0" xfId="1560" applyNumberFormat="1" applyFont="1" applyFill="1" applyBorder="1"/>
    <xf numFmtId="0" fontId="147" fillId="0" borderId="31" xfId="0" applyFont="1" applyBorder="1" applyAlignment="1">
      <alignment horizontal="center"/>
    </xf>
    <xf numFmtId="0" fontId="2" fillId="0" borderId="31" xfId="0" applyFont="1" applyBorder="1"/>
    <xf numFmtId="0" fontId="133" fillId="0" borderId="38" xfId="1561" applyFont="1" applyFill="1" applyBorder="1"/>
    <xf numFmtId="0" fontId="132" fillId="0" borderId="32" xfId="1561" applyFont="1" applyFill="1" applyBorder="1"/>
    <xf numFmtId="10" fontId="170" fillId="0" borderId="32" xfId="1582" applyNumberFormat="1" applyFont="1" applyFill="1" applyBorder="1" applyAlignment="1">
      <alignment horizontal="left"/>
    </xf>
    <xf numFmtId="179" fontId="169" fillId="0" borderId="32" xfId="1561" applyNumberFormat="1" applyFont="1" applyFill="1" applyBorder="1"/>
    <xf numFmtId="179" fontId="137" fillId="0" borderId="32" xfId="1560" applyNumberFormat="1" applyFont="1" applyFill="1" applyBorder="1"/>
    <xf numFmtId="0" fontId="129" fillId="0" borderId="32" xfId="0" applyFont="1" applyBorder="1" applyAlignment="1">
      <alignment horizontal="right"/>
    </xf>
    <xf numFmtId="0" fontId="168" fillId="0" borderId="0" xfId="1561" applyFont="1" applyFill="1" applyBorder="1"/>
    <xf numFmtId="0" fontId="131" fillId="0" borderId="40" xfId="1561" applyFont="1" applyFill="1" applyBorder="1"/>
    <xf numFmtId="1" fontId="129" fillId="0" borderId="0" xfId="0" applyNumberFormat="1" applyFont="1" applyAlignment="1">
      <alignment horizontal="center"/>
    </xf>
    <xf numFmtId="0" fontId="141" fillId="0" borderId="0" xfId="0" applyFont="1" applyAlignment="1">
      <alignment horizontal="center"/>
    </xf>
    <xf numFmtId="0" fontId="139" fillId="0" borderId="0" xfId="0" applyFont="1" applyAlignment="1">
      <alignment horizontal="center"/>
    </xf>
    <xf numFmtId="10" fontId="170" fillId="0" borderId="0" xfId="1582" applyNumberFormat="1" applyFont="1" applyFill="1" applyBorder="1" applyAlignment="1">
      <alignment horizontal="center"/>
    </xf>
    <xf numFmtId="179" fontId="129" fillId="0" borderId="0" xfId="0" applyNumberFormat="1" applyFont="1" applyAlignment="1">
      <alignment horizontal="center"/>
    </xf>
    <xf numFmtId="179" fontId="129" fillId="0" borderId="0" xfId="1560" applyNumberFormat="1" applyFont="1" applyFill="1" applyBorder="1" applyAlignment="1">
      <alignment horizontal="center"/>
    </xf>
    <xf numFmtId="179" fontId="134" fillId="0" borderId="0" xfId="1560" applyNumberFormat="1" applyFont="1" applyFill="1" applyBorder="1"/>
    <xf numFmtId="179" fontId="2" fillId="0" borderId="0" xfId="0" applyNumberFormat="1" applyFont="1" applyAlignment="1">
      <alignment horizontal="left"/>
    </xf>
    <xf numFmtId="0" fontId="2" fillId="0" borderId="0" xfId="0" applyFont="1" applyAlignment="1">
      <alignment horizontal="left"/>
    </xf>
    <xf numFmtId="0" fontId="129" fillId="81" borderId="0" xfId="0" applyFont="1" applyFill="1"/>
    <xf numFmtId="0" fontId="2" fillId="81" borderId="0" xfId="0" applyFont="1" applyFill="1" applyAlignment="1">
      <alignment horizontal="center"/>
    </xf>
    <xf numFmtId="0" fontId="129" fillId="81" borderId="0" xfId="0" applyFont="1" applyFill="1" applyAlignment="1">
      <alignment horizontal="center" wrapText="1"/>
    </xf>
    <xf numFmtId="0" fontId="129" fillId="81" borderId="0" xfId="0" applyFont="1" applyFill="1" applyAlignment="1">
      <alignment horizontal="center"/>
    </xf>
    <xf numFmtId="1" fontId="129" fillId="81" borderId="0" xfId="0" applyNumberFormat="1" applyFont="1" applyFill="1" applyAlignment="1">
      <alignment horizontal="center"/>
    </xf>
    <xf numFmtId="179" fontId="148" fillId="0" borderId="0" xfId="1560" applyNumberFormat="1" applyFont="1" applyFill="1" applyBorder="1"/>
    <xf numFmtId="10" fontId="105" fillId="0" borderId="0" xfId="1582" applyNumberFormat="1" applyFont="1" applyFill="1" applyBorder="1" applyAlignment="1">
      <alignment horizontal="center"/>
    </xf>
    <xf numFmtId="0" fontId="2" fillId="0" borderId="0" xfId="0" applyFont="1" applyAlignment="1">
      <alignment horizontal="left" indent="2"/>
    </xf>
    <xf numFmtId="0" fontId="141" fillId="0" borderId="0" xfId="0" applyFont="1" applyAlignment="1">
      <alignment horizontal="left" indent="2"/>
    </xf>
    <xf numFmtId="0" fontId="135" fillId="0" borderId="0" xfId="0" applyFont="1" applyAlignment="1">
      <alignment horizontal="left"/>
    </xf>
    <xf numFmtId="0" fontId="148" fillId="0" borderId="0" xfId="0" applyFont="1" applyAlignment="1">
      <alignment horizontal="left"/>
    </xf>
    <xf numFmtId="0" fontId="2" fillId="0" borderId="0" xfId="0" applyFont="1" applyAlignment="1">
      <alignment horizontal="left" indent="1"/>
    </xf>
    <xf numFmtId="0" fontId="172" fillId="0" borderId="0" xfId="0" applyFont="1" applyAlignment="1">
      <alignment horizontal="center" vertical="top" wrapText="1"/>
    </xf>
    <xf numFmtId="0" fontId="160" fillId="0" borderId="0" xfId="0" applyFont="1" applyAlignment="1">
      <alignment horizontal="center" vertical="top" wrapText="1"/>
    </xf>
    <xf numFmtId="0" fontId="168" fillId="0" borderId="0" xfId="1561" applyFont="1" applyFill="1" applyBorder="1" applyAlignment="1"/>
    <xf numFmtId="0" fontId="140" fillId="94" borderId="32" xfId="1561" applyFont="1" applyFill="1" applyBorder="1"/>
    <xf numFmtId="179" fontId="135" fillId="70" borderId="72" xfId="1560" applyNumberFormat="1" applyFont="1" applyFill="1" applyBorder="1"/>
    <xf numFmtId="179" fontId="135" fillId="70" borderId="73" xfId="1560" applyNumberFormat="1" applyFont="1" applyFill="1" applyBorder="1"/>
    <xf numFmtId="179" fontId="135" fillId="70" borderId="74" xfId="1560" applyNumberFormat="1" applyFont="1" applyFill="1" applyBorder="1"/>
    <xf numFmtId="37" fontId="135" fillId="70" borderId="71" xfId="0" applyNumberFormat="1" applyFont="1" applyFill="1" applyBorder="1"/>
    <xf numFmtId="0" fontId="2" fillId="71" borderId="71" xfId="0" applyFont="1" applyFill="1" applyBorder="1"/>
    <xf numFmtId="37" fontId="135" fillId="70" borderId="72" xfId="0" applyNumberFormat="1" applyFont="1" applyFill="1" applyBorder="1"/>
    <xf numFmtId="37" fontId="135" fillId="70" borderId="73" xfId="0" applyNumberFormat="1" applyFont="1" applyFill="1" applyBorder="1"/>
    <xf numFmtId="37" fontId="135" fillId="70" borderId="74" xfId="0" applyNumberFormat="1" applyFont="1" applyFill="1" applyBorder="1"/>
    <xf numFmtId="179" fontId="135" fillId="70" borderId="71" xfId="1560" applyNumberFormat="1" applyFont="1" applyFill="1" applyBorder="1"/>
    <xf numFmtId="0" fontId="198" fillId="0" borderId="0" xfId="0" applyFont="1"/>
    <xf numFmtId="179" fontId="138" fillId="70" borderId="71" xfId="1560" applyNumberFormat="1" applyFont="1" applyFill="1" applyBorder="1"/>
    <xf numFmtId="179" fontId="138" fillId="70" borderId="75" xfId="1560" applyNumberFormat="1" applyFont="1" applyFill="1" applyBorder="1"/>
    <xf numFmtId="179" fontId="138" fillId="70" borderId="72" xfId="1560" applyNumberFormat="1" applyFont="1" applyFill="1" applyBorder="1"/>
    <xf numFmtId="179" fontId="138" fillId="70" borderId="73" xfId="1560" applyNumberFormat="1" applyFont="1" applyFill="1" applyBorder="1"/>
    <xf numFmtId="179" fontId="138" fillId="70" borderId="76" xfId="1560" applyNumberFormat="1" applyFont="1" applyFill="1" applyBorder="1"/>
    <xf numFmtId="179" fontId="138" fillId="70" borderId="77" xfId="1560" applyNumberFormat="1" applyFont="1" applyFill="1" applyBorder="1"/>
    <xf numFmtId="43" fontId="138" fillId="70" borderId="76" xfId="1560" applyFont="1" applyFill="1" applyBorder="1"/>
    <xf numFmtId="179" fontId="133" fillId="70" borderId="71" xfId="1560" applyNumberFormat="1" applyFont="1" applyFill="1" applyBorder="1"/>
    <xf numFmtId="179" fontId="133" fillId="70" borderId="71" xfId="0" applyNumberFormat="1" applyFont="1" applyFill="1" applyBorder="1"/>
    <xf numFmtId="179" fontId="142" fillId="70" borderId="71" xfId="1560" applyNumberFormat="1" applyFont="1" applyFill="1" applyBorder="1"/>
    <xf numFmtId="43" fontId="128" fillId="81" borderId="35" xfId="1560" applyFont="1" applyFill="1" applyBorder="1"/>
    <xf numFmtId="37" fontId="143" fillId="70" borderId="78" xfId="0" applyNumberFormat="1" applyFont="1" applyFill="1" applyBorder="1"/>
    <xf numFmtId="37" fontId="143" fillId="70" borderId="79" xfId="0" applyNumberFormat="1" applyFont="1" applyFill="1" applyBorder="1"/>
    <xf numFmtId="37" fontId="143" fillId="70" borderId="80" xfId="0" applyNumberFormat="1" applyFont="1" applyFill="1" applyBorder="1"/>
    <xf numFmtId="37" fontId="143" fillId="70" borderId="81" xfId="0" applyNumberFormat="1" applyFont="1" applyFill="1" applyBorder="1"/>
    <xf numFmtId="37" fontId="143" fillId="70" borderId="82" xfId="0" applyNumberFormat="1" applyFont="1" applyFill="1" applyBorder="1"/>
    <xf numFmtId="37" fontId="143" fillId="70" borderId="83" xfId="0" applyNumberFormat="1" applyFont="1" applyFill="1" applyBorder="1"/>
    <xf numFmtId="0" fontId="200" fillId="0" borderId="0" xfId="0" applyFont="1"/>
    <xf numFmtId="179" fontId="174" fillId="70" borderId="71" xfId="1560" applyNumberFormat="1" applyFont="1" applyFill="1" applyBorder="1"/>
    <xf numFmtId="179" fontId="174" fillId="70" borderId="75" xfId="1560" applyNumberFormat="1" applyFont="1" applyFill="1" applyBorder="1"/>
    <xf numFmtId="179" fontId="174" fillId="70" borderId="76" xfId="1560" applyNumberFormat="1" applyFont="1" applyFill="1" applyBorder="1"/>
    <xf numFmtId="179" fontId="174" fillId="70" borderId="77" xfId="1560" applyNumberFormat="1" applyFont="1" applyFill="1" applyBorder="1"/>
    <xf numFmtId="179" fontId="174" fillId="70" borderId="72" xfId="1560" applyNumberFormat="1" applyFont="1" applyFill="1" applyBorder="1"/>
    <xf numFmtId="179" fontId="174" fillId="70" borderId="73" xfId="1560" applyNumberFormat="1" applyFont="1" applyFill="1" applyBorder="1"/>
    <xf numFmtId="180" fontId="128" fillId="0" borderId="0" xfId="0" applyNumberFormat="1" applyFont="1"/>
    <xf numFmtId="0" fontId="201" fillId="0" borderId="0" xfId="0" applyFont="1"/>
    <xf numFmtId="179" fontId="178" fillId="68" borderId="71" xfId="1560" applyNumberFormat="1" applyFont="1" applyFill="1" applyBorder="1"/>
    <xf numFmtId="179" fontId="131" fillId="70" borderId="71" xfId="1560" applyNumberFormat="1" applyFont="1" applyFill="1" applyBorder="1"/>
    <xf numFmtId="0" fontId="187" fillId="71" borderId="0" xfId="0" applyFont="1" applyFill="1"/>
    <xf numFmtId="179" fontId="129" fillId="81" borderId="85" xfId="0" applyNumberFormat="1" applyFont="1" applyFill="1" applyBorder="1"/>
    <xf numFmtId="179" fontId="129" fillId="81" borderId="86" xfId="0" applyNumberFormat="1" applyFont="1" applyFill="1" applyBorder="1"/>
    <xf numFmtId="179" fontId="129" fillId="81" borderId="87" xfId="0" applyNumberFormat="1" applyFont="1" applyFill="1" applyBorder="1"/>
    <xf numFmtId="0" fontId="2" fillId="71" borderId="84" xfId="0" applyFont="1" applyFill="1" applyBorder="1"/>
    <xf numFmtId="0" fontId="128" fillId="71" borderId="84" xfId="0" applyFont="1" applyFill="1" applyBorder="1"/>
    <xf numFmtId="179" fontId="128" fillId="81" borderId="84" xfId="0" applyNumberFormat="1" applyFont="1" applyFill="1" applyBorder="1"/>
    <xf numFmtId="179" fontId="128" fillId="81" borderId="84" xfId="1560" applyNumberFormat="1" applyFont="1" applyFill="1" applyBorder="1"/>
    <xf numFmtId="179" fontId="138" fillId="70" borderId="84" xfId="1560" applyNumberFormat="1" applyFont="1" applyFill="1" applyBorder="1"/>
    <xf numFmtId="179" fontId="129" fillId="81" borderId="84" xfId="0" applyNumberFormat="1" applyFont="1" applyFill="1" applyBorder="1"/>
    <xf numFmtId="179" fontId="128" fillId="81" borderId="89" xfId="1560" applyNumberFormat="1" applyFont="1" applyFill="1" applyBorder="1"/>
    <xf numFmtId="179" fontId="128" fillId="81" borderId="90" xfId="1560" applyNumberFormat="1" applyFont="1" applyFill="1" applyBorder="1"/>
    <xf numFmtId="179" fontId="138" fillId="70" borderId="91" xfId="1560" applyNumberFormat="1" applyFont="1" applyFill="1" applyBorder="1"/>
    <xf numFmtId="0" fontId="202" fillId="0" borderId="0" xfId="0" applyFont="1" applyAlignment="1">
      <alignment vertical="center"/>
    </xf>
    <xf numFmtId="0" fontId="203" fillId="0" borderId="0" xfId="0" applyFont="1" applyAlignment="1">
      <alignment vertical="center"/>
    </xf>
    <xf numFmtId="0" fontId="204" fillId="0" borderId="35" xfId="0" applyFont="1" applyBorder="1" applyAlignment="1">
      <alignment horizontal="center" vertical="center"/>
    </xf>
    <xf numFmtId="0" fontId="204" fillId="0" borderId="0" xfId="0" applyFont="1" applyAlignment="1">
      <alignment horizontal="center" vertical="center"/>
    </xf>
    <xf numFmtId="2" fontId="202" fillId="0" borderId="0" xfId="0" applyNumberFormat="1" applyFont="1" applyAlignment="1">
      <alignment horizontal="center" vertical="center"/>
    </xf>
    <xf numFmtId="2" fontId="205" fillId="0" borderId="0" xfId="0" applyNumberFormat="1" applyFont="1" applyAlignment="1">
      <alignment horizontal="center" vertical="center"/>
    </xf>
    <xf numFmtId="2" fontId="202" fillId="0" borderId="0" xfId="0" applyNumberFormat="1" applyFont="1" applyAlignment="1">
      <alignment vertical="center"/>
    </xf>
    <xf numFmtId="0" fontId="196" fillId="0" borderId="0" xfId="0" applyFont="1" applyAlignment="1">
      <alignment horizontal="center" vertical="center"/>
    </xf>
    <xf numFmtId="0" fontId="205" fillId="0" borderId="0" xfId="0" applyFont="1" applyAlignment="1">
      <alignment horizontal="left" vertical="center"/>
    </xf>
    <xf numFmtId="0" fontId="202" fillId="0" borderId="0" xfId="0" applyFont="1" applyAlignment="1">
      <alignment horizontal="left" vertical="center"/>
    </xf>
    <xf numFmtId="0" fontId="202" fillId="0" borderId="0" xfId="0" applyFont="1" applyAlignment="1">
      <alignment vertical="center" wrapText="1"/>
    </xf>
    <xf numFmtId="0" fontId="16" fillId="0" borderId="0" xfId="0" applyFont="1" applyAlignment="1">
      <alignment vertical="center"/>
    </xf>
    <xf numFmtId="0" fontId="202" fillId="0" borderId="0" xfId="0" applyFont="1"/>
    <xf numFmtId="0" fontId="204" fillId="92" borderId="0" xfId="0" applyFont="1" applyFill="1" applyAlignment="1">
      <alignment horizontal="center" vertical="center"/>
    </xf>
    <xf numFmtId="0" fontId="204" fillId="92" borderId="0" xfId="0" applyFont="1" applyFill="1" applyAlignment="1">
      <alignment horizontal="center" vertical="center" wrapText="1"/>
    </xf>
    <xf numFmtId="0" fontId="204" fillId="92" borderId="0" xfId="0" applyFont="1" applyFill="1" applyAlignment="1">
      <alignment horizontal="center"/>
    </xf>
    <xf numFmtId="2" fontId="205" fillId="92" borderId="0" xfId="0" applyNumberFormat="1" applyFont="1" applyFill="1" applyAlignment="1">
      <alignment horizontal="center"/>
    </xf>
    <xf numFmtId="2" fontId="205" fillId="92" borderId="0" xfId="2405" applyNumberFormat="1" applyFont="1" applyFill="1" applyAlignment="1">
      <alignment horizontal="center"/>
    </xf>
    <xf numFmtId="10" fontId="202" fillId="0" borderId="0" xfId="1582" applyNumberFormat="1" applyFont="1" applyAlignment="1">
      <alignment horizontal="center" vertical="center"/>
    </xf>
    <xf numFmtId="0" fontId="205" fillId="0" borderId="0" xfId="0" applyFont="1"/>
    <xf numFmtId="0" fontId="202" fillId="0" borderId="0" xfId="0" applyFont="1" applyAlignment="1">
      <alignment wrapText="1"/>
    </xf>
    <xf numFmtId="0" fontId="204" fillId="0" borderId="92" xfId="0" applyFont="1" applyBorder="1" applyAlignment="1">
      <alignment horizontal="center" vertical="center"/>
    </xf>
    <xf numFmtId="0" fontId="204" fillId="0" borderId="93" xfId="0" applyFont="1" applyBorder="1" applyAlignment="1">
      <alignment horizontal="center" vertical="center"/>
    </xf>
    <xf numFmtId="0" fontId="204" fillId="0" borderId="94" xfId="0" applyFont="1" applyBorder="1" applyAlignment="1">
      <alignment horizontal="center" vertical="center"/>
    </xf>
    <xf numFmtId="0" fontId="204" fillId="0" borderId="95" xfId="0" applyFont="1" applyBorder="1" applyAlignment="1">
      <alignment horizontal="center" vertical="center"/>
    </xf>
    <xf numFmtId="2" fontId="205" fillId="0" borderId="96" xfId="0" applyNumberFormat="1" applyFont="1" applyBorder="1" applyAlignment="1">
      <alignment horizontal="center" vertical="center"/>
    </xf>
    <xf numFmtId="0" fontId="204" fillId="0" borderId="97" xfId="0" applyFont="1" applyBorder="1" applyAlignment="1">
      <alignment horizontal="center" vertical="center"/>
    </xf>
    <xf numFmtId="2" fontId="202" fillId="0" borderId="98" xfId="0" applyNumberFormat="1" applyFont="1" applyBorder="1" applyAlignment="1">
      <alignment horizontal="center" vertical="center"/>
    </xf>
    <xf numFmtId="2" fontId="205" fillId="0" borderId="99" xfId="0" applyNumberFormat="1" applyFont="1" applyBorder="1" applyAlignment="1">
      <alignment horizontal="center" vertical="center"/>
    </xf>
    <xf numFmtId="0" fontId="105" fillId="0" borderId="100" xfId="0" applyFont="1" applyBorder="1" applyAlignment="1">
      <alignment horizontal="center"/>
    </xf>
    <xf numFmtId="0" fontId="105" fillId="0" borderId="101" xfId="0" applyFont="1" applyBorder="1" applyAlignment="1">
      <alignment horizontal="center"/>
    </xf>
    <xf numFmtId="0" fontId="105" fillId="0" borderId="102" xfId="0" applyFont="1" applyBorder="1" applyAlignment="1">
      <alignment horizontal="center"/>
    </xf>
    <xf numFmtId="179" fontId="147" fillId="0" borderId="95" xfId="1560" applyNumberFormat="1" applyFont="1" applyFill="1" applyBorder="1"/>
    <xf numFmtId="179" fontId="147" fillId="0" borderId="96" xfId="1560" applyNumberFormat="1" applyFont="1" applyFill="1" applyBorder="1"/>
    <xf numFmtId="179" fontId="147" fillId="0" borderId="97" xfId="1560" applyNumberFormat="1" applyFont="1" applyFill="1" applyBorder="1"/>
    <xf numFmtId="179" fontId="147" fillId="0" borderId="98" xfId="1560" applyNumberFormat="1" applyFont="1" applyFill="1" applyBorder="1"/>
    <xf numFmtId="179" fontId="147" fillId="0" borderId="99" xfId="1560" applyNumberFormat="1" applyFont="1" applyFill="1" applyBorder="1"/>
    <xf numFmtId="0" fontId="2" fillId="0" borderId="84" xfId="0" applyFont="1" applyBorder="1"/>
    <xf numFmtId="0" fontId="51" fillId="0" borderId="0" xfId="0" applyFont="1" applyAlignment="1">
      <alignment horizontal="center" vertical="center"/>
    </xf>
    <xf numFmtId="10" fontId="51" fillId="0" borderId="89" xfId="1582" applyNumberFormat="1" applyFont="1" applyBorder="1" applyAlignment="1">
      <alignment horizontal="center" vertical="center"/>
    </xf>
    <xf numFmtId="10" fontId="51" fillId="0" borderId="103" xfId="1582" applyNumberFormat="1" applyFont="1" applyBorder="1" applyAlignment="1">
      <alignment horizontal="center" vertical="center"/>
    </xf>
    <xf numFmtId="10" fontId="51" fillId="0" borderId="90" xfId="1582" applyNumberFormat="1" applyFont="1" applyBorder="1" applyAlignment="1">
      <alignment horizontal="center" vertical="center"/>
    </xf>
    <xf numFmtId="179" fontId="128" fillId="0" borderId="85" xfId="1560" applyNumberFormat="1" applyFont="1" applyFill="1" applyBorder="1" applyProtection="1">
      <protection locked="0"/>
    </xf>
    <xf numFmtId="179" fontId="128" fillId="0" borderId="86" xfId="1560" applyNumberFormat="1" applyFont="1" applyFill="1" applyBorder="1" applyProtection="1">
      <protection locked="0"/>
    </xf>
    <xf numFmtId="179" fontId="128" fillId="0" borderId="87" xfId="1560" applyNumberFormat="1" applyFont="1" applyFill="1" applyBorder="1" applyProtection="1">
      <protection locked="0"/>
    </xf>
    <xf numFmtId="179" fontId="137" fillId="70" borderId="100" xfId="1560" applyNumberFormat="1" applyFont="1" applyFill="1" applyBorder="1"/>
    <xf numFmtId="179" fontId="2" fillId="71" borderId="101" xfId="1560" applyNumberFormat="1" applyFont="1" applyFill="1" applyBorder="1"/>
    <xf numFmtId="179" fontId="2" fillId="71" borderId="98" xfId="1560" applyNumberFormat="1" applyFont="1" applyFill="1" applyBorder="1"/>
    <xf numFmtId="179" fontId="1" fillId="71" borderId="85" xfId="1560" applyNumberFormat="1" applyFont="1" applyFill="1" applyBorder="1"/>
    <xf numFmtId="179" fontId="142" fillId="0" borderId="85" xfId="1560" applyNumberFormat="1" applyFont="1" applyFill="1" applyBorder="1"/>
    <xf numFmtId="179" fontId="142" fillId="0" borderId="86" xfId="1560" applyNumberFormat="1" applyFont="1" applyFill="1" applyBorder="1"/>
    <xf numFmtId="179" fontId="142" fillId="94" borderId="86" xfId="1560" applyNumberFormat="1" applyFont="1" applyFill="1" applyBorder="1"/>
    <xf numFmtId="179" fontId="142" fillId="94" borderId="87" xfId="1560" applyNumberFormat="1" applyFont="1" applyFill="1" applyBorder="1"/>
    <xf numFmtId="179" fontId="129" fillId="0" borderId="97" xfId="0" applyNumberFormat="1" applyFont="1" applyBorder="1" applyProtection="1">
      <protection locked="0"/>
    </xf>
    <xf numFmtId="179" fontId="129" fillId="0" borderId="98" xfId="0" applyNumberFormat="1" applyFont="1" applyBorder="1" applyProtection="1">
      <protection locked="0"/>
    </xf>
    <xf numFmtId="179" fontId="129" fillId="0" borderId="99" xfId="0" applyNumberFormat="1" applyFont="1" applyBorder="1" applyProtection="1">
      <protection locked="0"/>
    </xf>
    <xf numFmtId="179" fontId="129" fillId="82" borderId="85" xfId="1560" applyNumberFormat="1" applyFont="1" applyFill="1" applyBorder="1" applyProtection="1">
      <protection locked="0"/>
    </xf>
    <xf numFmtId="179" fontId="129" fillId="82" borderId="86" xfId="1560" applyNumberFormat="1" applyFont="1" applyFill="1" applyBorder="1" applyProtection="1">
      <protection locked="0"/>
    </xf>
    <xf numFmtId="179" fontId="129" fillId="82" borderId="87" xfId="1560" applyNumberFormat="1" applyFont="1" applyFill="1" applyBorder="1" applyProtection="1">
      <protection locked="0"/>
    </xf>
    <xf numFmtId="179" fontId="148" fillId="71" borderId="85" xfId="1560" applyNumberFormat="1" applyFont="1" applyFill="1" applyBorder="1"/>
    <xf numFmtId="179" fontId="148" fillId="71" borderId="86" xfId="1560" applyNumberFormat="1" applyFont="1" applyFill="1" applyBorder="1"/>
    <xf numFmtId="179" fontId="148" fillId="71" borderId="87" xfId="1560" applyNumberFormat="1" applyFont="1" applyFill="1" applyBorder="1"/>
    <xf numFmtId="179" fontId="199" fillId="70" borderId="72" xfId="1560" applyNumberFormat="1" applyFont="1" applyFill="1" applyBorder="1"/>
    <xf numFmtId="179" fontId="129" fillId="81" borderId="84" xfId="1560" applyNumberFormat="1" applyFont="1" applyFill="1" applyBorder="1"/>
    <xf numFmtId="14" fontId="2" fillId="82" borderId="0" xfId="0" applyNumberFormat="1" applyFont="1" applyFill="1" applyAlignment="1">
      <alignment horizontal="right"/>
    </xf>
    <xf numFmtId="179" fontId="134" fillId="0" borderId="0" xfId="0" applyNumberFormat="1" applyFont="1" applyAlignment="1">
      <alignment horizontal="left"/>
    </xf>
    <xf numFmtId="179" fontId="18" fillId="0" borderId="0" xfId="1560" applyNumberFormat="1" applyFont="1"/>
    <xf numFmtId="179" fontId="0" fillId="0" borderId="0" xfId="1560" applyNumberFormat="1" applyFont="1"/>
    <xf numFmtId="0" fontId="209" fillId="4" borderId="0" xfId="2438" applyBorder="1" applyAlignment="1">
      <alignment horizontal="center"/>
    </xf>
    <xf numFmtId="0" fontId="177" fillId="0" borderId="0" xfId="0" applyFont="1" applyAlignment="1">
      <alignment horizontal="center"/>
    </xf>
    <xf numFmtId="0" fontId="2" fillId="0" borderId="0" xfId="0" applyFont="1" applyAlignment="1" applyProtection="1">
      <alignment horizontal="left" indent="2"/>
      <protection locked="0"/>
    </xf>
    <xf numFmtId="3" fontId="1" fillId="0" borderId="0" xfId="0" applyNumberFormat="1" applyFont="1" applyAlignment="1" applyProtection="1">
      <alignment horizontal="center"/>
      <protection locked="0"/>
    </xf>
    <xf numFmtId="0" fontId="139" fillId="0" borderId="0" xfId="0" applyFont="1" applyAlignment="1">
      <alignment horizontal="left"/>
    </xf>
    <xf numFmtId="0" fontId="0" fillId="93" borderId="0" xfId="0" applyFill="1"/>
    <xf numFmtId="10" fontId="142" fillId="0" borderId="0" xfId="0" applyNumberFormat="1" applyFont="1" applyProtection="1">
      <protection locked="0"/>
    </xf>
    <xf numFmtId="0" fontId="208" fillId="0" borderId="0" xfId="0" applyFont="1"/>
    <xf numFmtId="0" fontId="210" fillId="0" borderId="0" xfId="0" applyFont="1"/>
    <xf numFmtId="0" fontId="137" fillId="71" borderId="105" xfId="1561" applyFont="1" applyFill="1" applyBorder="1" applyAlignment="1"/>
    <xf numFmtId="0" fontId="2" fillId="0" borderId="84" xfId="0" applyFont="1" applyBorder="1" applyAlignment="1">
      <alignment horizontal="center"/>
    </xf>
    <xf numFmtId="1" fontId="129" fillId="0" borderId="100" xfId="0" applyNumberFormat="1" applyFont="1" applyBorder="1" applyAlignment="1">
      <alignment horizontal="center"/>
    </xf>
    <xf numFmtId="1" fontId="129" fillId="0" borderId="101" xfId="0" applyNumberFormat="1" applyFont="1" applyBorder="1" applyAlignment="1">
      <alignment horizontal="center"/>
    </xf>
    <xf numFmtId="0" fontId="129" fillId="71" borderId="101" xfId="0" applyFont="1" applyFill="1" applyBorder="1" applyAlignment="1">
      <alignment horizontal="center"/>
    </xf>
    <xf numFmtId="0" fontId="129" fillId="71" borderId="101" xfId="1560" applyNumberFormat="1" applyFont="1" applyFill="1" applyBorder="1" applyAlignment="1">
      <alignment horizontal="center"/>
    </xf>
    <xf numFmtId="0" fontId="2" fillId="0" borderId="102" xfId="0" applyFont="1" applyBorder="1" applyAlignment="1">
      <alignment horizontal="center"/>
    </xf>
    <xf numFmtId="179" fontId="134" fillId="0" borderId="95" xfId="1560" applyNumberFormat="1" applyFont="1" applyFill="1" applyBorder="1"/>
    <xf numFmtId="0" fontId="2" fillId="0" borderId="96" xfId="0" applyFont="1" applyBorder="1" applyAlignment="1">
      <alignment horizontal="center"/>
    </xf>
    <xf numFmtId="0" fontId="1" fillId="0" borderId="95" xfId="0" applyFont="1" applyBorder="1"/>
    <xf numFmtId="179" fontId="1" fillId="0" borderId="97" xfId="1560" applyNumberFormat="1" applyFont="1" applyFill="1" applyBorder="1"/>
    <xf numFmtId="179" fontId="1" fillId="0" borderId="98" xfId="1560" applyNumberFormat="1" applyFont="1" applyFill="1" applyBorder="1"/>
    <xf numFmtId="179" fontId="134" fillId="0" borderId="98" xfId="1560" applyNumberFormat="1" applyFont="1" applyFill="1" applyBorder="1"/>
    <xf numFmtId="179" fontId="134" fillId="76" borderId="98" xfId="1560" applyNumberFormat="1" applyFont="1" applyFill="1" applyBorder="1"/>
    <xf numFmtId="0" fontId="2" fillId="0" borderId="99" xfId="0" applyFont="1" applyBorder="1" applyAlignment="1">
      <alignment horizontal="center"/>
    </xf>
    <xf numFmtId="0" fontId="133" fillId="0" borderId="0" xfId="0" applyFont="1" applyProtection="1">
      <protection locked="0"/>
    </xf>
    <xf numFmtId="179" fontId="135" fillId="91" borderId="0" xfId="1560" applyNumberFormat="1" applyFont="1" applyFill="1" applyBorder="1"/>
    <xf numFmtId="0" fontId="1" fillId="0" borderId="0" xfId="0" applyFont="1" applyAlignment="1" applyProtection="1">
      <alignment horizontal="center"/>
      <protection locked="0"/>
    </xf>
    <xf numFmtId="0" fontId="2" fillId="0" borderId="0" xfId="0" quotePrefix="1" applyFont="1"/>
    <xf numFmtId="0" fontId="2" fillId="0" borderId="0" xfId="0" quotePrefix="1" applyFont="1" applyProtection="1">
      <protection locked="0"/>
    </xf>
    <xf numFmtId="0" fontId="1" fillId="0" borderId="0" xfId="0" quotePrefix="1" applyFont="1" applyAlignment="1">
      <alignment horizontal="center"/>
    </xf>
    <xf numFmtId="3" fontId="128" fillId="0" borderId="0" xfId="0" applyNumberFormat="1" applyFont="1" applyProtection="1">
      <protection locked="0"/>
    </xf>
    <xf numFmtId="0" fontId="2" fillId="73" borderId="0" xfId="0" applyFont="1" applyFill="1"/>
    <xf numFmtId="179" fontId="147" fillId="73" borderId="98" xfId="1560" applyNumberFormat="1" applyFont="1" applyFill="1" applyBorder="1"/>
    <xf numFmtId="180" fontId="20" fillId="0" borderId="0" xfId="1560" applyNumberFormat="1" applyFont="1" applyFill="1" applyBorder="1" applyAlignment="1">
      <alignment horizontal="left" indent="2"/>
    </xf>
    <xf numFmtId="179" fontId="45" fillId="0" borderId="0" xfId="1560" applyNumberFormat="1" applyFont="1" applyFill="1" applyBorder="1" applyAlignment="1">
      <alignment vertical="center"/>
    </xf>
    <xf numFmtId="0" fontId="148" fillId="0" borderId="0" xfId="1560" applyNumberFormat="1" applyFont="1" applyFill="1" applyBorder="1" applyAlignment="1">
      <alignment horizontal="center"/>
    </xf>
    <xf numFmtId="185" fontId="1" fillId="0" borderId="0" xfId="1560" applyNumberFormat="1" applyFont="1" applyFill="1" applyBorder="1"/>
    <xf numFmtId="164" fontId="1" fillId="0" borderId="0" xfId="1560" applyNumberFormat="1" applyFont="1" applyFill="1" applyBorder="1"/>
    <xf numFmtId="0" fontId="2" fillId="70" borderId="0" xfId="0" applyFont="1" applyFill="1" applyAlignment="1">
      <alignment horizontal="center"/>
    </xf>
    <xf numFmtId="0" fontId="202" fillId="82" borderId="0" xfId="0" applyFont="1" applyFill="1" applyAlignment="1">
      <alignment vertical="center"/>
    </xf>
    <xf numFmtId="0" fontId="104" fillId="0" borderId="0" xfId="1279" applyFont="1"/>
    <xf numFmtId="0" fontId="104" fillId="0" borderId="0" xfId="1279" applyFont="1" applyAlignment="1">
      <alignment horizontal="center"/>
    </xf>
    <xf numFmtId="0" fontId="104" fillId="0" borderId="47" xfId="1279" applyFont="1" applyBorder="1" applyAlignment="1">
      <alignment horizontal="center"/>
    </xf>
    <xf numFmtId="0" fontId="1" fillId="0" borderId="0" xfId="0" applyFont="1" applyAlignment="1">
      <alignment horizontal="center" vertical="center"/>
    </xf>
    <xf numFmtId="10" fontId="20" fillId="0" borderId="0" xfId="2405" applyNumberFormat="1" applyFont="1" applyAlignment="1">
      <alignment horizontal="center"/>
    </xf>
    <xf numFmtId="0" fontId="1" fillId="0" borderId="71" xfId="1561" applyFont="1" applyFill="1" applyBorder="1" applyAlignment="1"/>
    <xf numFmtId="0" fontId="1" fillId="0" borderId="104" xfId="1561" applyFont="1" applyFill="1" applyBorder="1" applyAlignment="1"/>
    <xf numFmtId="0" fontId="1" fillId="0" borderId="49" xfId="1561" applyFont="1" applyFill="1" applyBorder="1" applyAlignment="1"/>
    <xf numFmtId="0" fontId="1" fillId="0" borderId="0" xfId="1561" applyFont="1" applyFill="1" applyBorder="1" applyAlignment="1"/>
    <xf numFmtId="0" fontId="1" fillId="0" borderId="0" xfId="0" applyFont="1"/>
    <xf numFmtId="0" fontId="21" fillId="0" borderId="0" xfId="0" applyFont="1" applyAlignment="1">
      <alignment horizontal="right"/>
    </xf>
    <xf numFmtId="14" fontId="1" fillId="0" borderId="0" xfId="0" applyNumberFormat="1" applyFont="1" applyAlignment="1">
      <alignment horizontal="center"/>
    </xf>
    <xf numFmtId="0" fontId="148" fillId="0" borderId="0" xfId="0" applyFont="1" applyAlignment="1">
      <alignment horizontal="right" vertical="top"/>
    </xf>
    <xf numFmtId="0" fontId="21" fillId="0" borderId="32" xfId="0" applyFont="1" applyBorder="1" applyAlignment="1">
      <alignment horizontal="right"/>
    </xf>
    <xf numFmtId="0" fontId="1" fillId="0" borderId="0" xfId="0" applyFont="1" applyAlignment="1">
      <alignment vertical="top" wrapText="1"/>
    </xf>
    <xf numFmtId="0" fontId="148" fillId="0" borderId="35" xfId="0" applyFont="1" applyBorder="1"/>
    <xf numFmtId="0" fontId="1" fillId="0" borderId="35" xfId="0" applyFont="1" applyBorder="1"/>
    <xf numFmtId="0" fontId="1" fillId="0" borderId="47" xfId="0" applyFont="1" applyBorder="1"/>
    <xf numFmtId="0" fontId="21" fillId="0" borderId="46" xfId="0" applyFont="1" applyBorder="1" applyAlignment="1">
      <alignment horizontal="right"/>
    </xf>
    <xf numFmtId="0" fontId="148" fillId="0" borderId="46" xfId="0" applyFont="1" applyBorder="1" applyAlignment="1">
      <alignment horizontal="right"/>
    </xf>
    <xf numFmtId="0" fontId="1" fillId="0" borderId="32" xfId="1561" applyFont="1" applyFill="1" applyBorder="1"/>
    <xf numFmtId="0" fontId="148" fillId="0" borderId="0" xfId="0" applyFont="1" applyAlignment="1">
      <alignment vertical="top"/>
    </xf>
    <xf numFmtId="179" fontId="1" fillId="0" borderId="0" xfId="0" applyNumberFormat="1" applyFont="1"/>
    <xf numFmtId="10" fontId="1" fillId="0" borderId="0" xfId="1582" applyNumberFormat="1" applyFont="1" applyFill="1" applyBorder="1"/>
    <xf numFmtId="0" fontId="148" fillId="0" borderId="0" xfId="0" applyFont="1" applyAlignment="1">
      <alignment horizontal="right"/>
    </xf>
    <xf numFmtId="0" fontId="1" fillId="0" borderId="31" xfId="0" applyFont="1" applyBorder="1"/>
    <xf numFmtId="0" fontId="1" fillId="0" borderId="85" xfId="0" applyFont="1" applyBorder="1"/>
    <xf numFmtId="0" fontId="1" fillId="0" borderId="88" xfId="0" applyFont="1" applyBorder="1"/>
    <xf numFmtId="0" fontId="1" fillId="0" borderId="0" xfId="0" applyFont="1" applyAlignment="1">
      <alignment wrapText="1"/>
    </xf>
    <xf numFmtId="0" fontId="148" fillId="0" borderId="24" xfId="0" applyFont="1" applyBorder="1" applyAlignment="1">
      <alignment horizontal="left" wrapText="1"/>
    </xf>
    <xf numFmtId="0" fontId="148" fillId="0" borderId="43" xfId="0" applyFont="1" applyBorder="1" applyAlignment="1">
      <alignment horizontal="center"/>
    </xf>
    <xf numFmtId="0" fontId="148" fillId="0" borderId="65" xfId="0" applyFont="1" applyBorder="1" applyAlignment="1">
      <alignment horizontal="center"/>
    </xf>
    <xf numFmtId="0" fontId="148" fillId="0" borderId="0" xfId="0" applyFont="1"/>
    <xf numFmtId="179" fontId="1" fillId="0" borderId="0" xfId="1560" quotePrefix="1" applyNumberFormat="1" applyFont="1" applyFill="1" applyBorder="1"/>
    <xf numFmtId="0" fontId="1" fillId="0" borderId="0" xfId="0" applyFont="1" applyAlignment="1">
      <alignment horizontal="left" wrapText="1"/>
    </xf>
    <xf numFmtId="9" fontId="1" fillId="0" borderId="0" xfId="1582" applyFont="1" applyFill="1" applyBorder="1" applyAlignment="1">
      <alignment wrapText="1"/>
    </xf>
    <xf numFmtId="9" fontId="148" fillId="0" borderId="0" xfId="1582" applyFont="1" applyFill="1" applyBorder="1"/>
    <xf numFmtId="9" fontId="1" fillId="0" borderId="0" xfId="0" applyNumberFormat="1" applyFont="1"/>
    <xf numFmtId="9" fontId="1" fillId="0" borderId="0" xfId="1582" applyFont="1" applyFill="1" applyBorder="1"/>
    <xf numFmtId="0" fontId="160" fillId="0" borderId="0" xfId="0" applyFont="1"/>
    <xf numFmtId="10" fontId="148" fillId="0" borderId="0" xfId="1582" applyNumberFormat="1" applyFont="1" applyFill="1" applyBorder="1"/>
    <xf numFmtId="0" fontId="211" fillId="0" borderId="0" xfId="0" applyFont="1"/>
    <xf numFmtId="10" fontId="1" fillId="0" borderId="0" xfId="0" applyNumberFormat="1" applyFont="1"/>
    <xf numFmtId="0" fontId="20" fillId="0" borderId="0" xfId="1575" applyFont="1"/>
    <xf numFmtId="0" fontId="20" fillId="0" borderId="0" xfId="1576" applyFont="1"/>
    <xf numFmtId="0" fontId="20" fillId="0" borderId="0" xfId="1577" applyFont="1"/>
    <xf numFmtId="0" fontId="20" fillId="0" borderId="0" xfId="1578" applyFont="1" applyAlignment="1">
      <alignment horizontal="left" indent="3"/>
    </xf>
    <xf numFmtId="0" fontId="20" fillId="0" borderId="0" xfId="1563" applyFont="1"/>
    <xf numFmtId="0" fontId="20" fillId="0" borderId="0" xfId="1579" applyFont="1"/>
    <xf numFmtId="0" fontId="20" fillId="0" borderId="0" xfId="1580" applyFont="1"/>
    <xf numFmtId="0" fontId="20" fillId="0" borderId="0" xfId="1581" applyFont="1"/>
    <xf numFmtId="0" fontId="21" fillId="0" borderId="0" xfId="1581" applyFont="1"/>
    <xf numFmtId="179" fontId="160" fillId="0" borderId="0" xfId="0" applyNumberFormat="1" applyFont="1"/>
    <xf numFmtId="0" fontId="110" fillId="0" borderId="0" xfId="1583" applyFont="1"/>
    <xf numFmtId="0" fontId="20" fillId="0" borderId="0" xfId="1603" applyFont="1" applyAlignment="1">
      <alignment horizontal="left" indent="2"/>
    </xf>
    <xf numFmtId="0" fontId="20" fillId="0" borderId="0" xfId="1599" applyFont="1" applyAlignment="1">
      <alignment horizontal="left" indent="2"/>
    </xf>
    <xf numFmtId="0" fontId="20" fillId="0" borderId="0" xfId="611" applyFont="1" applyAlignment="1">
      <alignment horizontal="left" indent="2"/>
    </xf>
    <xf numFmtId="0" fontId="20" fillId="0" borderId="0" xfId="1604" applyFont="1"/>
    <xf numFmtId="0" fontId="110" fillId="0" borderId="0" xfId="1601" applyFont="1"/>
    <xf numFmtId="0" fontId="20" fillId="0" borderId="0" xfId="1605" applyFont="1"/>
    <xf numFmtId="0" fontId="20" fillId="0" borderId="0" xfId="1605" applyFont="1" applyAlignment="1">
      <alignment horizontal="left"/>
    </xf>
    <xf numFmtId="0" fontId="20" fillId="0" borderId="0" xfId="1606" applyFont="1" applyAlignment="1">
      <alignment horizontal="left" indent="2"/>
    </xf>
    <xf numFmtId="0" fontId="110" fillId="0" borderId="0" xfId="1607" applyFont="1"/>
    <xf numFmtId="0" fontId="20" fillId="0" borderId="0" xfId="1608" applyFont="1"/>
    <xf numFmtId="0" fontId="20" fillId="0" borderId="0" xfId="1609" applyFont="1" applyAlignment="1">
      <alignment horizontal="left" indent="2"/>
    </xf>
    <xf numFmtId="0" fontId="20" fillId="0" borderId="0" xfId="1610" applyFont="1"/>
    <xf numFmtId="0" fontId="20" fillId="0" borderId="0" xfId="1611" applyFont="1"/>
    <xf numFmtId="0" fontId="20" fillId="0" borderId="0" xfId="1612" applyFont="1"/>
    <xf numFmtId="0" fontId="148" fillId="0" borderId="0" xfId="0" applyFont="1" applyAlignment="1">
      <alignment horizontal="center" wrapText="1"/>
    </xf>
    <xf numFmtId="0" fontId="148" fillId="0" borderId="0" xfId="0" applyFont="1" applyAlignment="1">
      <alignment horizontal="center"/>
    </xf>
    <xf numFmtId="0" fontId="20" fillId="0" borderId="0" xfId="1562"/>
    <xf numFmtId="0" fontId="20" fillId="0" borderId="0" xfId="1574"/>
    <xf numFmtId="184" fontId="1" fillId="0" borderId="0" xfId="1560" applyNumberFormat="1" applyFont="1" applyFill="1" applyBorder="1"/>
    <xf numFmtId="0" fontId="168" fillId="0" borderId="0" xfId="0" applyFont="1"/>
    <xf numFmtId="0" fontId="20" fillId="0" borderId="0" xfId="1600"/>
    <xf numFmtId="0" fontId="20" fillId="0" borderId="0" xfId="1600" applyAlignment="1">
      <alignment horizontal="left" indent="2"/>
    </xf>
    <xf numFmtId="43" fontId="1" fillId="0" borderId="0" xfId="1560" applyFont="1" applyFill="1" applyBorder="1"/>
    <xf numFmtId="0" fontId="1" fillId="0" borderId="0" xfId="0" applyFont="1" applyAlignment="1">
      <alignment horizontal="right"/>
    </xf>
    <xf numFmtId="0" fontId="160" fillId="0" borderId="0" xfId="0" applyFont="1" applyAlignment="1">
      <alignment horizontal="right"/>
    </xf>
    <xf numFmtId="0" fontId="1" fillId="0" borderId="0" xfId="0" applyFont="1" applyAlignment="1">
      <alignment horizontal="left"/>
    </xf>
    <xf numFmtId="0" fontId="1" fillId="0" borderId="0" xfId="0" applyFont="1" applyAlignment="1">
      <alignment horizontal="left" indent="2"/>
    </xf>
    <xf numFmtId="0" fontId="1" fillId="0" borderId="0" xfId="0" applyFont="1" applyAlignment="1">
      <alignment horizontal="left" indent="3"/>
    </xf>
    <xf numFmtId="10" fontId="1" fillId="0" borderId="0" xfId="1582" applyNumberFormat="1" applyFont="1" applyFill="1" applyBorder="1" applyAlignment="1">
      <alignment horizontal="center"/>
    </xf>
    <xf numFmtId="9" fontId="148" fillId="0" borderId="0" xfId="0" applyNumberFormat="1" applyFont="1" applyAlignment="1">
      <alignment horizontal="center"/>
    </xf>
    <xf numFmtId="179" fontId="148" fillId="0" borderId="0" xfId="0" applyNumberFormat="1" applyFont="1"/>
    <xf numFmtId="179" fontId="160" fillId="0" borderId="0" xfId="1560" applyNumberFormat="1" applyFont="1" applyFill="1" applyBorder="1"/>
    <xf numFmtId="0" fontId="160" fillId="0" borderId="0" xfId="1560" applyNumberFormat="1" applyFont="1" applyFill="1" applyBorder="1" applyAlignment="1">
      <alignment horizontal="center"/>
    </xf>
    <xf numFmtId="179" fontId="160" fillId="0" borderId="0" xfId="1560" applyNumberFormat="1" applyFont="1" applyFill="1" applyBorder="1" applyAlignment="1">
      <alignment horizontal="left"/>
    </xf>
    <xf numFmtId="179" fontId="1" fillId="0" borderId="0" xfId="1560" applyNumberFormat="1" applyFont="1" applyFill="1" applyBorder="1" applyProtection="1">
      <protection locked="0"/>
    </xf>
    <xf numFmtId="179" fontId="148" fillId="0" borderId="0" xfId="1560" applyNumberFormat="1" applyFont="1" applyFill="1" applyBorder="1" applyAlignment="1">
      <alignment horizontal="center"/>
    </xf>
    <xf numFmtId="0" fontId="148" fillId="0" borderId="0" xfId="0" applyFont="1" applyAlignment="1">
      <alignment horizontal="left" vertical="top"/>
    </xf>
    <xf numFmtId="0" fontId="148" fillId="0" borderId="0" xfId="0" applyFont="1" applyAlignment="1">
      <alignment vertical="top" wrapText="1"/>
    </xf>
    <xf numFmtId="14" fontId="1" fillId="0" borderId="0" xfId="0" applyNumberFormat="1" applyFont="1" applyAlignment="1">
      <alignment horizontal="right"/>
    </xf>
    <xf numFmtId="0" fontId="1" fillId="0" borderId="0" xfId="1561" applyFont="1" applyFill="1" applyBorder="1" applyAlignment="1">
      <alignment vertical="top"/>
    </xf>
    <xf numFmtId="10" fontId="21" fillId="0" borderId="0" xfId="1582" applyNumberFormat="1" applyFont="1" applyFill="1" applyBorder="1" applyAlignment="1"/>
    <xf numFmtId="0" fontId="1" fillId="0" borderId="0" xfId="1561" applyFont="1" applyFill="1" applyBorder="1"/>
    <xf numFmtId="0" fontId="148" fillId="0" borderId="0" xfId="0" applyFont="1" applyAlignment="1" applyProtection="1">
      <alignment horizontal="center"/>
      <protection locked="0"/>
    </xf>
    <xf numFmtId="181" fontId="1" fillId="0" borderId="0" xfId="1560" applyNumberFormat="1" applyFont="1" applyFill="1" applyBorder="1" applyProtection="1">
      <protection locked="0"/>
    </xf>
    <xf numFmtId="1" fontId="148" fillId="0" borderId="0" xfId="0" applyNumberFormat="1" applyFont="1"/>
    <xf numFmtId="0" fontId="168" fillId="0" borderId="0" xfId="0" applyFont="1" applyAlignment="1">
      <alignment horizontal="center"/>
    </xf>
    <xf numFmtId="0" fontId="160" fillId="0" borderId="0" xfId="0" applyFont="1" applyAlignment="1">
      <alignment horizontal="center"/>
    </xf>
    <xf numFmtId="187" fontId="212" fillId="0" borderId="0" xfId="0" applyNumberFormat="1" applyFont="1"/>
    <xf numFmtId="0" fontId="1" fillId="0" borderId="0" xfId="0" applyFont="1" applyAlignment="1">
      <alignment horizontal="center" vertical="center" wrapText="1"/>
    </xf>
    <xf numFmtId="0" fontId="1" fillId="0" borderId="0" xfId="0" applyFont="1" applyAlignment="1">
      <alignment horizontal="left" indent="4"/>
    </xf>
    <xf numFmtId="187" fontId="212" fillId="0" borderId="0" xfId="2437" applyNumberFormat="1" applyFont="1" applyFill="1" applyBorder="1"/>
    <xf numFmtId="0" fontId="148" fillId="0" borderId="0" xfId="0" applyFont="1" applyAlignment="1">
      <alignment horizontal="left" indent="2"/>
    </xf>
    <xf numFmtId="43" fontId="1" fillId="0" borderId="0" xfId="0" applyNumberFormat="1" applyFont="1"/>
    <xf numFmtId="179" fontId="213" fillId="0" borderId="0" xfId="0" applyNumberFormat="1" applyFont="1"/>
    <xf numFmtId="0" fontId="213" fillId="0" borderId="0" xfId="0" applyFont="1"/>
    <xf numFmtId="179" fontId="112" fillId="0" borderId="0" xfId="0" applyNumberFormat="1" applyFont="1"/>
    <xf numFmtId="0" fontId="1" fillId="0" borderId="0" xfId="1561" applyFont="1" applyFill="1" applyBorder="1" applyAlignment="1">
      <alignment horizontal="left"/>
    </xf>
    <xf numFmtId="0" fontId="168" fillId="0" borderId="0" xfId="1561" applyFont="1" applyFill="1" applyBorder="1" applyAlignment="1">
      <alignment horizontal="center"/>
    </xf>
    <xf numFmtId="14" fontId="1" fillId="0" borderId="0" xfId="1560" applyNumberFormat="1" applyFont="1" applyFill="1" applyBorder="1"/>
    <xf numFmtId="0" fontId="20" fillId="0" borderId="0" xfId="1279" applyFont="1" applyAlignment="1">
      <alignment horizontal="center"/>
    </xf>
    <xf numFmtId="0" fontId="148" fillId="0" borderId="0" xfId="1279" applyFont="1" applyAlignment="1">
      <alignment horizontal="right"/>
    </xf>
    <xf numFmtId="0" fontId="20" fillId="0" borderId="0" xfId="0" applyFont="1" applyAlignment="1">
      <alignment horizontal="center" vertical="center" wrapText="1"/>
    </xf>
    <xf numFmtId="0" fontId="148" fillId="0" borderId="0" xfId="0" applyFont="1" applyAlignment="1">
      <alignment horizontal="left" vertical="top" wrapText="1"/>
    </xf>
    <xf numFmtId="37" fontId="21" fillId="0" borderId="0" xfId="1619" applyNumberFormat="1" applyFont="1" applyAlignment="1">
      <alignment horizontal="center"/>
    </xf>
    <xf numFmtId="0" fontId="20" fillId="0" borderId="0" xfId="1619"/>
    <xf numFmtId="0" fontId="214" fillId="0" borderId="0" xfId="0" applyFont="1" applyAlignment="1">
      <alignment horizontal="center"/>
    </xf>
    <xf numFmtId="179" fontId="1" fillId="0" borderId="0" xfId="1560" applyNumberFormat="1" applyFont="1" applyFill="1" applyBorder="1" applyAlignment="1"/>
    <xf numFmtId="0" fontId="148" fillId="0" borderId="0" xfId="0" applyFont="1" applyAlignment="1">
      <alignment horizontal="left" indent="5"/>
    </xf>
    <xf numFmtId="0" fontId="168" fillId="0" borderId="0" xfId="0" applyFont="1" applyAlignment="1">
      <alignment horizontal="left" indent="1"/>
    </xf>
    <xf numFmtId="0" fontId="148" fillId="0" borderId="0" xfId="0" applyFont="1" applyAlignment="1">
      <alignment horizontal="left" indent="4"/>
    </xf>
    <xf numFmtId="37" fontId="1" fillId="0" borderId="0" xfId="0" applyNumberFormat="1" applyFont="1"/>
    <xf numFmtId="0" fontId="148" fillId="0" borderId="0" xfId="1561" applyFont="1" applyFill="1" applyBorder="1"/>
    <xf numFmtId="0" fontId="110" fillId="0" borderId="0" xfId="1561" applyFont="1" applyFill="1" applyBorder="1"/>
    <xf numFmtId="179" fontId="1" fillId="0" borderId="0" xfId="1560" applyNumberFormat="1" applyFont="1" applyFill="1" applyBorder="1" applyAlignment="1">
      <alignment horizontal="left"/>
    </xf>
    <xf numFmtId="10" fontId="1" fillId="0" borderId="0" xfId="1582" applyNumberFormat="1" applyFont="1" applyFill="1" applyBorder="1" applyAlignment="1">
      <alignment horizontal="left"/>
    </xf>
    <xf numFmtId="0" fontId="207" fillId="0" borderId="0" xfId="0" applyFont="1" applyAlignment="1">
      <alignment horizontal="left"/>
    </xf>
    <xf numFmtId="14" fontId="20" fillId="0" borderId="0" xfId="0" applyNumberFormat="1" applyFont="1" applyAlignment="1">
      <alignment horizontal="center" vertical="center"/>
    </xf>
    <xf numFmtId="3" fontId="20" fillId="0" borderId="0" xfId="0" applyNumberFormat="1" applyFont="1" applyAlignment="1">
      <alignment horizontal="center" vertical="center"/>
    </xf>
    <xf numFmtId="0" fontId="20" fillId="0" borderId="0" xfId="0" applyFont="1" applyAlignment="1">
      <alignment horizontal="center" vertical="center"/>
    </xf>
    <xf numFmtId="3" fontId="160" fillId="0" borderId="0" xfId="0" applyNumberFormat="1" applyFont="1" applyAlignment="1">
      <alignment horizontal="center" vertical="center"/>
    </xf>
    <xf numFmtId="3" fontId="160" fillId="0" borderId="0" xfId="0" applyNumberFormat="1" applyFont="1" applyAlignment="1">
      <alignment horizontal="center" vertical="center" wrapText="1"/>
    </xf>
    <xf numFmtId="0" fontId="215" fillId="0" borderId="0" xfId="0" applyFont="1" applyAlignment="1">
      <alignment horizontal="right"/>
    </xf>
    <xf numFmtId="0" fontId="148" fillId="0" borderId="0" xfId="0" applyFont="1" applyAlignment="1">
      <alignment horizontal="left" indent="6"/>
    </xf>
    <xf numFmtId="0" fontId="213" fillId="0" borderId="0" xfId="0" applyFont="1" applyAlignment="1">
      <alignment horizontal="center" wrapText="1"/>
    </xf>
    <xf numFmtId="0" fontId="216" fillId="0" borderId="0" xfId="0" applyFont="1"/>
    <xf numFmtId="0" fontId="20" fillId="0" borderId="0" xfId="1561" applyFont="1" applyFill="1" applyBorder="1" applyAlignment="1">
      <alignment horizontal="right" vertical="top" wrapText="1"/>
    </xf>
    <xf numFmtId="0" fontId="110" fillId="0" borderId="0" xfId="1561" applyFont="1" applyFill="1" applyBorder="1" applyAlignment="1"/>
    <xf numFmtId="0" fontId="1" fillId="0" borderId="0" xfId="1561" applyFont="1" applyFill="1" applyBorder="1" applyAlignment="1">
      <alignment horizontal="left" vertical="top"/>
    </xf>
    <xf numFmtId="0" fontId="1" fillId="0" borderId="0" xfId="1561" applyFont="1" applyFill="1" applyBorder="1" applyAlignment="1">
      <alignment vertical="top" wrapText="1"/>
    </xf>
    <xf numFmtId="9" fontId="20" fillId="0" borderId="0" xfId="1582" applyFont="1" applyFill="1" applyBorder="1"/>
    <xf numFmtId="10" fontId="20" fillId="0" borderId="0" xfId="1582" applyNumberFormat="1" applyFont="1" applyFill="1" applyBorder="1"/>
    <xf numFmtId="182" fontId="20" fillId="0" borderId="0" xfId="1582" applyNumberFormat="1" applyFont="1" applyFill="1" applyBorder="1"/>
    <xf numFmtId="0" fontId="21" fillId="0" borderId="0" xfId="0" applyFont="1"/>
    <xf numFmtId="0" fontId="20" fillId="0" borderId="0" xfId="0" applyFont="1" applyAlignment="1">
      <alignment horizontal="center"/>
    </xf>
    <xf numFmtId="0" fontId="112" fillId="0" borderId="0" xfId="0" applyFont="1"/>
    <xf numFmtId="0" fontId="25" fillId="0" borderId="0" xfId="0" applyFont="1"/>
    <xf numFmtId="0" fontId="215" fillId="0" borderId="0" xfId="0" applyFont="1"/>
    <xf numFmtId="182" fontId="20" fillId="0" borderId="0" xfId="0" applyNumberFormat="1" applyFont="1"/>
    <xf numFmtId="0" fontId="21" fillId="0" borderId="0" xfId="1615" applyFont="1"/>
    <xf numFmtId="0" fontId="20" fillId="0" borderId="0" xfId="1617" applyAlignment="1">
      <alignment horizontal="left" indent="2"/>
    </xf>
    <xf numFmtId="0" fontId="20" fillId="0" borderId="0" xfId="1617" applyAlignment="1">
      <alignment horizontal="left" indent="5"/>
    </xf>
    <xf numFmtId="0" fontId="1" fillId="0" borderId="0" xfId="0" applyFont="1" applyAlignment="1">
      <alignment horizontal="left" indent="5"/>
    </xf>
    <xf numFmtId="0" fontId="20" fillId="0" borderId="0" xfId="1621" applyAlignment="1">
      <alignment horizontal="left" indent="2"/>
    </xf>
    <xf numFmtId="0" fontId="20" fillId="0" borderId="0" xfId="1621" applyAlignment="1">
      <alignment horizontal="left" indent="5"/>
    </xf>
    <xf numFmtId="0" fontId="20" fillId="0" borderId="0" xfId="1623" applyAlignment="1">
      <alignment horizontal="left" indent="2"/>
    </xf>
    <xf numFmtId="0" fontId="21" fillId="0" borderId="0" xfId="1623" applyFont="1" applyAlignment="1">
      <alignment horizontal="left" indent="5"/>
    </xf>
    <xf numFmtId="0" fontId="20" fillId="0" borderId="0" xfId="1625" applyAlignment="1">
      <alignment horizontal="left" indent="2"/>
    </xf>
    <xf numFmtId="0" fontId="21" fillId="0" borderId="0" xfId="1628" applyFont="1" applyAlignment="1">
      <alignment horizontal="left" indent="5"/>
    </xf>
    <xf numFmtId="0" fontId="148" fillId="0" borderId="0" xfId="0" applyFont="1" applyAlignment="1">
      <alignment horizontal="left" indent="1"/>
    </xf>
    <xf numFmtId="1" fontId="1" fillId="0" borderId="0" xfId="0" applyNumberFormat="1" applyFont="1"/>
    <xf numFmtId="10" fontId="20" fillId="0" borderId="0" xfId="1582" quotePrefix="1" applyNumberFormat="1" applyFont="1" applyFill="1" applyBorder="1"/>
    <xf numFmtId="179" fontId="20" fillId="0" borderId="0" xfId="1560" applyNumberFormat="1" applyFont="1" applyFill="1" applyBorder="1"/>
    <xf numFmtId="179" fontId="20" fillId="0" borderId="0" xfId="1560" quotePrefix="1" applyNumberFormat="1" applyFont="1" applyFill="1" applyBorder="1"/>
    <xf numFmtId="179" fontId="1" fillId="0" borderId="0" xfId="0" applyNumberFormat="1" applyFont="1" applyAlignment="1">
      <alignment horizontal="center"/>
    </xf>
    <xf numFmtId="180" fontId="1" fillId="0" borderId="0" xfId="1560" applyNumberFormat="1" applyFont="1" applyFill="1" applyBorder="1"/>
    <xf numFmtId="0" fontId="18" fillId="75" borderId="32" xfId="0" applyFont="1" applyFill="1" applyBorder="1" applyAlignment="1">
      <alignment horizontal="right"/>
    </xf>
    <xf numFmtId="0" fontId="18" fillId="75" borderId="0" xfId="0" applyFont="1" applyFill="1" applyAlignment="1">
      <alignment horizontal="right"/>
    </xf>
    <xf numFmtId="0" fontId="115" fillId="74" borderId="38" xfId="1279" applyFont="1" applyFill="1" applyBorder="1" applyAlignment="1">
      <alignment horizontal="center"/>
    </xf>
    <xf numFmtId="0" fontId="115" fillId="74" borderId="34" xfId="1279" applyFont="1" applyFill="1" applyBorder="1" applyAlignment="1">
      <alignment horizontal="center"/>
    </xf>
    <xf numFmtId="0" fontId="115" fillId="74" borderId="39" xfId="1279" applyFont="1" applyFill="1" applyBorder="1" applyAlignment="1">
      <alignment horizontal="center"/>
    </xf>
    <xf numFmtId="0" fontId="103" fillId="71" borderId="0" xfId="1561" applyFill="1" applyBorder="1" applyAlignment="1">
      <alignment horizontal="center"/>
    </xf>
    <xf numFmtId="0" fontId="103" fillId="71" borderId="40" xfId="1561" applyFill="1" applyBorder="1" applyAlignment="1">
      <alignment horizontal="center"/>
    </xf>
    <xf numFmtId="0" fontId="113" fillId="75" borderId="32" xfId="0" applyFont="1" applyFill="1" applyBorder="1" applyAlignment="1">
      <alignment horizontal="right"/>
    </xf>
    <xf numFmtId="0" fontId="113" fillId="75" borderId="0" xfId="0" applyFont="1" applyFill="1" applyAlignment="1">
      <alignment horizontal="right"/>
    </xf>
    <xf numFmtId="0" fontId="18" fillId="75" borderId="32" xfId="0" applyFont="1" applyFill="1" applyBorder="1" applyAlignment="1">
      <alignment horizontal="center" wrapText="1"/>
    </xf>
    <xf numFmtId="0" fontId="18" fillId="75" borderId="0" xfId="0" applyFont="1" applyFill="1" applyAlignment="1">
      <alignment horizontal="center" wrapText="1"/>
    </xf>
    <xf numFmtId="0" fontId="18" fillId="75" borderId="34" xfId="0" applyFont="1" applyFill="1" applyBorder="1" applyAlignment="1">
      <alignment horizontal="center"/>
    </xf>
    <xf numFmtId="0" fontId="18" fillId="75" borderId="39" xfId="0" applyFont="1" applyFill="1" applyBorder="1" applyAlignment="1">
      <alignment horizontal="center"/>
    </xf>
    <xf numFmtId="0" fontId="18" fillId="75" borderId="32" xfId="0" applyFont="1" applyFill="1" applyBorder="1" applyAlignment="1">
      <alignment horizontal="right" wrapText="1"/>
    </xf>
    <xf numFmtId="0" fontId="18" fillId="75" borderId="0" xfId="0" applyFont="1" applyFill="1" applyAlignment="1">
      <alignment horizontal="right" wrapText="1"/>
    </xf>
    <xf numFmtId="0" fontId="18" fillId="75" borderId="0" xfId="0" applyFont="1" applyFill="1" applyAlignment="1">
      <alignment horizontal="left" vertical="top" wrapText="1"/>
    </xf>
    <xf numFmtId="0" fontId="3" fillId="75" borderId="0" xfId="0" applyFont="1" applyFill="1" applyAlignment="1">
      <alignment horizontal="left" vertical="top" wrapText="1"/>
    </xf>
    <xf numFmtId="0" fontId="18" fillId="75" borderId="41" xfId="0" applyFont="1" applyFill="1" applyBorder="1" applyAlignment="1">
      <alignment horizontal="right"/>
    </xf>
    <xf numFmtId="0" fontId="18" fillId="75" borderId="35" xfId="0" applyFont="1" applyFill="1" applyBorder="1" applyAlignment="1">
      <alignment horizontal="right"/>
    </xf>
    <xf numFmtId="0" fontId="173" fillId="75" borderId="0" xfId="1574" applyFont="1" applyFill="1" applyAlignment="1">
      <alignment horizontal="left" indent="2"/>
    </xf>
    <xf numFmtId="0" fontId="194" fillId="75" borderId="0" xfId="0" applyFont="1" applyFill="1" applyAlignment="1">
      <alignment horizontal="center"/>
    </xf>
    <xf numFmtId="0" fontId="190" fillId="71" borderId="34" xfId="0" applyFont="1" applyFill="1" applyBorder="1" applyAlignment="1">
      <alignment horizontal="center" wrapText="1"/>
    </xf>
    <xf numFmtId="0" fontId="190" fillId="71" borderId="0" xfId="0" applyFont="1" applyFill="1" applyAlignment="1">
      <alignment horizontal="center" wrapText="1"/>
    </xf>
    <xf numFmtId="0" fontId="189" fillId="75" borderId="32" xfId="0" applyFont="1" applyFill="1" applyBorder="1" applyAlignment="1">
      <alignment horizontal="center" wrapText="1"/>
    </xf>
    <xf numFmtId="0" fontId="189" fillId="75" borderId="0" xfId="0" applyFont="1" applyFill="1" applyAlignment="1">
      <alignment horizontal="center" wrapText="1"/>
    </xf>
    <xf numFmtId="0" fontId="189" fillId="71" borderId="0" xfId="0" applyFont="1" applyFill="1" applyAlignment="1">
      <alignment horizontal="left"/>
    </xf>
    <xf numFmtId="0" fontId="149" fillId="0" borderId="0" xfId="0" applyFont="1" applyAlignment="1">
      <alignment horizontal="left" vertical="top" wrapText="1"/>
    </xf>
    <xf numFmtId="0" fontId="105" fillId="0" borderId="0" xfId="0" applyFont="1" applyAlignment="1">
      <alignment horizontal="center" vertical="center" wrapText="1"/>
    </xf>
    <xf numFmtId="0" fontId="185" fillId="0" borderId="34" xfId="0" applyFont="1" applyBorder="1" applyAlignment="1">
      <alignment horizontal="center" vertical="center" wrapText="1"/>
    </xf>
    <xf numFmtId="0" fontId="148" fillId="0" borderId="0" xfId="0" applyFont="1" applyAlignment="1">
      <alignment horizontal="center" wrapText="1"/>
    </xf>
    <xf numFmtId="0" fontId="45" fillId="0" borderId="0" xfId="0" applyFont="1" applyAlignment="1">
      <alignment horizontal="center" vertical="center"/>
    </xf>
    <xf numFmtId="0" fontId="129" fillId="0" borderId="0" xfId="0" applyFont="1" applyAlignment="1" applyProtection="1">
      <alignment horizontal="center"/>
      <protection locked="0"/>
    </xf>
    <xf numFmtId="0" fontId="128" fillId="82" borderId="0" xfId="0" applyFont="1" applyFill="1" applyAlignment="1" applyProtection="1">
      <alignment horizontal="center"/>
      <protection locked="0"/>
    </xf>
    <xf numFmtId="0" fontId="141" fillId="0" borderId="0" xfId="0" applyFont="1" applyAlignment="1" applyProtection="1">
      <alignment horizontal="center"/>
      <protection locked="0"/>
    </xf>
    <xf numFmtId="0" fontId="104" fillId="0" borderId="38" xfId="1279" applyFont="1" applyBorder="1" applyAlignment="1" applyProtection="1">
      <alignment horizontal="center"/>
      <protection locked="0"/>
    </xf>
    <xf numFmtId="0" fontId="104" fillId="0" borderId="34" xfId="1279" applyFont="1" applyBorder="1" applyAlignment="1" applyProtection="1">
      <alignment horizontal="center"/>
      <protection locked="0"/>
    </xf>
    <xf numFmtId="0" fontId="104" fillId="0" borderId="39" xfId="1279" applyFont="1" applyBorder="1" applyAlignment="1" applyProtection="1">
      <alignment horizontal="center"/>
      <protection locked="0"/>
    </xf>
    <xf numFmtId="0" fontId="98" fillId="0" borderId="0" xfId="0" applyFont="1" applyAlignment="1" applyProtection="1">
      <alignment horizontal="center" vertical="top" wrapText="1"/>
      <protection locked="0"/>
    </xf>
    <xf numFmtId="0" fontId="98" fillId="0" borderId="40" xfId="0" applyFont="1" applyBorder="1" applyAlignment="1" applyProtection="1">
      <alignment horizontal="center" vertical="top" wrapText="1"/>
      <protection locked="0"/>
    </xf>
    <xf numFmtId="0" fontId="98" fillId="0" borderId="35" xfId="0" applyFont="1" applyBorder="1" applyAlignment="1" applyProtection="1">
      <alignment horizontal="center" vertical="top" wrapText="1"/>
      <protection locked="0"/>
    </xf>
    <xf numFmtId="0" fontId="98" fillId="0" borderId="42" xfId="0" applyFont="1" applyBorder="1" applyAlignment="1" applyProtection="1">
      <alignment horizontal="center" vertical="top" wrapText="1"/>
      <protection locked="0"/>
    </xf>
    <xf numFmtId="179" fontId="128" fillId="0" borderId="0" xfId="1560" applyNumberFormat="1" applyFont="1" applyFill="1" applyBorder="1" applyAlignment="1" applyProtection="1">
      <alignment horizontal="center"/>
      <protection locked="0"/>
    </xf>
    <xf numFmtId="0" fontId="104" fillId="0" borderId="44" xfId="1279" applyFont="1" applyBorder="1" applyAlignment="1">
      <alignment horizontal="center"/>
    </xf>
    <xf numFmtId="0" fontId="104" fillId="0" borderId="56" xfId="1279" applyFont="1" applyBorder="1" applyAlignment="1">
      <alignment horizontal="center"/>
    </xf>
    <xf numFmtId="0" fontId="104" fillId="0" borderId="45" xfId="1279" applyFont="1" applyBorder="1" applyAlignment="1">
      <alignment horizontal="center"/>
    </xf>
    <xf numFmtId="0" fontId="98" fillId="0" borderId="0" xfId="0" applyFont="1" applyAlignment="1">
      <alignment horizontal="left" vertical="top" wrapText="1"/>
    </xf>
    <xf numFmtId="0" fontId="197" fillId="0" borderId="0" xfId="0" applyFont="1" applyAlignment="1">
      <alignment horizontal="center" vertical="center"/>
    </xf>
    <xf numFmtId="0" fontId="172" fillId="0" borderId="0" xfId="0" applyFont="1" applyAlignment="1">
      <alignment horizontal="center" vertical="center" wrapText="1"/>
    </xf>
    <xf numFmtId="0" fontId="160" fillId="0" borderId="0" xfId="0" applyFont="1" applyAlignment="1">
      <alignment horizontal="center" vertical="top" wrapText="1"/>
    </xf>
    <xf numFmtId="0" fontId="104" fillId="0" borderId="32" xfId="1633" applyFont="1" applyBorder="1" applyAlignment="1">
      <alignment horizontal="center"/>
    </xf>
    <xf numFmtId="0" fontId="104" fillId="0" borderId="0" xfId="1633" applyFont="1" applyAlignment="1">
      <alignment horizontal="center"/>
    </xf>
    <xf numFmtId="0" fontId="104" fillId="0" borderId="40" xfId="1633" applyFont="1" applyBorder="1" applyAlignment="1">
      <alignment horizontal="center"/>
    </xf>
    <xf numFmtId="0" fontId="139" fillId="0" borderId="0" xfId="0" applyFont="1" applyAlignment="1">
      <alignment horizontal="center" vertical="center" wrapText="1"/>
    </xf>
    <xf numFmtId="0" fontId="129" fillId="0" borderId="0" xfId="0" applyFont="1" applyAlignment="1">
      <alignment horizontal="center" vertical="center" wrapText="1"/>
    </xf>
    <xf numFmtId="0" fontId="184" fillId="71" borderId="44" xfId="0" applyFont="1" applyFill="1" applyBorder="1" applyAlignment="1">
      <alignment horizontal="center" vertical="center" wrapText="1"/>
    </xf>
    <xf numFmtId="0" fontId="184" fillId="71" borderId="46" xfId="0" applyFont="1" applyFill="1" applyBorder="1" applyAlignment="1">
      <alignment horizontal="center" vertical="center" wrapText="1"/>
    </xf>
    <xf numFmtId="0" fontId="184" fillId="71" borderId="48" xfId="0" applyFont="1" applyFill="1" applyBorder="1" applyAlignment="1">
      <alignment horizontal="center" vertical="center" wrapText="1"/>
    </xf>
    <xf numFmtId="0" fontId="129" fillId="72" borderId="0" xfId="0" applyFont="1" applyFill="1" applyAlignment="1">
      <alignment horizontal="center"/>
    </xf>
    <xf numFmtId="0" fontId="127" fillId="0" borderId="0" xfId="0" applyFont="1" applyAlignment="1">
      <alignment horizontal="left" vertical="top" wrapText="1"/>
    </xf>
    <xf numFmtId="0" fontId="129" fillId="81" borderId="0" xfId="0" applyFont="1" applyFill="1" applyAlignment="1">
      <alignment horizontal="center"/>
    </xf>
    <xf numFmtId="179" fontId="129" fillId="0" borderId="0" xfId="1560" applyNumberFormat="1" applyFont="1" applyFill="1" applyBorder="1" applyAlignment="1">
      <alignment horizontal="center"/>
    </xf>
    <xf numFmtId="0" fontId="148" fillId="0" borderId="0" xfId="0" applyFont="1" applyAlignment="1">
      <alignment horizontal="center"/>
    </xf>
    <xf numFmtId="0" fontId="51" fillId="0" borderId="0" xfId="0" applyFont="1" applyAlignment="1">
      <alignment horizontal="center" vertical="center"/>
    </xf>
    <xf numFmtId="0" fontId="203" fillId="0" borderId="0" xfId="0" applyFont="1" applyAlignment="1">
      <alignment horizontal="center" vertical="center"/>
    </xf>
    <xf numFmtId="10" fontId="204" fillId="0" borderId="0" xfId="2421" applyNumberFormat="1" applyFont="1" applyAlignment="1">
      <alignment horizontal="center" vertical="center"/>
    </xf>
    <xf numFmtId="0" fontId="204" fillId="0" borderId="0" xfId="0" applyFont="1" applyAlignment="1">
      <alignment horizontal="center" vertical="center"/>
    </xf>
    <xf numFmtId="0" fontId="205" fillId="0" borderId="0" xfId="0" applyFont="1" applyAlignment="1">
      <alignment horizontal="center" vertical="center"/>
    </xf>
    <xf numFmtId="0" fontId="206" fillId="92" borderId="0" xfId="0" applyFont="1" applyFill="1" applyAlignment="1">
      <alignment horizontal="center"/>
    </xf>
    <xf numFmtId="0" fontId="183" fillId="0" borderId="0" xfId="0" applyFont="1" applyAlignment="1">
      <alignment horizontal="center" vertical="center"/>
    </xf>
    <xf numFmtId="0" fontId="204" fillId="92" borderId="0" xfId="0" applyFont="1" applyFill="1" applyAlignment="1">
      <alignment horizontal="center"/>
    </xf>
    <xf numFmtId="0" fontId="22" fillId="0" borderId="0" xfId="0" applyFont="1" applyAlignment="1">
      <alignment horizontal="center" vertical="center"/>
    </xf>
    <xf numFmtId="0" fontId="148" fillId="0" borderId="16" xfId="0" applyFont="1" applyBorder="1" applyAlignment="1">
      <alignment horizontal="center"/>
    </xf>
    <xf numFmtId="0" fontId="104" fillId="72" borderId="38" xfId="1633" applyFont="1" applyFill="1" applyBorder="1" applyAlignment="1">
      <alignment horizontal="center"/>
    </xf>
    <xf numFmtId="0" fontId="104" fillId="72" borderId="34" xfId="1633" applyFont="1" applyFill="1" applyBorder="1" applyAlignment="1">
      <alignment horizontal="center"/>
    </xf>
    <xf numFmtId="0" fontId="104" fillId="72" borderId="39" xfId="1633" applyFont="1" applyFill="1" applyBorder="1" applyAlignment="1">
      <alignment horizontal="center"/>
    </xf>
    <xf numFmtId="0" fontId="176" fillId="71" borderId="0" xfId="0" applyFont="1" applyFill="1" applyAlignment="1">
      <alignment horizontal="center" vertical="center" wrapText="1"/>
    </xf>
    <xf numFmtId="0" fontId="129" fillId="71" borderId="41" xfId="0" applyFont="1" applyFill="1" applyBorder="1" applyAlignment="1">
      <alignment horizontal="right"/>
    </xf>
    <xf numFmtId="0" fontId="129" fillId="71" borderId="35" xfId="0" applyFont="1" applyFill="1" applyBorder="1" applyAlignment="1">
      <alignment horizontal="right"/>
    </xf>
    <xf numFmtId="0" fontId="129" fillId="72" borderId="52" xfId="0" applyFont="1" applyFill="1" applyBorder="1" applyAlignment="1">
      <alignment horizontal="center" wrapText="1"/>
    </xf>
    <xf numFmtId="0" fontId="129" fillId="72" borderId="53" xfId="0" applyFont="1" applyFill="1" applyBorder="1" applyAlignment="1">
      <alignment horizontal="center" wrapText="1"/>
    </xf>
    <xf numFmtId="0" fontId="104" fillId="72" borderId="38" xfId="1279" applyFont="1" applyFill="1" applyBorder="1" applyAlignment="1">
      <alignment horizontal="center"/>
    </xf>
    <xf numFmtId="0" fontId="104" fillId="72" borderId="34" xfId="1279" applyFont="1" applyFill="1" applyBorder="1" applyAlignment="1">
      <alignment horizontal="center"/>
    </xf>
    <xf numFmtId="0" fontId="104" fillId="72" borderId="39" xfId="1279" applyFont="1" applyFill="1" applyBorder="1" applyAlignment="1">
      <alignment horizontal="center"/>
    </xf>
    <xf numFmtId="0" fontId="104" fillId="0" borderId="0" xfId="1279" applyFont="1" applyAlignment="1">
      <alignment horizontal="center"/>
    </xf>
    <xf numFmtId="0" fontId="168" fillId="0" borderId="0" xfId="1561" applyFont="1" applyFill="1" applyBorder="1" applyAlignment="1">
      <alignment horizontal="center"/>
    </xf>
    <xf numFmtId="0" fontId="148" fillId="0" borderId="0" xfId="0" applyFont="1" applyAlignment="1">
      <alignment horizontal="right"/>
    </xf>
    <xf numFmtId="0" fontId="148" fillId="0" borderId="0" xfId="0" applyFont="1" applyAlignment="1">
      <alignment horizontal="left" vertical="top" wrapText="1"/>
    </xf>
    <xf numFmtId="0" fontId="215" fillId="0" borderId="0" xfId="0" applyFont="1" applyAlignment="1">
      <alignment horizontal="left"/>
    </xf>
    <xf numFmtId="0" fontId="21" fillId="0" borderId="0" xfId="0" applyFont="1" applyAlignment="1">
      <alignment horizontal="center" vertical="center"/>
    </xf>
    <xf numFmtId="0" fontId="21" fillId="0" borderId="0" xfId="0" applyFont="1" applyAlignment="1">
      <alignment horizontal="center" vertical="center" wrapText="1"/>
    </xf>
    <xf numFmtId="0" fontId="104" fillId="72" borderId="44" xfId="1279" applyFont="1" applyFill="1" applyBorder="1" applyAlignment="1">
      <alignment horizontal="center"/>
    </xf>
    <xf numFmtId="0" fontId="104" fillId="72" borderId="56" xfId="1279" applyFont="1" applyFill="1" applyBorder="1" applyAlignment="1">
      <alignment horizontal="center"/>
    </xf>
    <xf numFmtId="0" fontId="104" fillId="72" borderId="45" xfId="1279" applyFont="1" applyFill="1" applyBorder="1" applyAlignment="1">
      <alignment horizontal="center"/>
    </xf>
    <xf numFmtId="0" fontId="129" fillId="71" borderId="50" xfId="0" applyFont="1" applyFill="1" applyBorder="1" applyAlignment="1">
      <alignment horizontal="right"/>
    </xf>
    <xf numFmtId="0" fontId="179" fillId="72" borderId="62" xfId="0" applyFont="1" applyFill="1" applyBorder="1" applyAlignment="1">
      <alignment horizontal="center"/>
    </xf>
    <xf numFmtId="0" fontId="179" fillId="72" borderId="16" xfId="0" applyFont="1" applyFill="1" applyBorder="1" applyAlignment="1">
      <alignment horizontal="center"/>
    </xf>
    <xf numFmtId="0" fontId="179" fillId="72" borderId="63" xfId="0" applyFont="1" applyFill="1" applyBorder="1" applyAlignment="1">
      <alignment horizontal="center"/>
    </xf>
    <xf numFmtId="14" fontId="128" fillId="70" borderId="56" xfId="0" applyNumberFormat="1" applyFont="1" applyFill="1" applyBorder="1" applyAlignment="1">
      <alignment horizontal="center"/>
    </xf>
    <xf numFmtId="0" fontId="171" fillId="70" borderId="56" xfId="0" applyFont="1" applyFill="1" applyBorder="1" applyAlignment="1">
      <alignment horizontal="left" vertical="center"/>
    </xf>
    <xf numFmtId="0" fontId="171" fillId="70" borderId="45" xfId="0" applyFont="1" applyFill="1" applyBorder="1" applyAlignment="1">
      <alignment horizontal="left" vertical="center"/>
    </xf>
    <xf numFmtId="0" fontId="171" fillId="70" borderId="0" xfId="0" applyFont="1" applyFill="1" applyAlignment="1">
      <alignment horizontal="left" vertical="center"/>
    </xf>
    <xf numFmtId="0" fontId="171" fillId="70" borderId="47" xfId="0" applyFont="1" applyFill="1" applyBorder="1" applyAlignment="1">
      <alignment horizontal="left" vertical="center"/>
    </xf>
    <xf numFmtId="0" fontId="171" fillId="70" borderId="31" xfId="0" applyFont="1" applyFill="1" applyBorder="1" applyAlignment="1">
      <alignment horizontal="left" vertical="center"/>
    </xf>
    <xf numFmtId="0" fontId="171" fillId="70" borderId="49" xfId="0" applyFont="1" applyFill="1" applyBorder="1" applyAlignment="1">
      <alignment horizontal="left" vertical="center"/>
    </xf>
    <xf numFmtId="0" fontId="128" fillId="70" borderId="0" xfId="0" applyFont="1" applyFill="1" applyAlignment="1">
      <alignment horizontal="center"/>
    </xf>
    <xf numFmtId="0" fontId="128" fillId="70" borderId="0" xfId="0" applyFont="1" applyFill="1" applyAlignment="1">
      <alignment horizontal="center" vertical="center"/>
    </xf>
    <xf numFmtId="0" fontId="128" fillId="70" borderId="31" xfId="1561" applyFont="1" applyFill="1" applyBorder="1" applyAlignment="1">
      <alignment horizontal="center"/>
    </xf>
  </cellXfs>
  <cellStyles count="2439">
    <cellStyle name="_%(SignOnly)" xfId="2" xr:uid="{00000000-0005-0000-0000-000000000000}"/>
    <cellStyle name="_%(SignSpaceOnly)" xfId="3" xr:uid="{00000000-0005-0000-0000-000001000000}"/>
    <cellStyle name="_Chelan Debt Forecast 12.19.05" xfId="4" xr:uid="{00000000-0005-0000-0000-000002000000}"/>
    <cellStyle name="_Chelan Debt Forecast 12.19.05 2" xfId="1655" xr:uid="{00000000-0005-0000-0000-000003000000}"/>
    <cellStyle name="_Comma" xfId="5" xr:uid="{00000000-0005-0000-0000-000004000000}"/>
    <cellStyle name="_Costs not in AURORA 06GRC" xfId="6" xr:uid="{00000000-0005-0000-0000-000005000000}"/>
    <cellStyle name="_Costs not in AURORA 06GRC 2" xfId="1656" xr:uid="{00000000-0005-0000-0000-000006000000}"/>
    <cellStyle name="_Costs not in KWI3000 '06Budget" xfId="7" xr:uid="{00000000-0005-0000-0000-000007000000}"/>
    <cellStyle name="_Costs not in KWI3000 '06Budget 2" xfId="1657" xr:uid="{00000000-0005-0000-0000-000008000000}"/>
    <cellStyle name="_Currency" xfId="8" xr:uid="{00000000-0005-0000-0000-000009000000}"/>
    <cellStyle name="_CurrencySpace" xfId="9" xr:uid="{00000000-0005-0000-0000-00000A000000}"/>
    <cellStyle name="_Euro" xfId="10" xr:uid="{00000000-0005-0000-0000-00000B000000}"/>
    <cellStyle name="_Fuel Prices 4-14" xfId="11" xr:uid="{00000000-0005-0000-0000-00000C000000}"/>
    <cellStyle name="_Fuel Prices 4-14 2" xfId="1658" xr:uid="{00000000-0005-0000-0000-00000D000000}"/>
    <cellStyle name="_Heading" xfId="12" xr:uid="{00000000-0005-0000-0000-00000E000000}"/>
    <cellStyle name="_Highlight" xfId="13" xr:uid="{00000000-0005-0000-0000-00000F000000}"/>
    <cellStyle name="_Multiple" xfId="14" xr:uid="{00000000-0005-0000-0000-000010000000}"/>
    <cellStyle name="_MultipleSpace" xfId="15" xr:uid="{00000000-0005-0000-0000-000011000000}"/>
    <cellStyle name="_Power Cost Value Copy 11.30.05 gas 1.09.06 AURORA at 1.10.06" xfId="16" xr:uid="{00000000-0005-0000-0000-000012000000}"/>
    <cellStyle name="_Power Cost Value Copy 11.30.05 gas 1.09.06 AURORA at 1.10.06 2" xfId="1659" xr:uid="{00000000-0005-0000-0000-000013000000}"/>
    <cellStyle name="_Recon to Darrin's 5.11.05 proforma" xfId="17" xr:uid="{00000000-0005-0000-0000-000014000000}"/>
    <cellStyle name="_Recon to Darrin's 5.11.05 proforma 2" xfId="1660" xr:uid="{00000000-0005-0000-0000-000015000000}"/>
    <cellStyle name="_SubHeading" xfId="18" xr:uid="{00000000-0005-0000-0000-000016000000}"/>
    <cellStyle name="_Table" xfId="19" xr:uid="{00000000-0005-0000-0000-000017000000}"/>
    <cellStyle name="_Table_QC" xfId="20" xr:uid="{00000000-0005-0000-0000-000018000000}"/>
    <cellStyle name="_TableHead" xfId="21" xr:uid="{00000000-0005-0000-0000-000019000000}"/>
    <cellStyle name="_TableHead_QC" xfId="22" xr:uid="{00000000-0005-0000-0000-00001A000000}"/>
    <cellStyle name="_TableRowHead" xfId="23" xr:uid="{00000000-0005-0000-0000-00001B000000}"/>
    <cellStyle name="_TableSuperHead" xfId="24" xr:uid="{00000000-0005-0000-0000-00001C000000}"/>
    <cellStyle name="_Value Copy 11 30 05 gas 12 09 05 AURORA at 12 14 05" xfId="25" xr:uid="{00000000-0005-0000-0000-00001D000000}"/>
    <cellStyle name="_Value Copy 11 30 05 gas 12 09 05 AURORA at 12 14 05 2" xfId="1661" xr:uid="{00000000-0005-0000-0000-00001E000000}"/>
    <cellStyle name="20% - Accent1 2" xfId="26" xr:uid="{00000000-0005-0000-0000-00001F000000}"/>
    <cellStyle name="20% - Accent1 2 2" xfId="27" xr:uid="{00000000-0005-0000-0000-000020000000}"/>
    <cellStyle name="20% - Accent1 2 2 2" xfId="28" xr:uid="{00000000-0005-0000-0000-000021000000}"/>
    <cellStyle name="20% - Accent1 2 2 3" xfId="29" xr:uid="{00000000-0005-0000-0000-000022000000}"/>
    <cellStyle name="20% - Accent1 2 2 4" xfId="30" xr:uid="{00000000-0005-0000-0000-000023000000}"/>
    <cellStyle name="20% - Accent1 2 3" xfId="31" xr:uid="{00000000-0005-0000-0000-000024000000}"/>
    <cellStyle name="20% - Accent1 2 4" xfId="32" xr:uid="{00000000-0005-0000-0000-000025000000}"/>
    <cellStyle name="20% - Accent1 2 5" xfId="33" xr:uid="{00000000-0005-0000-0000-000026000000}"/>
    <cellStyle name="20% - Accent1 2 6" xfId="34" xr:uid="{00000000-0005-0000-0000-000027000000}"/>
    <cellStyle name="20% - Accent1 2_QC Sheet" xfId="35" xr:uid="{00000000-0005-0000-0000-000028000000}"/>
    <cellStyle name="20% - Accent1 3" xfId="36" xr:uid="{00000000-0005-0000-0000-000029000000}"/>
    <cellStyle name="20% - Accent1 4" xfId="1280" xr:uid="{00000000-0005-0000-0000-00002A000000}"/>
    <cellStyle name="20% - Accent2 2" xfId="37" xr:uid="{00000000-0005-0000-0000-00002B000000}"/>
    <cellStyle name="20% - Accent2 2 2" xfId="38" xr:uid="{00000000-0005-0000-0000-00002C000000}"/>
    <cellStyle name="20% - Accent2 2 2 2" xfId="39" xr:uid="{00000000-0005-0000-0000-00002D000000}"/>
    <cellStyle name="20% - Accent2 2 2 3" xfId="40" xr:uid="{00000000-0005-0000-0000-00002E000000}"/>
    <cellStyle name="20% - Accent2 2 2 4" xfId="41" xr:uid="{00000000-0005-0000-0000-00002F000000}"/>
    <cellStyle name="20% - Accent2 2 3" xfId="42" xr:uid="{00000000-0005-0000-0000-000030000000}"/>
    <cellStyle name="20% - Accent2 2 4" xfId="43" xr:uid="{00000000-0005-0000-0000-000031000000}"/>
    <cellStyle name="20% - Accent2 2 5" xfId="44" xr:uid="{00000000-0005-0000-0000-000032000000}"/>
    <cellStyle name="20% - Accent2 2 6" xfId="45" xr:uid="{00000000-0005-0000-0000-000033000000}"/>
    <cellStyle name="20% - Accent2 2_QC Sheet" xfId="46" xr:uid="{00000000-0005-0000-0000-000034000000}"/>
    <cellStyle name="20% - Accent2 3" xfId="47" xr:uid="{00000000-0005-0000-0000-000035000000}"/>
    <cellStyle name="20% - Accent2 4" xfId="1281" xr:uid="{00000000-0005-0000-0000-000036000000}"/>
    <cellStyle name="20% - Accent3 2" xfId="48" xr:uid="{00000000-0005-0000-0000-000037000000}"/>
    <cellStyle name="20% - Accent3 2 2" xfId="49" xr:uid="{00000000-0005-0000-0000-000038000000}"/>
    <cellStyle name="20% - Accent3 2 2 2" xfId="50" xr:uid="{00000000-0005-0000-0000-000039000000}"/>
    <cellStyle name="20% - Accent3 2 2 3" xfId="51" xr:uid="{00000000-0005-0000-0000-00003A000000}"/>
    <cellStyle name="20% - Accent3 2 2 4" xfId="52" xr:uid="{00000000-0005-0000-0000-00003B000000}"/>
    <cellStyle name="20% - Accent3 2 3" xfId="53" xr:uid="{00000000-0005-0000-0000-00003C000000}"/>
    <cellStyle name="20% - Accent3 2 4" xfId="54" xr:uid="{00000000-0005-0000-0000-00003D000000}"/>
    <cellStyle name="20% - Accent3 2 5" xfId="55" xr:uid="{00000000-0005-0000-0000-00003E000000}"/>
    <cellStyle name="20% - Accent3 2 6" xfId="56" xr:uid="{00000000-0005-0000-0000-00003F000000}"/>
    <cellStyle name="20% - Accent3 2_QC Sheet" xfId="57" xr:uid="{00000000-0005-0000-0000-000040000000}"/>
    <cellStyle name="20% - Accent3 3" xfId="58" xr:uid="{00000000-0005-0000-0000-000041000000}"/>
    <cellStyle name="20% - Accent3 4" xfId="1282" xr:uid="{00000000-0005-0000-0000-000042000000}"/>
    <cellStyle name="20% - Accent4 2" xfId="59" xr:uid="{00000000-0005-0000-0000-000043000000}"/>
    <cellStyle name="20% - Accent4 2 2" xfId="60" xr:uid="{00000000-0005-0000-0000-000044000000}"/>
    <cellStyle name="20% - Accent4 2 2 2" xfId="61" xr:uid="{00000000-0005-0000-0000-000045000000}"/>
    <cellStyle name="20% - Accent4 2 2 3" xfId="62" xr:uid="{00000000-0005-0000-0000-000046000000}"/>
    <cellStyle name="20% - Accent4 2 2 4" xfId="63" xr:uid="{00000000-0005-0000-0000-000047000000}"/>
    <cellStyle name="20% - Accent4 2 3" xfId="64" xr:uid="{00000000-0005-0000-0000-000048000000}"/>
    <cellStyle name="20% - Accent4 2 4" xfId="65" xr:uid="{00000000-0005-0000-0000-000049000000}"/>
    <cellStyle name="20% - Accent4 2 5" xfId="66" xr:uid="{00000000-0005-0000-0000-00004A000000}"/>
    <cellStyle name="20% - Accent4 2 6" xfId="67" xr:uid="{00000000-0005-0000-0000-00004B000000}"/>
    <cellStyle name="20% - Accent4 2_QC Sheet" xfId="68" xr:uid="{00000000-0005-0000-0000-00004C000000}"/>
    <cellStyle name="20% - Accent4 3" xfId="69" xr:uid="{00000000-0005-0000-0000-00004D000000}"/>
    <cellStyle name="20% - Accent4 4" xfId="1283" xr:uid="{00000000-0005-0000-0000-00004E000000}"/>
    <cellStyle name="20% - Accent5 2" xfId="70" xr:uid="{00000000-0005-0000-0000-00004F000000}"/>
    <cellStyle name="20% - Accent5 2 2" xfId="71" xr:uid="{00000000-0005-0000-0000-000050000000}"/>
    <cellStyle name="20% - Accent5 2 2 2" xfId="72" xr:uid="{00000000-0005-0000-0000-000051000000}"/>
    <cellStyle name="20% - Accent5 2 2 3" xfId="73" xr:uid="{00000000-0005-0000-0000-000052000000}"/>
    <cellStyle name="20% - Accent5 2 2 4" xfId="74" xr:uid="{00000000-0005-0000-0000-000053000000}"/>
    <cellStyle name="20% - Accent5 2 3" xfId="75" xr:uid="{00000000-0005-0000-0000-000054000000}"/>
    <cellStyle name="20% - Accent5 2 4" xfId="76" xr:uid="{00000000-0005-0000-0000-000055000000}"/>
    <cellStyle name="20% - Accent5 2 5" xfId="77" xr:uid="{00000000-0005-0000-0000-000056000000}"/>
    <cellStyle name="20% - Accent5 2 6" xfId="78" xr:uid="{00000000-0005-0000-0000-000057000000}"/>
    <cellStyle name="20% - Accent5 2_QC Sheet" xfId="79" xr:uid="{00000000-0005-0000-0000-000058000000}"/>
    <cellStyle name="20% - Accent5 3" xfId="80" xr:uid="{00000000-0005-0000-0000-000059000000}"/>
    <cellStyle name="20% - Accent5 4" xfId="1284" xr:uid="{00000000-0005-0000-0000-00005A000000}"/>
    <cellStyle name="20% - Accent6 2" xfId="81" xr:uid="{00000000-0005-0000-0000-00005B000000}"/>
    <cellStyle name="20% - Accent6 2 2" xfId="82" xr:uid="{00000000-0005-0000-0000-00005C000000}"/>
    <cellStyle name="20% - Accent6 2 2 2" xfId="83" xr:uid="{00000000-0005-0000-0000-00005D000000}"/>
    <cellStyle name="20% - Accent6 2 2 3" xfId="84" xr:uid="{00000000-0005-0000-0000-00005E000000}"/>
    <cellStyle name="20% - Accent6 2 2 4" xfId="85" xr:uid="{00000000-0005-0000-0000-00005F000000}"/>
    <cellStyle name="20% - Accent6 2 3" xfId="86" xr:uid="{00000000-0005-0000-0000-000060000000}"/>
    <cellStyle name="20% - Accent6 2 4" xfId="87" xr:uid="{00000000-0005-0000-0000-000061000000}"/>
    <cellStyle name="20% - Accent6 2 5" xfId="88" xr:uid="{00000000-0005-0000-0000-000062000000}"/>
    <cellStyle name="20% - Accent6 2 6" xfId="89" xr:uid="{00000000-0005-0000-0000-000063000000}"/>
    <cellStyle name="20% - Accent6 2_QC Sheet" xfId="90" xr:uid="{00000000-0005-0000-0000-000064000000}"/>
    <cellStyle name="20% - Accent6 3" xfId="91" xr:uid="{00000000-0005-0000-0000-000065000000}"/>
    <cellStyle name="20% - Accent6 4" xfId="1285" xr:uid="{00000000-0005-0000-0000-000066000000}"/>
    <cellStyle name="40% - Accent1 2" xfId="92" xr:uid="{00000000-0005-0000-0000-000067000000}"/>
    <cellStyle name="40% - Accent1 2 2" xfId="93" xr:uid="{00000000-0005-0000-0000-000068000000}"/>
    <cellStyle name="40% - Accent1 2 2 2" xfId="94" xr:uid="{00000000-0005-0000-0000-000069000000}"/>
    <cellStyle name="40% - Accent1 2 2 3" xfId="95" xr:uid="{00000000-0005-0000-0000-00006A000000}"/>
    <cellStyle name="40% - Accent1 2 2 4" xfId="96" xr:uid="{00000000-0005-0000-0000-00006B000000}"/>
    <cellStyle name="40% - Accent1 2 3" xfId="97" xr:uid="{00000000-0005-0000-0000-00006C000000}"/>
    <cellStyle name="40% - Accent1 2 4" xfId="98" xr:uid="{00000000-0005-0000-0000-00006D000000}"/>
    <cellStyle name="40% - Accent1 2 5" xfId="99" xr:uid="{00000000-0005-0000-0000-00006E000000}"/>
    <cellStyle name="40% - Accent1 2 6" xfId="100" xr:uid="{00000000-0005-0000-0000-00006F000000}"/>
    <cellStyle name="40% - Accent1 2_QC Sheet" xfId="101" xr:uid="{00000000-0005-0000-0000-000070000000}"/>
    <cellStyle name="40% - Accent1 3" xfId="102" xr:uid="{00000000-0005-0000-0000-000071000000}"/>
    <cellStyle name="40% - Accent1 4" xfId="1286" xr:uid="{00000000-0005-0000-0000-000072000000}"/>
    <cellStyle name="40% - Accent2 2" xfId="103" xr:uid="{00000000-0005-0000-0000-000073000000}"/>
    <cellStyle name="40% - Accent2 2 2" xfId="104" xr:uid="{00000000-0005-0000-0000-000074000000}"/>
    <cellStyle name="40% - Accent2 2 2 2" xfId="105" xr:uid="{00000000-0005-0000-0000-000075000000}"/>
    <cellStyle name="40% - Accent2 2 2 3" xfId="106" xr:uid="{00000000-0005-0000-0000-000076000000}"/>
    <cellStyle name="40% - Accent2 2 2 4" xfId="107" xr:uid="{00000000-0005-0000-0000-000077000000}"/>
    <cellStyle name="40% - Accent2 2 3" xfId="108" xr:uid="{00000000-0005-0000-0000-000078000000}"/>
    <cellStyle name="40% - Accent2 2 4" xfId="109" xr:uid="{00000000-0005-0000-0000-000079000000}"/>
    <cellStyle name="40% - Accent2 2 5" xfId="110" xr:uid="{00000000-0005-0000-0000-00007A000000}"/>
    <cellStyle name="40% - Accent2 2 6" xfId="111" xr:uid="{00000000-0005-0000-0000-00007B000000}"/>
    <cellStyle name="40% - Accent2 2_QC Sheet" xfId="112" xr:uid="{00000000-0005-0000-0000-00007C000000}"/>
    <cellStyle name="40% - Accent2 3" xfId="113" xr:uid="{00000000-0005-0000-0000-00007D000000}"/>
    <cellStyle name="40% - Accent2 4" xfId="1287" xr:uid="{00000000-0005-0000-0000-00007E000000}"/>
    <cellStyle name="40% - Accent3 2" xfId="114" xr:uid="{00000000-0005-0000-0000-00007F000000}"/>
    <cellStyle name="40% - Accent3 2 2" xfId="115" xr:uid="{00000000-0005-0000-0000-000080000000}"/>
    <cellStyle name="40% - Accent3 2 2 2" xfId="116" xr:uid="{00000000-0005-0000-0000-000081000000}"/>
    <cellStyle name="40% - Accent3 2 2 3" xfId="117" xr:uid="{00000000-0005-0000-0000-000082000000}"/>
    <cellStyle name="40% - Accent3 2 2 4" xfId="118" xr:uid="{00000000-0005-0000-0000-000083000000}"/>
    <cellStyle name="40% - Accent3 2 3" xfId="119" xr:uid="{00000000-0005-0000-0000-000084000000}"/>
    <cellStyle name="40% - Accent3 2 4" xfId="120" xr:uid="{00000000-0005-0000-0000-000085000000}"/>
    <cellStyle name="40% - Accent3 2 5" xfId="121" xr:uid="{00000000-0005-0000-0000-000086000000}"/>
    <cellStyle name="40% - Accent3 2 6" xfId="122" xr:uid="{00000000-0005-0000-0000-000087000000}"/>
    <cellStyle name="40% - Accent3 2_QC Sheet" xfId="123" xr:uid="{00000000-0005-0000-0000-000088000000}"/>
    <cellStyle name="40% - Accent3 3" xfId="124" xr:uid="{00000000-0005-0000-0000-000089000000}"/>
    <cellStyle name="40% - Accent3 4" xfId="1288" xr:uid="{00000000-0005-0000-0000-00008A000000}"/>
    <cellStyle name="40% - Accent4 2" xfId="125" xr:uid="{00000000-0005-0000-0000-00008B000000}"/>
    <cellStyle name="40% - Accent4 2 2" xfId="126" xr:uid="{00000000-0005-0000-0000-00008C000000}"/>
    <cellStyle name="40% - Accent4 2 2 2" xfId="127" xr:uid="{00000000-0005-0000-0000-00008D000000}"/>
    <cellStyle name="40% - Accent4 2 2 3" xfId="128" xr:uid="{00000000-0005-0000-0000-00008E000000}"/>
    <cellStyle name="40% - Accent4 2 2 4" xfId="129" xr:uid="{00000000-0005-0000-0000-00008F000000}"/>
    <cellStyle name="40% - Accent4 2 3" xfId="130" xr:uid="{00000000-0005-0000-0000-000090000000}"/>
    <cellStyle name="40% - Accent4 2 4" xfId="131" xr:uid="{00000000-0005-0000-0000-000091000000}"/>
    <cellStyle name="40% - Accent4 2 5" xfId="132" xr:uid="{00000000-0005-0000-0000-000092000000}"/>
    <cellStyle name="40% - Accent4 2 6" xfId="133" xr:uid="{00000000-0005-0000-0000-000093000000}"/>
    <cellStyle name="40% - Accent4 2_QC Sheet" xfId="134" xr:uid="{00000000-0005-0000-0000-000094000000}"/>
    <cellStyle name="40% - Accent4 3" xfId="135" xr:uid="{00000000-0005-0000-0000-000095000000}"/>
    <cellStyle name="40% - Accent4 4" xfId="1289" xr:uid="{00000000-0005-0000-0000-000096000000}"/>
    <cellStyle name="40% - Accent5 2" xfId="136" xr:uid="{00000000-0005-0000-0000-000097000000}"/>
    <cellStyle name="40% - Accent5 2 2" xfId="137" xr:uid="{00000000-0005-0000-0000-000098000000}"/>
    <cellStyle name="40% - Accent5 2 2 2" xfId="138" xr:uid="{00000000-0005-0000-0000-000099000000}"/>
    <cellStyle name="40% - Accent5 2 2 3" xfId="139" xr:uid="{00000000-0005-0000-0000-00009A000000}"/>
    <cellStyle name="40% - Accent5 2 2 4" xfId="140" xr:uid="{00000000-0005-0000-0000-00009B000000}"/>
    <cellStyle name="40% - Accent5 2 3" xfId="141" xr:uid="{00000000-0005-0000-0000-00009C000000}"/>
    <cellStyle name="40% - Accent5 2 4" xfId="142" xr:uid="{00000000-0005-0000-0000-00009D000000}"/>
    <cellStyle name="40% - Accent5 2 5" xfId="143" xr:uid="{00000000-0005-0000-0000-00009E000000}"/>
    <cellStyle name="40% - Accent5 2 6" xfId="144" xr:uid="{00000000-0005-0000-0000-00009F000000}"/>
    <cellStyle name="40% - Accent5 2_QC Sheet" xfId="145" xr:uid="{00000000-0005-0000-0000-0000A0000000}"/>
    <cellStyle name="40% - Accent5 3" xfId="146" xr:uid="{00000000-0005-0000-0000-0000A1000000}"/>
    <cellStyle name="40% - Accent5 4" xfId="1290" xr:uid="{00000000-0005-0000-0000-0000A2000000}"/>
    <cellStyle name="40% - Accent6 2" xfId="147" xr:uid="{00000000-0005-0000-0000-0000A3000000}"/>
    <cellStyle name="40% - Accent6 2 2" xfId="148" xr:uid="{00000000-0005-0000-0000-0000A4000000}"/>
    <cellStyle name="40% - Accent6 2 2 2" xfId="149" xr:uid="{00000000-0005-0000-0000-0000A5000000}"/>
    <cellStyle name="40% - Accent6 2 2 3" xfId="150" xr:uid="{00000000-0005-0000-0000-0000A6000000}"/>
    <cellStyle name="40% - Accent6 2 2 4" xfId="151" xr:uid="{00000000-0005-0000-0000-0000A7000000}"/>
    <cellStyle name="40% - Accent6 2 3" xfId="152" xr:uid="{00000000-0005-0000-0000-0000A8000000}"/>
    <cellStyle name="40% - Accent6 2 4" xfId="153" xr:uid="{00000000-0005-0000-0000-0000A9000000}"/>
    <cellStyle name="40% - Accent6 2 5" xfId="154" xr:uid="{00000000-0005-0000-0000-0000AA000000}"/>
    <cellStyle name="40% - Accent6 2 6" xfId="155" xr:uid="{00000000-0005-0000-0000-0000AB000000}"/>
    <cellStyle name="40% - Accent6 2_QC Sheet" xfId="156" xr:uid="{00000000-0005-0000-0000-0000AC000000}"/>
    <cellStyle name="40% - Accent6 3" xfId="157" xr:uid="{00000000-0005-0000-0000-0000AD000000}"/>
    <cellStyle name="40% - Accent6 4" xfId="1291" xr:uid="{00000000-0005-0000-0000-0000AE000000}"/>
    <cellStyle name="60% - Accent1 2" xfId="158" xr:uid="{00000000-0005-0000-0000-0000AF000000}"/>
    <cellStyle name="60% - Accent1 2 2" xfId="159" xr:uid="{00000000-0005-0000-0000-0000B0000000}"/>
    <cellStyle name="60% - Accent1 2 2 2" xfId="160" xr:uid="{00000000-0005-0000-0000-0000B1000000}"/>
    <cellStyle name="60% - Accent1 2 2 3" xfId="161" xr:uid="{00000000-0005-0000-0000-0000B2000000}"/>
    <cellStyle name="60% - Accent1 2 2 4" xfId="162" xr:uid="{00000000-0005-0000-0000-0000B3000000}"/>
    <cellStyle name="60% - Accent1 2 3" xfId="163" xr:uid="{00000000-0005-0000-0000-0000B4000000}"/>
    <cellStyle name="60% - Accent1 2 4" xfId="164" xr:uid="{00000000-0005-0000-0000-0000B5000000}"/>
    <cellStyle name="60% - Accent1 2 5" xfId="165" xr:uid="{00000000-0005-0000-0000-0000B6000000}"/>
    <cellStyle name="60% - Accent1 2_QC Sheet" xfId="166" xr:uid="{00000000-0005-0000-0000-0000B7000000}"/>
    <cellStyle name="60% - Accent1 3" xfId="167" xr:uid="{00000000-0005-0000-0000-0000B8000000}"/>
    <cellStyle name="60% - Accent1 4" xfId="1292" xr:uid="{00000000-0005-0000-0000-0000B9000000}"/>
    <cellStyle name="60% - Accent2 2" xfId="168" xr:uid="{00000000-0005-0000-0000-0000BA000000}"/>
    <cellStyle name="60% - Accent2 2 2" xfId="169" xr:uid="{00000000-0005-0000-0000-0000BB000000}"/>
    <cellStyle name="60% - Accent2 2 2 2" xfId="170" xr:uid="{00000000-0005-0000-0000-0000BC000000}"/>
    <cellStyle name="60% - Accent2 2 2 3" xfId="171" xr:uid="{00000000-0005-0000-0000-0000BD000000}"/>
    <cellStyle name="60% - Accent2 2 2 4" xfId="172" xr:uid="{00000000-0005-0000-0000-0000BE000000}"/>
    <cellStyle name="60% - Accent2 2 3" xfId="173" xr:uid="{00000000-0005-0000-0000-0000BF000000}"/>
    <cellStyle name="60% - Accent2 2 4" xfId="174" xr:uid="{00000000-0005-0000-0000-0000C0000000}"/>
    <cellStyle name="60% - Accent2 2 5" xfId="175" xr:uid="{00000000-0005-0000-0000-0000C1000000}"/>
    <cellStyle name="60% - Accent2 2_QC Sheet" xfId="176" xr:uid="{00000000-0005-0000-0000-0000C2000000}"/>
    <cellStyle name="60% - Accent2 3" xfId="177" xr:uid="{00000000-0005-0000-0000-0000C3000000}"/>
    <cellStyle name="60% - Accent2 4" xfId="1293" xr:uid="{00000000-0005-0000-0000-0000C4000000}"/>
    <cellStyle name="60% - Accent3 2" xfId="178" xr:uid="{00000000-0005-0000-0000-0000C5000000}"/>
    <cellStyle name="60% - Accent3 2 2" xfId="179" xr:uid="{00000000-0005-0000-0000-0000C6000000}"/>
    <cellStyle name="60% - Accent3 2 2 2" xfId="180" xr:uid="{00000000-0005-0000-0000-0000C7000000}"/>
    <cellStyle name="60% - Accent3 2 2 3" xfId="181" xr:uid="{00000000-0005-0000-0000-0000C8000000}"/>
    <cellStyle name="60% - Accent3 2 2 4" xfId="182" xr:uid="{00000000-0005-0000-0000-0000C9000000}"/>
    <cellStyle name="60% - Accent3 2 3" xfId="183" xr:uid="{00000000-0005-0000-0000-0000CA000000}"/>
    <cellStyle name="60% - Accent3 2 4" xfId="184" xr:uid="{00000000-0005-0000-0000-0000CB000000}"/>
    <cellStyle name="60% - Accent3 2 5" xfId="185" xr:uid="{00000000-0005-0000-0000-0000CC000000}"/>
    <cellStyle name="60% - Accent3 2_QC Sheet" xfId="186" xr:uid="{00000000-0005-0000-0000-0000CD000000}"/>
    <cellStyle name="60% - Accent3 3" xfId="187" xr:uid="{00000000-0005-0000-0000-0000CE000000}"/>
    <cellStyle name="60% - Accent3 4" xfId="1294" xr:uid="{00000000-0005-0000-0000-0000CF000000}"/>
    <cellStyle name="60% - Accent4 2" xfId="188" xr:uid="{00000000-0005-0000-0000-0000D0000000}"/>
    <cellStyle name="60% - Accent4 2 2" xfId="189" xr:uid="{00000000-0005-0000-0000-0000D1000000}"/>
    <cellStyle name="60% - Accent4 2 2 2" xfId="190" xr:uid="{00000000-0005-0000-0000-0000D2000000}"/>
    <cellStyle name="60% - Accent4 2 2 3" xfId="191" xr:uid="{00000000-0005-0000-0000-0000D3000000}"/>
    <cellStyle name="60% - Accent4 2 2 4" xfId="192" xr:uid="{00000000-0005-0000-0000-0000D4000000}"/>
    <cellStyle name="60% - Accent4 2 3" xfId="193" xr:uid="{00000000-0005-0000-0000-0000D5000000}"/>
    <cellStyle name="60% - Accent4 2 4" xfId="194" xr:uid="{00000000-0005-0000-0000-0000D6000000}"/>
    <cellStyle name="60% - Accent4 2 5" xfId="195" xr:uid="{00000000-0005-0000-0000-0000D7000000}"/>
    <cellStyle name="60% - Accent4 2_QC Sheet" xfId="196" xr:uid="{00000000-0005-0000-0000-0000D8000000}"/>
    <cellStyle name="60% - Accent4 3" xfId="197" xr:uid="{00000000-0005-0000-0000-0000D9000000}"/>
    <cellStyle name="60% - Accent4 4" xfId="1295" xr:uid="{00000000-0005-0000-0000-0000DA000000}"/>
    <cellStyle name="60% - Accent5 2" xfId="198" xr:uid="{00000000-0005-0000-0000-0000DB000000}"/>
    <cellStyle name="60% - Accent5 2 2" xfId="199" xr:uid="{00000000-0005-0000-0000-0000DC000000}"/>
    <cellStyle name="60% - Accent5 2 2 2" xfId="200" xr:uid="{00000000-0005-0000-0000-0000DD000000}"/>
    <cellStyle name="60% - Accent5 2 2 3" xfId="201" xr:uid="{00000000-0005-0000-0000-0000DE000000}"/>
    <cellStyle name="60% - Accent5 2 2 4" xfId="202" xr:uid="{00000000-0005-0000-0000-0000DF000000}"/>
    <cellStyle name="60% - Accent5 2 3" xfId="203" xr:uid="{00000000-0005-0000-0000-0000E0000000}"/>
    <cellStyle name="60% - Accent5 2 4" xfId="204" xr:uid="{00000000-0005-0000-0000-0000E1000000}"/>
    <cellStyle name="60% - Accent5 2 5" xfId="205" xr:uid="{00000000-0005-0000-0000-0000E2000000}"/>
    <cellStyle name="60% - Accent5 2_QC Sheet" xfId="206" xr:uid="{00000000-0005-0000-0000-0000E3000000}"/>
    <cellStyle name="60% - Accent5 3" xfId="207" xr:uid="{00000000-0005-0000-0000-0000E4000000}"/>
    <cellStyle name="60% - Accent5 4" xfId="1296" xr:uid="{00000000-0005-0000-0000-0000E5000000}"/>
    <cellStyle name="60% - Accent6 2" xfId="208" xr:uid="{00000000-0005-0000-0000-0000E6000000}"/>
    <cellStyle name="60% - Accent6 2 2" xfId="209" xr:uid="{00000000-0005-0000-0000-0000E7000000}"/>
    <cellStyle name="60% - Accent6 2 2 2" xfId="210" xr:uid="{00000000-0005-0000-0000-0000E8000000}"/>
    <cellStyle name="60% - Accent6 2 2 3" xfId="211" xr:uid="{00000000-0005-0000-0000-0000E9000000}"/>
    <cellStyle name="60% - Accent6 2 2 4" xfId="212" xr:uid="{00000000-0005-0000-0000-0000EA000000}"/>
    <cellStyle name="60% - Accent6 2 3" xfId="213" xr:uid="{00000000-0005-0000-0000-0000EB000000}"/>
    <cellStyle name="60% - Accent6 2 4" xfId="214" xr:uid="{00000000-0005-0000-0000-0000EC000000}"/>
    <cellStyle name="60% - Accent6 2 5" xfId="215" xr:uid="{00000000-0005-0000-0000-0000ED000000}"/>
    <cellStyle name="60% - Accent6 2_QC Sheet" xfId="216" xr:uid="{00000000-0005-0000-0000-0000EE000000}"/>
    <cellStyle name="60% - Accent6 3" xfId="217" xr:uid="{00000000-0005-0000-0000-0000EF000000}"/>
    <cellStyle name="60% - Accent6 4" xfId="1297" xr:uid="{00000000-0005-0000-0000-0000F0000000}"/>
    <cellStyle name="Accent1 2" xfId="218" xr:uid="{00000000-0005-0000-0000-0000F1000000}"/>
    <cellStyle name="Accent1 2 2" xfId="219" xr:uid="{00000000-0005-0000-0000-0000F2000000}"/>
    <cellStyle name="Accent1 2 2 2" xfId="220" xr:uid="{00000000-0005-0000-0000-0000F3000000}"/>
    <cellStyle name="Accent1 2 2 3" xfId="221" xr:uid="{00000000-0005-0000-0000-0000F4000000}"/>
    <cellStyle name="Accent1 2 2 4" xfId="222" xr:uid="{00000000-0005-0000-0000-0000F5000000}"/>
    <cellStyle name="Accent1 2 3" xfId="223" xr:uid="{00000000-0005-0000-0000-0000F6000000}"/>
    <cellStyle name="Accent1 2 4" xfId="224" xr:uid="{00000000-0005-0000-0000-0000F7000000}"/>
    <cellStyle name="Accent1 2 5" xfId="225" xr:uid="{00000000-0005-0000-0000-0000F8000000}"/>
    <cellStyle name="Accent1 2_QC Sheet" xfId="226" xr:uid="{00000000-0005-0000-0000-0000F9000000}"/>
    <cellStyle name="Accent1 3" xfId="227" xr:uid="{00000000-0005-0000-0000-0000FA000000}"/>
    <cellStyle name="Accent1 4" xfId="1298" xr:uid="{00000000-0005-0000-0000-0000FB000000}"/>
    <cellStyle name="Accent2 2" xfId="228" xr:uid="{00000000-0005-0000-0000-0000FC000000}"/>
    <cellStyle name="Accent2 2 2" xfId="229" xr:uid="{00000000-0005-0000-0000-0000FD000000}"/>
    <cellStyle name="Accent2 2 2 2" xfId="230" xr:uid="{00000000-0005-0000-0000-0000FE000000}"/>
    <cellStyle name="Accent2 2 2 3" xfId="231" xr:uid="{00000000-0005-0000-0000-0000FF000000}"/>
    <cellStyle name="Accent2 2 2 4" xfId="232" xr:uid="{00000000-0005-0000-0000-000000010000}"/>
    <cellStyle name="Accent2 2 3" xfId="233" xr:uid="{00000000-0005-0000-0000-000001010000}"/>
    <cellStyle name="Accent2 2 4" xfId="234" xr:uid="{00000000-0005-0000-0000-000002010000}"/>
    <cellStyle name="Accent2 2 5" xfId="235" xr:uid="{00000000-0005-0000-0000-000003010000}"/>
    <cellStyle name="Accent2 2_QC Sheet" xfId="236" xr:uid="{00000000-0005-0000-0000-000004010000}"/>
    <cellStyle name="Accent2 3" xfId="237" xr:uid="{00000000-0005-0000-0000-000005010000}"/>
    <cellStyle name="Accent2 4" xfId="1299" xr:uid="{00000000-0005-0000-0000-000006010000}"/>
    <cellStyle name="Accent3 2" xfId="238" xr:uid="{00000000-0005-0000-0000-000007010000}"/>
    <cellStyle name="Accent3 2 2" xfId="239" xr:uid="{00000000-0005-0000-0000-000008010000}"/>
    <cellStyle name="Accent3 2 2 2" xfId="240" xr:uid="{00000000-0005-0000-0000-000009010000}"/>
    <cellStyle name="Accent3 2 2 3" xfId="241" xr:uid="{00000000-0005-0000-0000-00000A010000}"/>
    <cellStyle name="Accent3 2 2 4" xfId="242" xr:uid="{00000000-0005-0000-0000-00000B010000}"/>
    <cellStyle name="Accent3 2 3" xfId="243" xr:uid="{00000000-0005-0000-0000-00000C010000}"/>
    <cellStyle name="Accent3 2 4" xfId="244" xr:uid="{00000000-0005-0000-0000-00000D010000}"/>
    <cellStyle name="Accent3 2 5" xfId="245" xr:uid="{00000000-0005-0000-0000-00000E010000}"/>
    <cellStyle name="Accent3 2_QC Sheet" xfId="246" xr:uid="{00000000-0005-0000-0000-00000F010000}"/>
    <cellStyle name="Accent3 3" xfId="247" xr:uid="{00000000-0005-0000-0000-000010010000}"/>
    <cellStyle name="Accent3 4" xfId="1300" xr:uid="{00000000-0005-0000-0000-000011010000}"/>
    <cellStyle name="Accent4 2" xfId="248" xr:uid="{00000000-0005-0000-0000-000012010000}"/>
    <cellStyle name="Accent4 2 2" xfId="249" xr:uid="{00000000-0005-0000-0000-000013010000}"/>
    <cellStyle name="Accent4 2 2 2" xfId="250" xr:uid="{00000000-0005-0000-0000-000014010000}"/>
    <cellStyle name="Accent4 2 2 3" xfId="251" xr:uid="{00000000-0005-0000-0000-000015010000}"/>
    <cellStyle name="Accent4 2 2 4" xfId="252" xr:uid="{00000000-0005-0000-0000-000016010000}"/>
    <cellStyle name="Accent4 2 3" xfId="253" xr:uid="{00000000-0005-0000-0000-000017010000}"/>
    <cellStyle name="Accent4 2 4" xfId="254" xr:uid="{00000000-0005-0000-0000-000018010000}"/>
    <cellStyle name="Accent4 2 5" xfId="255" xr:uid="{00000000-0005-0000-0000-000019010000}"/>
    <cellStyle name="Accent4 2_QC Sheet" xfId="256" xr:uid="{00000000-0005-0000-0000-00001A010000}"/>
    <cellStyle name="Accent4 3" xfId="257" xr:uid="{00000000-0005-0000-0000-00001B010000}"/>
    <cellStyle name="Accent4 4" xfId="1301" xr:uid="{00000000-0005-0000-0000-00001C010000}"/>
    <cellStyle name="Accent5 2" xfId="258" xr:uid="{00000000-0005-0000-0000-00001D010000}"/>
    <cellStyle name="Accent5 2 2" xfId="259" xr:uid="{00000000-0005-0000-0000-00001E010000}"/>
    <cellStyle name="Accent5 2 2 2" xfId="260" xr:uid="{00000000-0005-0000-0000-00001F010000}"/>
    <cellStyle name="Accent5 2 2 3" xfId="261" xr:uid="{00000000-0005-0000-0000-000020010000}"/>
    <cellStyle name="Accent5 2 2 4" xfId="262" xr:uid="{00000000-0005-0000-0000-000021010000}"/>
    <cellStyle name="Accent5 2 3" xfId="263" xr:uid="{00000000-0005-0000-0000-000022010000}"/>
    <cellStyle name="Accent5 2 4" xfId="264" xr:uid="{00000000-0005-0000-0000-000023010000}"/>
    <cellStyle name="Accent5 2 5" xfId="265" xr:uid="{00000000-0005-0000-0000-000024010000}"/>
    <cellStyle name="Accent5 2_QC Sheet" xfId="266" xr:uid="{00000000-0005-0000-0000-000025010000}"/>
    <cellStyle name="Accent5 3" xfId="267" xr:uid="{00000000-0005-0000-0000-000026010000}"/>
    <cellStyle name="Accent5 4" xfId="1302" xr:uid="{00000000-0005-0000-0000-000027010000}"/>
    <cellStyle name="Accent6 2" xfId="268" xr:uid="{00000000-0005-0000-0000-000028010000}"/>
    <cellStyle name="Accent6 2 2" xfId="269" xr:uid="{00000000-0005-0000-0000-000029010000}"/>
    <cellStyle name="Accent6 2 2 2" xfId="270" xr:uid="{00000000-0005-0000-0000-00002A010000}"/>
    <cellStyle name="Accent6 2 2 3" xfId="271" xr:uid="{00000000-0005-0000-0000-00002B010000}"/>
    <cellStyle name="Accent6 2 2 4" xfId="272" xr:uid="{00000000-0005-0000-0000-00002C010000}"/>
    <cellStyle name="Accent6 2 3" xfId="273" xr:uid="{00000000-0005-0000-0000-00002D010000}"/>
    <cellStyle name="Accent6 2 4" xfId="274" xr:uid="{00000000-0005-0000-0000-00002E010000}"/>
    <cellStyle name="Accent6 2 5" xfId="275" xr:uid="{00000000-0005-0000-0000-00002F010000}"/>
    <cellStyle name="Accent6 2_QC Sheet" xfId="276" xr:uid="{00000000-0005-0000-0000-000030010000}"/>
    <cellStyle name="Accent6 3" xfId="277" xr:uid="{00000000-0005-0000-0000-000031010000}"/>
    <cellStyle name="Accent6 4" xfId="1303" xr:uid="{00000000-0005-0000-0000-000032010000}"/>
    <cellStyle name="Adjustable" xfId="278" xr:uid="{00000000-0005-0000-0000-000033010000}"/>
    <cellStyle name="Bad 2" xfId="279" xr:uid="{00000000-0005-0000-0000-000034010000}"/>
    <cellStyle name="Bad 2 2" xfId="280" xr:uid="{00000000-0005-0000-0000-000035010000}"/>
    <cellStyle name="Bad 2 2 2" xfId="281" xr:uid="{00000000-0005-0000-0000-000036010000}"/>
    <cellStyle name="Bad 2 2 3" xfId="282" xr:uid="{00000000-0005-0000-0000-000037010000}"/>
    <cellStyle name="Bad 2 2 4" xfId="283" xr:uid="{00000000-0005-0000-0000-000038010000}"/>
    <cellStyle name="Bad 2 3" xfId="284" xr:uid="{00000000-0005-0000-0000-000039010000}"/>
    <cellStyle name="Bad 2 4" xfId="285" xr:uid="{00000000-0005-0000-0000-00003A010000}"/>
    <cellStyle name="Bad 2 5" xfId="286" xr:uid="{00000000-0005-0000-0000-00003B010000}"/>
    <cellStyle name="Bad 2_QC Sheet" xfId="287" xr:uid="{00000000-0005-0000-0000-00003C010000}"/>
    <cellStyle name="Bad 3" xfId="288" xr:uid="{00000000-0005-0000-0000-00003D010000}"/>
    <cellStyle name="Bad 4" xfId="1304" xr:uid="{00000000-0005-0000-0000-00003E010000}"/>
    <cellStyle name="Calc Currency (0)" xfId="289" xr:uid="{00000000-0005-0000-0000-00003F010000}"/>
    <cellStyle name="Calculation 2" xfId="290" xr:uid="{00000000-0005-0000-0000-000040010000}"/>
    <cellStyle name="Calculation 2 2" xfId="291" xr:uid="{00000000-0005-0000-0000-000041010000}"/>
    <cellStyle name="Calculation 2 2 2" xfId="292" xr:uid="{00000000-0005-0000-0000-000042010000}"/>
    <cellStyle name="Calculation 2 2 3" xfId="293" xr:uid="{00000000-0005-0000-0000-000043010000}"/>
    <cellStyle name="Calculation 2 2 4" xfId="294" xr:uid="{00000000-0005-0000-0000-000044010000}"/>
    <cellStyle name="Calculation 2 3" xfId="295" xr:uid="{00000000-0005-0000-0000-000045010000}"/>
    <cellStyle name="Calculation 2 4" xfId="296" xr:uid="{00000000-0005-0000-0000-000046010000}"/>
    <cellStyle name="Calculation 2 5" xfId="297" xr:uid="{00000000-0005-0000-0000-000047010000}"/>
    <cellStyle name="Calculation 2_QC" xfId="298" xr:uid="{00000000-0005-0000-0000-000048010000}"/>
    <cellStyle name="Calculation 3" xfId="299" xr:uid="{00000000-0005-0000-0000-000049010000}"/>
    <cellStyle name="Calculation 4" xfId="1305" xr:uid="{00000000-0005-0000-0000-00004A010000}"/>
    <cellStyle name="Check Cell 2" xfId="300" xr:uid="{00000000-0005-0000-0000-00004B010000}"/>
    <cellStyle name="Check Cell 2 2" xfId="301" xr:uid="{00000000-0005-0000-0000-00004C010000}"/>
    <cellStyle name="Check Cell 2 2 2" xfId="302" xr:uid="{00000000-0005-0000-0000-00004D010000}"/>
    <cellStyle name="Check Cell 2 2 3" xfId="303" xr:uid="{00000000-0005-0000-0000-00004E010000}"/>
    <cellStyle name="Check Cell 2 2 4" xfId="304" xr:uid="{00000000-0005-0000-0000-00004F010000}"/>
    <cellStyle name="Check Cell 2 3" xfId="305" xr:uid="{00000000-0005-0000-0000-000050010000}"/>
    <cellStyle name="Check Cell 2 4" xfId="306" xr:uid="{00000000-0005-0000-0000-000051010000}"/>
    <cellStyle name="Check Cell 2 5" xfId="307" xr:uid="{00000000-0005-0000-0000-000052010000}"/>
    <cellStyle name="Check Cell 2_QC" xfId="308" xr:uid="{00000000-0005-0000-0000-000053010000}"/>
    <cellStyle name="Check Cell 3" xfId="309" xr:uid="{00000000-0005-0000-0000-000054010000}"/>
    <cellStyle name="Check Cell 4" xfId="1306" xr:uid="{00000000-0005-0000-0000-000055010000}"/>
    <cellStyle name="Comma" xfId="1560" builtinId="3"/>
    <cellStyle name="Comma 0" xfId="311" xr:uid="{00000000-0005-0000-0000-000057010000}"/>
    <cellStyle name="Comma 10" xfId="312" xr:uid="{00000000-0005-0000-0000-000058010000}"/>
    <cellStyle name="Comma 10 2" xfId="313" xr:uid="{00000000-0005-0000-0000-000059010000}"/>
    <cellStyle name="Comma 10 2 2" xfId="1309" xr:uid="{00000000-0005-0000-0000-00005A010000}"/>
    <cellStyle name="Comma 10 2 2 2" xfId="2198" xr:uid="{00000000-0005-0000-0000-00005B010000}"/>
    <cellStyle name="Comma 10 2 3" xfId="1308" xr:uid="{00000000-0005-0000-0000-00005C010000}"/>
    <cellStyle name="Comma 10 2 4" xfId="1663" xr:uid="{00000000-0005-0000-0000-00005D010000}"/>
    <cellStyle name="Comma 10 3" xfId="1311" xr:uid="{00000000-0005-0000-0000-00005E010000}"/>
    <cellStyle name="Comma 10 3 2" xfId="2199" xr:uid="{00000000-0005-0000-0000-00005F010000}"/>
    <cellStyle name="Comma 10 4" xfId="1312" xr:uid="{00000000-0005-0000-0000-000060010000}"/>
    <cellStyle name="Comma 10 5" xfId="1307" xr:uid="{00000000-0005-0000-0000-000061010000}"/>
    <cellStyle name="Comma 10 6" xfId="1662" xr:uid="{00000000-0005-0000-0000-000062010000}"/>
    <cellStyle name="Comma 11" xfId="314" xr:uid="{00000000-0005-0000-0000-000063010000}"/>
    <cellStyle name="Comma 11 2" xfId="315" xr:uid="{00000000-0005-0000-0000-000064010000}"/>
    <cellStyle name="Comma 11 3" xfId="316" xr:uid="{00000000-0005-0000-0000-000065010000}"/>
    <cellStyle name="Comma 11 3 2" xfId="1313" xr:uid="{00000000-0005-0000-0000-000066010000}"/>
    <cellStyle name="Comma 11 3 3" xfId="1314" xr:uid="{00000000-0005-0000-0000-000067010000}"/>
    <cellStyle name="Comma 12" xfId="317" xr:uid="{00000000-0005-0000-0000-000068010000}"/>
    <cellStyle name="Comma 13" xfId="318" xr:uid="{00000000-0005-0000-0000-000069010000}"/>
    <cellStyle name="Comma 13 2" xfId="1315" xr:uid="{00000000-0005-0000-0000-00006A010000}"/>
    <cellStyle name="Comma 13 3" xfId="1316" xr:uid="{00000000-0005-0000-0000-00006B010000}"/>
    <cellStyle name="Comma 14" xfId="319" xr:uid="{00000000-0005-0000-0000-00006C010000}"/>
    <cellStyle name="Comma 15" xfId="310" xr:uid="{00000000-0005-0000-0000-00006D010000}"/>
    <cellStyle name="Comma 15 2" xfId="1318" xr:uid="{00000000-0005-0000-0000-00006E010000}"/>
    <cellStyle name="Comma 15 2 2" xfId="2201" xr:uid="{00000000-0005-0000-0000-00006F010000}"/>
    <cellStyle name="Comma 15 3" xfId="1317" xr:uid="{00000000-0005-0000-0000-000070010000}"/>
    <cellStyle name="Comma 15 3 2" xfId="2200" xr:uid="{00000000-0005-0000-0000-000071010000}"/>
    <cellStyle name="Comma 16" xfId="1319" xr:uid="{00000000-0005-0000-0000-000072010000}"/>
    <cellStyle name="Comma 16 2" xfId="1320" xr:uid="{00000000-0005-0000-0000-000073010000}"/>
    <cellStyle name="Comma 16 3" xfId="1321" xr:uid="{00000000-0005-0000-0000-000074010000}"/>
    <cellStyle name="Comma 16 3 2" xfId="2203" xr:uid="{00000000-0005-0000-0000-000075010000}"/>
    <cellStyle name="Comma 16 4" xfId="2202" xr:uid="{00000000-0005-0000-0000-000076010000}"/>
    <cellStyle name="Comma 17" xfId="1322" xr:uid="{00000000-0005-0000-0000-000077010000}"/>
    <cellStyle name="Comma 18" xfId="1323" xr:uid="{00000000-0005-0000-0000-000078010000}"/>
    <cellStyle name="Comma 18 2" xfId="2204" xr:uid="{00000000-0005-0000-0000-000079010000}"/>
    <cellStyle name="Comma 2" xfId="320" xr:uid="{00000000-0005-0000-0000-00007A010000}"/>
    <cellStyle name="Comma 2 2" xfId="321" xr:uid="{00000000-0005-0000-0000-00007B010000}"/>
    <cellStyle name="Comma 2 2 2" xfId="322" xr:uid="{00000000-0005-0000-0000-00007C010000}"/>
    <cellStyle name="Comma 2 2 2 2" xfId="323" xr:uid="{00000000-0005-0000-0000-00007D010000}"/>
    <cellStyle name="Comma 2 2 2 3" xfId="324" xr:uid="{00000000-0005-0000-0000-00007E010000}"/>
    <cellStyle name="Comma 2 2 3" xfId="325" xr:uid="{00000000-0005-0000-0000-00007F010000}"/>
    <cellStyle name="Comma 2 2 4" xfId="2381" xr:uid="{00000000-0005-0000-0000-000080010000}"/>
    <cellStyle name="Comma 2 3" xfId="326" xr:uid="{00000000-0005-0000-0000-000081010000}"/>
    <cellStyle name="Comma 2 3 2" xfId="327" xr:uid="{00000000-0005-0000-0000-000082010000}"/>
    <cellStyle name="Comma 2 4" xfId="328" xr:uid="{00000000-0005-0000-0000-000083010000}"/>
    <cellStyle name="Comma 2 4 2" xfId="329" xr:uid="{00000000-0005-0000-0000-000084010000}"/>
    <cellStyle name="Comma 2 4 2 2" xfId="1666" xr:uid="{00000000-0005-0000-0000-000085010000}"/>
    <cellStyle name="Comma 2 4 3" xfId="330" xr:uid="{00000000-0005-0000-0000-000086010000}"/>
    <cellStyle name="Comma 2 4 3 2" xfId="1667" xr:uid="{00000000-0005-0000-0000-000087010000}"/>
    <cellStyle name="Comma 2 4 4" xfId="1665" xr:uid="{00000000-0005-0000-0000-000088010000}"/>
    <cellStyle name="Comma 2 5" xfId="331" xr:uid="{00000000-0005-0000-0000-000089010000}"/>
    <cellStyle name="Comma 2 6" xfId="332" xr:uid="{00000000-0005-0000-0000-00008A010000}"/>
    <cellStyle name="Comma 2 7" xfId="1664" xr:uid="{00000000-0005-0000-0000-00008B010000}"/>
    <cellStyle name="Comma 2 8" xfId="2422" xr:uid="{00000000-0005-0000-0000-00008C010000}"/>
    <cellStyle name="Comma 2 9" xfId="2423" xr:uid="{00000000-0005-0000-0000-00008D010000}"/>
    <cellStyle name="Comma 2 9 2" xfId="2424" xr:uid="{00000000-0005-0000-0000-00008E010000}"/>
    <cellStyle name="Comma 2_BP-14 Preliminary Capital Forecast NonBudget System_5 2 13" xfId="333" xr:uid="{00000000-0005-0000-0000-00008F010000}"/>
    <cellStyle name="Comma 3" xfId="334" xr:uid="{00000000-0005-0000-0000-000090010000}"/>
    <cellStyle name="Comma 3 10" xfId="335" xr:uid="{00000000-0005-0000-0000-000091010000}"/>
    <cellStyle name="Comma 3 11" xfId="336" xr:uid="{00000000-0005-0000-0000-000092010000}"/>
    <cellStyle name="Comma 3 12" xfId="337" xr:uid="{00000000-0005-0000-0000-000093010000}"/>
    <cellStyle name="Comma 3 12 2" xfId="1325" xr:uid="{00000000-0005-0000-0000-000094010000}"/>
    <cellStyle name="Comma 3 12 2 2" xfId="2206" xr:uid="{00000000-0005-0000-0000-000095010000}"/>
    <cellStyle name="Comma 3 12 3" xfId="1668" xr:uid="{00000000-0005-0000-0000-000096010000}"/>
    <cellStyle name="Comma 3 13" xfId="338" xr:uid="{00000000-0005-0000-0000-000097010000}"/>
    <cellStyle name="Comma 3 14" xfId="2327" xr:uid="{00000000-0005-0000-0000-000098010000}"/>
    <cellStyle name="Comma 3 2" xfId="339" xr:uid="{00000000-0005-0000-0000-000099010000}"/>
    <cellStyle name="Comma 3 2 10" xfId="2328" xr:uid="{00000000-0005-0000-0000-00009A010000}"/>
    <cellStyle name="Comma 3 2 2" xfId="340" xr:uid="{00000000-0005-0000-0000-00009B010000}"/>
    <cellStyle name="Comma 3 2 2 2" xfId="341" xr:uid="{00000000-0005-0000-0000-00009C010000}"/>
    <cellStyle name="Comma 3 2 2 2 2" xfId="342" xr:uid="{00000000-0005-0000-0000-00009D010000}"/>
    <cellStyle name="Comma 3 2 2 2 2 2" xfId="1669" xr:uid="{00000000-0005-0000-0000-00009E010000}"/>
    <cellStyle name="Comma 3 2 2 2 3" xfId="1326" xr:uid="{00000000-0005-0000-0000-00009F010000}"/>
    <cellStyle name="Comma 3 2 2 3" xfId="343" xr:uid="{00000000-0005-0000-0000-0000A0010000}"/>
    <cellStyle name="Comma 3 2 2 3 2" xfId="344" xr:uid="{00000000-0005-0000-0000-0000A1010000}"/>
    <cellStyle name="Comma 3 2 2 3 3" xfId="345" xr:uid="{00000000-0005-0000-0000-0000A2010000}"/>
    <cellStyle name="Comma 3 2 2 3 3 2" xfId="1327" xr:uid="{00000000-0005-0000-0000-0000A3010000}"/>
    <cellStyle name="Comma 3 2 2 3 3 3" xfId="1328" xr:uid="{00000000-0005-0000-0000-0000A4010000}"/>
    <cellStyle name="Comma 3 2 2 4" xfId="346" xr:uid="{00000000-0005-0000-0000-0000A5010000}"/>
    <cellStyle name="Comma 3 2 2 5" xfId="347" xr:uid="{00000000-0005-0000-0000-0000A6010000}"/>
    <cellStyle name="Comma 3 2 2 5 2" xfId="1329" xr:uid="{00000000-0005-0000-0000-0000A7010000}"/>
    <cellStyle name="Comma 3 2 2 5 3" xfId="1330" xr:uid="{00000000-0005-0000-0000-0000A8010000}"/>
    <cellStyle name="Comma 3 2 2 6" xfId="348" xr:uid="{00000000-0005-0000-0000-0000A9010000}"/>
    <cellStyle name="Comma 3 2 2 7" xfId="349" xr:uid="{00000000-0005-0000-0000-0000AA010000}"/>
    <cellStyle name="Comma 3 2 2 7 2" xfId="1670" xr:uid="{00000000-0005-0000-0000-0000AB010000}"/>
    <cellStyle name="Comma 3 2 2 8" xfId="350" xr:uid="{00000000-0005-0000-0000-0000AC010000}"/>
    <cellStyle name="Comma 3 2 2 8 2" xfId="1332" xr:uid="{00000000-0005-0000-0000-0000AD010000}"/>
    <cellStyle name="Comma 3 2 3" xfId="351" xr:uid="{00000000-0005-0000-0000-0000AE010000}"/>
    <cellStyle name="Comma 3 2 3 2" xfId="352" xr:uid="{00000000-0005-0000-0000-0000AF010000}"/>
    <cellStyle name="Comma 3 2 3 2 2" xfId="1672" xr:uid="{00000000-0005-0000-0000-0000B0010000}"/>
    <cellStyle name="Comma 3 2 3 3" xfId="353" xr:uid="{00000000-0005-0000-0000-0000B1010000}"/>
    <cellStyle name="Comma 3 2 3 4" xfId="354" xr:uid="{00000000-0005-0000-0000-0000B2010000}"/>
    <cellStyle name="Comma 3 2 3 5" xfId="1671" xr:uid="{00000000-0005-0000-0000-0000B3010000}"/>
    <cellStyle name="Comma 3 2 4" xfId="355" xr:uid="{00000000-0005-0000-0000-0000B4010000}"/>
    <cellStyle name="Comma 3 2 4 2" xfId="356" xr:uid="{00000000-0005-0000-0000-0000B5010000}"/>
    <cellStyle name="Comma 3 2 5" xfId="357" xr:uid="{00000000-0005-0000-0000-0000B6010000}"/>
    <cellStyle name="Comma 3 2 5 2" xfId="358" xr:uid="{00000000-0005-0000-0000-0000B7010000}"/>
    <cellStyle name="Comma 3 2 5 3" xfId="359" xr:uid="{00000000-0005-0000-0000-0000B8010000}"/>
    <cellStyle name="Comma 3 2 5 3 2" xfId="1333" xr:uid="{00000000-0005-0000-0000-0000B9010000}"/>
    <cellStyle name="Comma 3 2 5 3 3" xfId="1334" xr:uid="{00000000-0005-0000-0000-0000BA010000}"/>
    <cellStyle name="Comma 3 2 6" xfId="360" xr:uid="{00000000-0005-0000-0000-0000BB010000}"/>
    <cellStyle name="Comma 3 2 7" xfId="361" xr:uid="{00000000-0005-0000-0000-0000BC010000}"/>
    <cellStyle name="Comma 3 2 8" xfId="362" xr:uid="{00000000-0005-0000-0000-0000BD010000}"/>
    <cellStyle name="Comma 3 2 9" xfId="363" xr:uid="{00000000-0005-0000-0000-0000BE010000}"/>
    <cellStyle name="Comma 3 3" xfId="364" xr:uid="{00000000-0005-0000-0000-0000BF010000}"/>
    <cellStyle name="Comma 3 3 2" xfId="365" xr:uid="{00000000-0005-0000-0000-0000C0010000}"/>
    <cellStyle name="Comma 3 3 2 2" xfId="1673" xr:uid="{00000000-0005-0000-0000-0000C1010000}"/>
    <cellStyle name="Comma 3 3 3" xfId="366" xr:uid="{00000000-0005-0000-0000-0000C2010000}"/>
    <cellStyle name="Comma 3 3 4" xfId="367" xr:uid="{00000000-0005-0000-0000-0000C3010000}"/>
    <cellStyle name="Comma 3 3 4 2" xfId="1674" xr:uid="{00000000-0005-0000-0000-0000C4010000}"/>
    <cellStyle name="Comma 3 4" xfId="368" xr:uid="{00000000-0005-0000-0000-0000C5010000}"/>
    <cellStyle name="Comma 3 4 2" xfId="369" xr:uid="{00000000-0005-0000-0000-0000C6010000}"/>
    <cellStyle name="Comma 3 4 2 2" xfId="370" xr:uid="{00000000-0005-0000-0000-0000C7010000}"/>
    <cellStyle name="Comma 3 4 2 3" xfId="371" xr:uid="{00000000-0005-0000-0000-0000C8010000}"/>
    <cellStyle name="Comma 3 4 2 3 2" xfId="1335" xr:uid="{00000000-0005-0000-0000-0000C9010000}"/>
    <cellStyle name="Comma 3 4 2 3 3" xfId="1336" xr:uid="{00000000-0005-0000-0000-0000CA010000}"/>
    <cellStyle name="Comma 3 4 3" xfId="372" xr:uid="{00000000-0005-0000-0000-0000CB010000}"/>
    <cellStyle name="Comma 3 4 3 2" xfId="1337" xr:uid="{00000000-0005-0000-0000-0000CC010000}"/>
    <cellStyle name="Comma 3 4 3 3" xfId="1338" xr:uid="{00000000-0005-0000-0000-0000CD010000}"/>
    <cellStyle name="Comma 3 4 4" xfId="373" xr:uid="{00000000-0005-0000-0000-0000CE010000}"/>
    <cellStyle name="Comma 3 4 5" xfId="374" xr:uid="{00000000-0005-0000-0000-0000CF010000}"/>
    <cellStyle name="Comma 3 4 5 2" xfId="1339" xr:uid="{00000000-0005-0000-0000-0000D0010000}"/>
    <cellStyle name="Comma 3 5" xfId="375" xr:uid="{00000000-0005-0000-0000-0000D1010000}"/>
    <cellStyle name="Comma 3 5 2" xfId="376" xr:uid="{00000000-0005-0000-0000-0000D2010000}"/>
    <cellStyle name="Comma 3 5 2 2" xfId="377" xr:uid="{00000000-0005-0000-0000-0000D3010000}"/>
    <cellStyle name="Comma 3 5 2 3" xfId="378" xr:uid="{00000000-0005-0000-0000-0000D4010000}"/>
    <cellStyle name="Comma 3 5 2 3 2" xfId="1340" xr:uid="{00000000-0005-0000-0000-0000D5010000}"/>
    <cellStyle name="Comma 3 5 2 3 3" xfId="1341" xr:uid="{00000000-0005-0000-0000-0000D6010000}"/>
    <cellStyle name="Comma 3 5 3" xfId="379" xr:uid="{00000000-0005-0000-0000-0000D7010000}"/>
    <cellStyle name="Comma 3 5 3 2" xfId="1342" xr:uid="{00000000-0005-0000-0000-0000D8010000}"/>
    <cellStyle name="Comma 3 5 3 3" xfId="1343" xr:uid="{00000000-0005-0000-0000-0000D9010000}"/>
    <cellStyle name="Comma 3 5 4" xfId="380" xr:uid="{00000000-0005-0000-0000-0000DA010000}"/>
    <cellStyle name="Comma 3 5 4 2" xfId="1675" xr:uid="{00000000-0005-0000-0000-0000DB010000}"/>
    <cellStyle name="Comma 3 5 5" xfId="381" xr:uid="{00000000-0005-0000-0000-0000DC010000}"/>
    <cellStyle name="Comma 3 5 5 2" xfId="1344" xr:uid="{00000000-0005-0000-0000-0000DD010000}"/>
    <cellStyle name="Comma 3 6" xfId="382" xr:uid="{00000000-0005-0000-0000-0000DE010000}"/>
    <cellStyle name="Comma 3 6 2" xfId="383" xr:uid="{00000000-0005-0000-0000-0000DF010000}"/>
    <cellStyle name="Comma 3 6 2 2" xfId="384" xr:uid="{00000000-0005-0000-0000-0000E0010000}"/>
    <cellStyle name="Comma 3 6 2 3" xfId="385" xr:uid="{00000000-0005-0000-0000-0000E1010000}"/>
    <cellStyle name="Comma 3 6 3" xfId="386" xr:uid="{00000000-0005-0000-0000-0000E2010000}"/>
    <cellStyle name="Comma 3 7" xfId="387" xr:uid="{00000000-0005-0000-0000-0000E3010000}"/>
    <cellStyle name="Comma 3 8" xfId="388" xr:uid="{00000000-0005-0000-0000-0000E4010000}"/>
    <cellStyle name="Comma 3 8 2" xfId="389" xr:uid="{00000000-0005-0000-0000-0000E5010000}"/>
    <cellStyle name="Comma 3 9" xfId="390" xr:uid="{00000000-0005-0000-0000-0000E6010000}"/>
    <cellStyle name="Comma 3 9 2" xfId="391" xr:uid="{00000000-0005-0000-0000-0000E7010000}"/>
    <cellStyle name="Comma 3 9 3" xfId="392" xr:uid="{00000000-0005-0000-0000-0000E8010000}"/>
    <cellStyle name="Comma 3 9 3 2" xfId="1346" xr:uid="{00000000-0005-0000-0000-0000E9010000}"/>
    <cellStyle name="Comma 3 9 3 3" xfId="1347" xr:uid="{00000000-0005-0000-0000-0000EA010000}"/>
    <cellStyle name="Comma 4" xfId="393" xr:uid="{00000000-0005-0000-0000-0000EB010000}"/>
    <cellStyle name="Comma 4 2" xfId="394" xr:uid="{00000000-0005-0000-0000-0000EC010000}"/>
    <cellStyle name="Comma 4 2 2" xfId="395" xr:uid="{00000000-0005-0000-0000-0000ED010000}"/>
    <cellStyle name="Comma 4 2 2 2" xfId="396" xr:uid="{00000000-0005-0000-0000-0000EE010000}"/>
    <cellStyle name="Comma 4 2 2 2 2" xfId="1677" xr:uid="{00000000-0005-0000-0000-0000EF010000}"/>
    <cellStyle name="Comma 4 2 2 3" xfId="1348" xr:uid="{00000000-0005-0000-0000-0000F0010000}"/>
    <cellStyle name="Comma 4 2 3" xfId="397" xr:uid="{00000000-0005-0000-0000-0000F1010000}"/>
    <cellStyle name="Comma 4 2 3 2" xfId="1678" xr:uid="{00000000-0005-0000-0000-0000F2010000}"/>
    <cellStyle name="Comma 4 2 4" xfId="398" xr:uid="{00000000-0005-0000-0000-0000F3010000}"/>
    <cellStyle name="Comma 4 2 4 2" xfId="399" xr:uid="{00000000-0005-0000-0000-0000F4010000}"/>
    <cellStyle name="Comma 4 2 4 3" xfId="400" xr:uid="{00000000-0005-0000-0000-0000F5010000}"/>
    <cellStyle name="Comma 4 2 4 3 2" xfId="1349" xr:uid="{00000000-0005-0000-0000-0000F6010000}"/>
    <cellStyle name="Comma 4 2 4 3 3" xfId="1350" xr:uid="{00000000-0005-0000-0000-0000F7010000}"/>
    <cellStyle name="Comma 4 2 5" xfId="401" xr:uid="{00000000-0005-0000-0000-0000F8010000}"/>
    <cellStyle name="Comma 4 2 5 2" xfId="1351" xr:uid="{00000000-0005-0000-0000-0000F9010000}"/>
    <cellStyle name="Comma 4 2 5 3" xfId="1352" xr:uid="{00000000-0005-0000-0000-0000FA010000}"/>
    <cellStyle name="Comma 4 2 6" xfId="402" xr:uid="{00000000-0005-0000-0000-0000FB010000}"/>
    <cellStyle name="Comma 4 2 7" xfId="403" xr:uid="{00000000-0005-0000-0000-0000FC010000}"/>
    <cellStyle name="Comma 4 2 7 2" xfId="1679" xr:uid="{00000000-0005-0000-0000-0000FD010000}"/>
    <cellStyle name="Comma 4 2 8" xfId="404" xr:uid="{00000000-0005-0000-0000-0000FE010000}"/>
    <cellStyle name="Comma 4 2 8 2" xfId="1353" xr:uid="{00000000-0005-0000-0000-0000FF010000}"/>
    <cellStyle name="Comma 4 3" xfId="1676" xr:uid="{00000000-0005-0000-0000-000000020000}"/>
    <cellStyle name="Comma 5" xfId="405" xr:uid="{00000000-0005-0000-0000-000001020000}"/>
    <cellStyle name="Comma 5 2" xfId="406" xr:uid="{00000000-0005-0000-0000-000002020000}"/>
    <cellStyle name="Comma 5 2 2" xfId="1681" xr:uid="{00000000-0005-0000-0000-000003020000}"/>
    <cellStyle name="Comma 5 3" xfId="407" xr:uid="{00000000-0005-0000-0000-000004020000}"/>
    <cellStyle name="Comma 5 3 2" xfId="1682" xr:uid="{00000000-0005-0000-0000-000005020000}"/>
    <cellStyle name="Comma 5 4" xfId="408" xr:uid="{00000000-0005-0000-0000-000006020000}"/>
    <cellStyle name="Comma 5 5" xfId="1680" xr:uid="{00000000-0005-0000-0000-000007020000}"/>
    <cellStyle name="Comma 6" xfId="409" xr:uid="{00000000-0005-0000-0000-000008020000}"/>
    <cellStyle name="Comma 6 10" xfId="410" xr:uid="{00000000-0005-0000-0000-000009020000}"/>
    <cellStyle name="Comma 6 11" xfId="1683" xr:uid="{00000000-0005-0000-0000-00000A020000}"/>
    <cellStyle name="Comma 6 2" xfId="411" xr:uid="{00000000-0005-0000-0000-00000B020000}"/>
    <cellStyle name="Comma 6 2 2" xfId="412" xr:uid="{00000000-0005-0000-0000-00000C020000}"/>
    <cellStyle name="Comma 6 2 3" xfId="413" xr:uid="{00000000-0005-0000-0000-00000D020000}"/>
    <cellStyle name="Comma 6 2 3 2" xfId="1685" xr:uid="{00000000-0005-0000-0000-00000E020000}"/>
    <cellStyle name="Comma 6 2 4" xfId="414" xr:uid="{00000000-0005-0000-0000-00000F020000}"/>
    <cellStyle name="Comma 6 2 5" xfId="1684" xr:uid="{00000000-0005-0000-0000-000010020000}"/>
    <cellStyle name="Comma 6 3" xfId="415" xr:uid="{00000000-0005-0000-0000-000011020000}"/>
    <cellStyle name="Comma 6 3 2" xfId="416" xr:uid="{00000000-0005-0000-0000-000012020000}"/>
    <cellStyle name="Comma 6 3 3" xfId="417" xr:uid="{00000000-0005-0000-0000-000013020000}"/>
    <cellStyle name="Comma 6 3 3 2" xfId="1686" xr:uid="{00000000-0005-0000-0000-000014020000}"/>
    <cellStyle name="Comma 6 4" xfId="418" xr:uid="{00000000-0005-0000-0000-000015020000}"/>
    <cellStyle name="Comma 6 4 2" xfId="419" xr:uid="{00000000-0005-0000-0000-000016020000}"/>
    <cellStyle name="Comma 6 5" xfId="420" xr:uid="{00000000-0005-0000-0000-000017020000}"/>
    <cellStyle name="Comma 6 6" xfId="421" xr:uid="{00000000-0005-0000-0000-000018020000}"/>
    <cellStyle name="Comma 6 6 2" xfId="422" xr:uid="{00000000-0005-0000-0000-000019020000}"/>
    <cellStyle name="Comma 6 6 3" xfId="423" xr:uid="{00000000-0005-0000-0000-00001A020000}"/>
    <cellStyle name="Comma 6 6 3 2" xfId="1354" xr:uid="{00000000-0005-0000-0000-00001B020000}"/>
    <cellStyle name="Comma 6 6 3 3" xfId="1355" xr:uid="{00000000-0005-0000-0000-00001C020000}"/>
    <cellStyle name="Comma 6 7" xfId="424" xr:uid="{00000000-0005-0000-0000-00001D020000}"/>
    <cellStyle name="Comma 6 7 2" xfId="1356" xr:uid="{00000000-0005-0000-0000-00001E020000}"/>
    <cellStyle name="Comma 6 7 3" xfId="1357" xr:uid="{00000000-0005-0000-0000-00001F020000}"/>
    <cellStyle name="Comma 6 8" xfId="425" xr:uid="{00000000-0005-0000-0000-000020020000}"/>
    <cellStyle name="Comma 6 8 2" xfId="1687" xr:uid="{00000000-0005-0000-0000-000021020000}"/>
    <cellStyle name="Comma 6 9" xfId="426" xr:uid="{00000000-0005-0000-0000-000022020000}"/>
    <cellStyle name="Comma 7" xfId="427" xr:uid="{00000000-0005-0000-0000-000023020000}"/>
    <cellStyle name="Comma 7 2" xfId="428" xr:uid="{00000000-0005-0000-0000-000024020000}"/>
    <cellStyle name="Comma 7 2 2" xfId="1688" xr:uid="{00000000-0005-0000-0000-000025020000}"/>
    <cellStyle name="Comma 7 3" xfId="429" xr:uid="{00000000-0005-0000-0000-000026020000}"/>
    <cellStyle name="Comma 7 4" xfId="430" xr:uid="{00000000-0005-0000-0000-000027020000}"/>
    <cellStyle name="Comma 7 4 2" xfId="1689" xr:uid="{00000000-0005-0000-0000-000028020000}"/>
    <cellStyle name="Comma 7 5" xfId="431" xr:uid="{00000000-0005-0000-0000-000029020000}"/>
    <cellStyle name="Comma 7 5 2" xfId="1690" xr:uid="{00000000-0005-0000-0000-00002A020000}"/>
    <cellStyle name="Comma 8" xfId="432" xr:uid="{00000000-0005-0000-0000-00002B020000}"/>
    <cellStyle name="Comma 8 2" xfId="433" xr:uid="{00000000-0005-0000-0000-00002C020000}"/>
    <cellStyle name="Comma 8 3" xfId="434" xr:uid="{00000000-0005-0000-0000-00002D020000}"/>
    <cellStyle name="Comma 8 3 2" xfId="1691" xr:uid="{00000000-0005-0000-0000-00002E020000}"/>
    <cellStyle name="Comma 8 4" xfId="435" xr:uid="{00000000-0005-0000-0000-00002F020000}"/>
    <cellStyle name="Comma 8 4 2" xfId="1692" xr:uid="{00000000-0005-0000-0000-000030020000}"/>
    <cellStyle name="Comma 8 5" xfId="436" xr:uid="{00000000-0005-0000-0000-000031020000}"/>
    <cellStyle name="Comma 8 5 2" xfId="1693" xr:uid="{00000000-0005-0000-0000-000032020000}"/>
    <cellStyle name="Comma 8 6" xfId="437" xr:uid="{00000000-0005-0000-0000-000033020000}"/>
    <cellStyle name="Comma 9" xfId="438" xr:uid="{00000000-0005-0000-0000-000034020000}"/>
    <cellStyle name="Comma 9 2" xfId="439" xr:uid="{00000000-0005-0000-0000-000035020000}"/>
    <cellStyle name="Comma 9 2 2" xfId="1695" xr:uid="{00000000-0005-0000-0000-000036020000}"/>
    <cellStyle name="Comma 9 3" xfId="440" xr:uid="{00000000-0005-0000-0000-000037020000}"/>
    <cellStyle name="Comma 9 4" xfId="1694" xr:uid="{00000000-0005-0000-0000-000038020000}"/>
    <cellStyle name="Comma0" xfId="441" xr:uid="{00000000-0005-0000-0000-000039020000}"/>
    <cellStyle name="Comma0 - Style4" xfId="442" xr:uid="{00000000-0005-0000-0000-00003A020000}"/>
    <cellStyle name="Comma0 10" xfId="2348" xr:uid="{00000000-0005-0000-0000-00003B020000}"/>
    <cellStyle name="Comma0 11" xfId="2398" xr:uid="{00000000-0005-0000-0000-00003C020000}"/>
    <cellStyle name="Comma0 12" xfId="2399" xr:uid="{00000000-0005-0000-0000-00003D020000}"/>
    <cellStyle name="Comma0 13" xfId="2400" xr:uid="{00000000-0005-0000-0000-00003E020000}"/>
    <cellStyle name="Comma0 14" xfId="2401" xr:uid="{00000000-0005-0000-0000-00003F020000}"/>
    <cellStyle name="Comma0 15" xfId="2403" xr:uid="{00000000-0005-0000-0000-000040020000}"/>
    <cellStyle name="Comma0 2" xfId="1696" xr:uid="{00000000-0005-0000-0000-000041020000}"/>
    <cellStyle name="Comma0 3" xfId="2329" xr:uid="{00000000-0005-0000-0000-000042020000}"/>
    <cellStyle name="Comma0 4" xfId="2336" xr:uid="{00000000-0005-0000-0000-000043020000}"/>
    <cellStyle name="Comma0 5" xfId="2340" xr:uid="{00000000-0005-0000-0000-000044020000}"/>
    <cellStyle name="Comma0 6" xfId="2341" xr:uid="{00000000-0005-0000-0000-000045020000}"/>
    <cellStyle name="Comma0 7" xfId="2346" xr:uid="{00000000-0005-0000-0000-000046020000}"/>
    <cellStyle name="Comma0 8" xfId="2347" xr:uid="{00000000-0005-0000-0000-000047020000}"/>
    <cellStyle name="Comma0 9" xfId="2349" xr:uid="{00000000-0005-0000-0000-000048020000}"/>
    <cellStyle name="Copied" xfId="443" xr:uid="{00000000-0005-0000-0000-000049020000}"/>
    <cellStyle name="COST1" xfId="444" xr:uid="{00000000-0005-0000-0000-00004A020000}"/>
    <cellStyle name="Curren - Style1" xfId="445" xr:uid="{00000000-0005-0000-0000-00004B020000}"/>
    <cellStyle name="Curren - Style5" xfId="446" xr:uid="{00000000-0005-0000-0000-00004C020000}"/>
    <cellStyle name="Currency" xfId="2437" builtinId="4"/>
    <cellStyle name="Currency 0" xfId="448" xr:uid="{00000000-0005-0000-0000-00004E020000}"/>
    <cellStyle name="Currency 2" xfId="449" xr:uid="{00000000-0005-0000-0000-00004F020000}"/>
    <cellStyle name="Currency 2 2" xfId="450" xr:uid="{00000000-0005-0000-0000-000050020000}"/>
    <cellStyle name="Currency 2 3" xfId="451" xr:uid="{00000000-0005-0000-0000-000051020000}"/>
    <cellStyle name="Currency 2 3 2" xfId="1698" xr:uid="{00000000-0005-0000-0000-000052020000}"/>
    <cellStyle name="Currency 2 4" xfId="452" xr:uid="{00000000-0005-0000-0000-000053020000}"/>
    <cellStyle name="Currency 2 5" xfId="1697" xr:uid="{00000000-0005-0000-0000-000054020000}"/>
    <cellStyle name="Currency 2 6" xfId="2425" xr:uid="{00000000-0005-0000-0000-000055020000}"/>
    <cellStyle name="Currency 2 7" xfId="2426" xr:uid="{00000000-0005-0000-0000-000056020000}"/>
    <cellStyle name="Currency 2 7 2" xfId="2427" xr:uid="{00000000-0005-0000-0000-000057020000}"/>
    <cellStyle name="Currency 3" xfId="453" xr:uid="{00000000-0005-0000-0000-000058020000}"/>
    <cellStyle name="Currency 3 2" xfId="454" xr:uid="{00000000-0005-0000-0000-000059020000}"/>
    <cellStyle name="Currency 4" xfId="455" xr:uid="{00000000-0005-0000-0000-00005A020000}"/>
    <cellStyle name="Currency 4 2" xfId="456" xr:uid="{00000000-0005-0000-0000-00005B020000}"/>
    <cellStyle name="Currency 4 2 2" xfId="1700" xr:uid="{00000000-0005-0000-0000-00005C020000}"/>
    <cellStyle name="Currency 4 3" xfId="457" xr:uid="{00000000-0005-0000-0000-00005D020000}"/>
    <cellStyle name="Currency 4 4" xfId="1699" xr:uid="{00000000-0005-0000-0000-00005E020000}"/>
    <cellStyle name="Currency 5" xfId="458" xr:uid="{00000000-0005-0000-0000-00005F020000}"/>
    <cellStyle name="Currency 6" xfId="459" xr:uid="{00000000-0005-0000-0000-000060020000}"/>
    <cellStyle name="Currency 7" xfId="447" xr:uid="{00000000-0005-0000-0000-000061020000}"/>
    <cellStyle name="Currency 7 2" xfId="1358" xr:uid="{00000000-0005-0000-0000-000062020000}"/>
    <cellStyle name="Currency 7 2 2" xfId="2208" xr:uid="{00000000-0005-0000-0000-000063020000}"/>
    <cellStyle name="Currency 8" xfId="1359" xr:uid="{00000000-0005-0000-0000-000064020000}"/>
    <cellStyle name="Currency 8 2" xfId="2209" xr:uid="{00000000-0005-0000-0000-000065020000}"/>
    <cellStyle name="Currency 9" xfId="1360" xr:uid="{00000000-0005-0000-0000-000066020000}"/>
    <cellStyle name="Currency 9 2" xfId="2210" xr:uid="{00000000-0005-0000-0000-000067020000}"/>
    <cellStyle name="Currency0" xfId="460" xr:uid="{00000000-0005-0000-0000-000068020000}"/>
    <cellStyle name="Currency0 2" xfId="1701" xr:uid="{00000000-0005-0000-0000-000069020000}"/>
    <cellStyle name="Date" xfId="461" xr:uid="{00000000-0005-0000-0000-00006A020000}"/>
    <cellStyle name="Date 2" xfId="462" xr:uid="{00000000-0005-0000-0000-00006B020000}"/>
    <cellStyle name="Date Aligned" xfId="463" xr:uid="{00000000-0005-0000-0000-00006C020000}"/>
    <cellStyle name="Dotted Line" xfId="464" xr:uid="{00000000-0005-0000-0000-00006D020000}"/>
    <cellStyle name="Entered" xfId="465" xr:uid="{00000000-0005-0000-0000-00006E020000}"/>
    <cellStyle name="Entered 2" xfId="1702" xr:uid="{00000000-0005-0000-0000-00006F020000}"/>
    <cellStyle name="Explanatory Text 2" xfId="466" xr:uid="{00000000-0005-0000-0000-000070020000}"/>
    <cellStyle name="Explanatory Text 2 2" xfId="467" xr:uid="{00000000-0005-0000-0000-000071020000}"/>
    <cellStyle name="Explanatory Text 2 2 2" xfId="468" xr:uid="{00000000-0005-0000-0000-000072020000}"/>
    <cellStyle name="Explanatory Text 2 2 3" xfId="469" xr:uid="{00000000-0005-0000-0000-000073020000}"/>
    <cellStyle name="Explanatory Text 2 2 4" xfId="470" xr:uid="{00000000-0005-0000-0000-000074020000}"/>
    <cellStyle name="Explanatory Text 2 3" xfId="471" xr:uid="{00000000-0005-0000-0000-000075020000}"/>
    <cellStyle name="Explanatory Text 2 4" xfId="472" xr:uid="{00000000-0005-0000-0000-000076020000}"/>
    <cellStyle name="Explanatory Text 2 5" xfId="473" xr:uid="{00000000-0005-0000-0000-000077020000}"/>
    <cellStyle name="Explanatory Text 2_QC Sheet" xfId="474" xr:uid="{00000000-0005-0000-0000-000078020000}"/>
    <cellStyle name="Explanatory Text 3" xfId="475" xr:uid="{00000000-0005-0000-0000-000079020000}"/>
    <cellStyle name="Explanatory Text 4" xfId="1361" xr:uid="{00000000-0005-0000-0000-00007A020000}"/>
    <cellStyle name="Fixed" xfId="476" xr:uid="{00000000-0005-0000-0000-00007B020000}"/>
    <cellStyle name="Fixed3 - Style3" xfId="477" xr:uid="{00000000-0005-0000-0000-00007C020000}"/>
    <cellStyle name="Footnote" xfId="478" xr:uid="{00000000-0005-0000-0000-00007D020000}"/>
    <cellStyle name="Good 2" xfId="479" xr:uid="{00000000-0005-0000-0000-00007E020000}"/>
    <cellStyle name="Good 2 2" xfId="480" xr:uid="{00000000-0005-0000-0000-00007F020000}"/>
    <cellStyle name="Good 2 2 2" xfId="481" xr:uid="{00000000-0005-0000-0000-000080020000}"/>
    <cellStyle name="Good 2 2 3" xfId="482" xr:uid="{00000000-0005-0000-0000-000081020000}"/>
    <cellStyle name="Good 2 2 4" xfId="483" xr:uid="{00000000-0005-0000-0000-000082020000}"/>
    <cellStyle name="Good 2 3" xfId="484" xr:uid="{00000000-0005-0000-0000-000083020000}"/>
    <cellStyle name="Good 2 4" xfId="485" xr:uid="{00000000-0005-0000-0000-000084020000}"/>
    <cellStyle name="Good 2 5" xfId="486" xr:uid="{00000000-0005-0000-0000-000085020000}"/>
    <cellStyle name="Good 2_QC Sheet" xfId="487" xr:uid="{00000000-0005-0000-0000-000086020000}"/>
    <cellStyle name="Good 3" xfId="488" xr:uid="{00000000-0005-0000-0000-000087020000}"/>
    <cellStyle name="Good 4" xfId="1362" xr:uid="{00000000-0005-0000-0000-000088020000}"/>
    <cellStyle name="Grey" xfId="489" xr:uid="{00000000-0005-0000-0000-000089020000}"/>
    <cellStyle name="Grey 2" xfId="490" xr:uid="{00000000-0005-0000-0000-00008A020000}"/>
    <cellStyle name="Hard Percent" xfId="491" xr:uid="{00000000-0005-0000-0000-00008B020000}"/>
    <cellStyle name="Header" xfId="492" xr:uid="{00000000-0005-0000-0000-00008C020000}"/>
    <cellStyle name="Header1" xfId="493" xr:uid="{00000000-0005-0000-0000-00008D020000}"/>
    <cellStyle name="Header2" xfId="494" xr:uid="{00000000-0005-0000-0000-00008E020000}"/>
    <cellStyle name="Heading 1 2" xfId="495" xr:uid="{00000000-0005-0000-0000-00008F020000}"/>
    <cellStyle name="Heading 1 2 2" xfId="496" xr:uid="{00000000-0005-0000-0000-000090020000}"/>
    <cellStyle name="Heading 1 2 2 2" xfId="497" xr:uid="{00000000-0005-0000-0000-000091020000}"/>
    <cellStyle name="Heading 1 2 2 3" xfId="498" xr:uid="{00000000-0005-0000-0000-000092020000}"/>
    <cellStyle name="Heading 1 2 3" xfId="499" xr:uid="{00000000-0005-0000-0000-000093020000}"/>
    <cellStyle name="Heading 1 2 4" xfId="500" xr:uid="{00000000-0005-0000-0000-000094020000}"/>
    <cellStyle name="Heading 1 2 5" xfId="501" xr:uid="{00000000-0005-0000-0000-000095020000}"/>
    <cellStyle name="Heading 1 2_QC" xfId="502" xr:uid="{00000000-0005-0000-0000-000096020000}"/>
    <cellStyle name="Heading 1 3" xfId="503" xr:uid="{00000000-0005-0000-0000-000097020000}"/>
    <cellStyle name="Heading 1 4" xfId="1363" xr:uid="{00000000-0005-0000-0000-000098020000}"/>
    <cellStyle name="Heading 2 2" xfId="504" xr:uid="{00000000-0005-0000-0000-000099020000}"/>
    <cellStyle name="Heading 2 2 2" xfId="505" xr:uid="{00000000-0005-0000-0000-00009A020000}"/>
    <cellStyle name="Heading 2 2 2 2" xfId="506" xr:uid="{00000000-0005-0000-0000-00009B020000}"/>
    <cellStyle name="Heading 2 2 2 3" xfId="507" xr:uid="{00000000-0005-0000-0000-00009C020000}"/>
    <cellStyle name="Heading 2 2 3" xfId="508" xr:uid="{00000000-0005-0000-0000-00009D020000}"/>
    <cellStyle name="Heading 2 2 4" xfId="509" xr:uid="{00000000-0005-0000-0000-00009E020000}"/>
    <cellStyle name="Heading 2 2 5" xfId="510" xr:uid="{00000000-0005-0000-0000-00009F020000}"/>
    <cellStyle name="Heading 2 2_QC" xfId="511" xr:uid="{00000000-0005-0000-0000-0000A0020000}"/>
    <cellStyle name="Heading 2 3" xfId="512" xr:uid="{00000000-0005-0000-0000-0000A1020000}"/>
    <cellStyle name="Heading 2 4" xfId="1365" xr:uid="{00000000-0005-0000-0000-0000A2020000}"/>
    <cellStyle name="Heading 3 2" xfId="513" xr:uid="{00000000-0005-0000-0000-0000A3020000}"/>
    <cellStyle name="Heading 3 2 2" xfId="514" xr:uid="{00000000-0005-0000-0000-0000A4020000}"/>
    <cellStyle name="Heading 3 2 2 2" xfId="515" xr:uid="{00000000-0005-0000-0000-0000A5020000}"/>
    <cellStyle name="Heading 3 2 2 3" xfId="516" xr:uid="{00000000-0005-0000-0000-0000A6020000}"/>
    <cellStyle name="Heading 3 2 3" xfId="517" xr:uid="{00000000-0005-0000-0000-0000A7020000}"/>
    <cellStyle name="Heading 3 2 4" xfId="518" xr:uid="{00000000-0005-0000-0000-0000A8020000}"/>
    <cellStyle name="Heading 3 2 5" xfId="519" xr:uid="{00000000-0005-0000-0000-0000A9020000}"/>
    <cellStyle name="Heading 3 2_QC" xfId="520" xr:uid="{00000000-0005-0000-0000-0000AA020000}"/>
    <cellStyle name="Heading 3 3" xfId="521" xr:uid="{00000000-0005-0000-0000-0000AB020000}"/>
    <cellStyle name="Heading 3 4" xfId="1366" xr:uid="{00000000-0005-0000-0000-0000AC020000}"/>
    <cellStyle name="Heading 4 2" xfId="522" xr:uid="{00000000-0005-0000-0000-0000AD020000}"/>
    <cellStyle name="Heading 4 2 2" xfId="523" xr:uid="{00000000-0005-0000-0000-0000AE020000}"/>
    <cellStyle name="Heading 4 2 2 2" xfId="524" xr:uid="{00000000-0005-0000-0000-0000AF020000}"/>
    <cellStyle name="Heading 4 2 2 3" xfId="525" xr:uid="{00000000-0005-0000-0000-0000B0020000}"/>
    <cellStyle name="Heading 4 2 3" xfId="526" xr:uid="{00000000-0005-0000-0000-0000B1020000}"/>
    <cellStyle name="Heading 4 2 4" xfId="527" xr:uid="{00000000-0005-0000-0000-0000B2020000}"/>
    <cellStyle name="Heading 4 2 5" xfId="528" xr:uid="{00000000-0005-0000-0000-0000B3020000}"/>
    <cellStyle name="Heading 4 3" xfId="529" xr:uid="{00000000-0005-0000-0000-0000B4020000}"/>
    <cellStyle name="Heading 4 4" xfId="1367" xr:uid="{00000000-0005-0000-0000-0000B5020000}"/>
    <cellStyle name="Heading1" xfId="530" xr:uid="{00000000-0005-0000-0000-0000B6020000}"/>
    <cellStyle name="Heading2" xfId="531" xr:uid="{00000000-0005-0000-0000-0000B7020000}"/>
    <cellStyle name="Hyperlink" xfId="1561" builtinId="8"/>
    <cellStyle name="Hyperlink 2" xfId="532" xr:uid="{00000000-0005-0000-0000-0000B9020000}"/>
    <cellStyle name="Hyperlink 3" xfId="533" xr:uid="{00000000-0005-0000-0000-0000BA020000}"/>
    <cellStyle name="Hyperlink 3 2" xfId="1368" xr:uid="{00000000-0005-0000-0000-0000BB020000}"/>
    <cellStyle name="Hyperlink 3 3" xfId="1369" xr:uid="{00000000-0005-0000-0000-0000BC020000}"/>
    <cellStyle name="Hyperlink 4" xfId="534" xr:uid="{00000000-0005-0000-0000-0000BD020000}"/>
    <cellStyle name="Hyperlink 4 2" xfId="1370" xr:uid="{00000000-0005-0000-0000-0000BE020000}"/>
    <cellStyle name="Hyperlink 4 3" xfId="1371" xr:uid="{00000000-0005-0000-0000-0000BF020000}"/>
    <cellStyle name="Hyperlink 5" xfId="535" xr:uid="{00000000-0005-0000-0000-0000C0020000}"/>
    <cellStyle name="Hyperlink 5 2" xfId="1372" xr:uid="{00000000-0005-0000-0000-0000C1020000}"/>
    <cellStyle name="Hyperlink 5 3" xfId="1373" xr:uid="{00000000-0005-0000-0000-0000C2020000}"/>
    <cellStyle name="Hyperlink 6" xfId="1374" xr:uid="{00000000-0005-0000-0000-0000C3020000}"/>
    <cellStyle name="Input [yellow]" xfId="536" xr:uid="{00000000-0005-0000-0000-0000C4020000}"/>
    <cellStyle name="Input [yellow] 2" xfId="537" xr:uid="{00000000-0005-0000-0000-0000C5020000}"/>
    <cellStyle name="Input 2" xfId="538" xr:uid="{00000000-0005-0000-0000-0000C6020000}"/>
    <cellStyle name="Input 2 2" xfId="539" xr:uid="{00000000-0005-0000-0000-0000C7020000}"/>
    <cellStyle name="Input 2 2 2" xfId="540" xr:uid="{00000000-0005-0000-0000-0000C8020000}"/>
    <cellStyle name="Input 2 2 3" xfId="541" xr:uid="{00000000-0005-0000-0000-0000C9020000}"/>
    <cellStyle name="Input 2 2 4" xfId="542" xr:uid="{00000000-0005-0000-0000-0000CA020000}"/>
    <cellStyle name="Input 2 3" xfId="543" xr:uid="{00000000-0005-0000-0000-0000CB020000}"/>
    <cellStyle name="Input 2 4" xfId="544" xr:uid="{00000000-0005-0000-0000-0000CC020000}"/>
    <cellStyle name="Input 2 5" xfId="545" xr:uid="{00000000-0005-0000-0000-0000CD020000}"/>
    <cellStyle name="Input 2_QC" xfId="546" xr:uid="{00000000-0005-0000-0000-0000CE020000}"/>
    <cellStyle name="Input 3" xfId="547" xr:uid="{00000000-0005-0000-0000-0000CF020000}"/>
    <cellStyle name="Input 4" xfId="548" xr:uid="{00000000-0005-0000-0000-0000D0020000}"/>
    <cellStyle name="Input 5" xfId="549" xr:uid="{00000000-0005-0000-0000-0000D1020000}"/>
    <cellStyle name="Input 6" xfId="550" xr:uid="{00000000-0005-0000-0000-0000D2020000}"/>
    <cellStyle name="Input 7" xfId="551" xr:uid="{00000000-0005-0000-0000-0000D3020000}"/>
    <cellStyle name="Input 8" xfId="552" xr:uid="{00000000-0005-0000-0000-0000D4020000}"/>
    <cellStyle name="Input 9" xfId="1375" xr:uid="{00000000-0005-0000-0000-0000D5020000}"/>
    <cellStyle name="Input Cells" xfId="553" xr:uid="{00000000-0005-0000-0000-0000D6020000}"/>
    <cellStyle name="Lines" xfId="554" xr:uid="{00000000-0005-0000-0000-0000D7020000}"/>
    <cellStyle name="Lines 2" xfId="555" xr:uid="{00000000-0005-0000-0000-0000D8020000}"/>
    <cellStyle name="Linked Cell 2" xfId="556" xr:uid="{00000000-0005-0000-0000-0000D9020000}"/>
    <cellStyle name="Linked Cell 2 2" xfId="557" xr:uid="{00000000-0005-0000-0000-0000DA020000}"/>
    <cellStyle name="Linked Cell 2 2 2" xfId="558" xr:uid="{00000000-0005-0000-0000-0000DB020000}"/>
    <cellStyle name="Linked Cell 2 2 2 2" xfId="2338" xr:uid="{00000000-0005-0000-0000-0000DC020000}"/>
    <cellStyle name="Linked Cell 2 2 3" xfId="559" xr:uid="{00000000-0005-0000-0000-0000DD020000}"/>
    <cellStyle name="Linked Cell 2 2 3 2" xfId="2333" xr:uid="{00000000-0005-0000-0000-0000DE020000}"/>
    <cellStyle name="Linked Cell 2 2 4" xfId="2334" xr:uid="{00000000-0005-0000-0000-0000DF020000}"/>
    <cellStyle name="Linked Cell 2 3" xfId="560" xr:uid="{00000000-0005-0000-0000-0000E0020000}"/>
    <cellStyle name="Linked Cell 2 3 2" xfId="2337" xr:uid="{00000000-0005-0000-0000-0000E1020000}"/>
    <cellStyle name="Linked Cell 2 4" xfId="561" xr:uid="{00000000-0005-0000-0000-0000E2020000}"/>
    <cellStyle name="Linked Cell 2 4 2" xfId="2332" xr:uid="{00000000-0005-0000-0000-0000E3020000}"/>
    <cellStyle name="Linked Cell 2 5" xfId="2339" xr:uid="{00000000-0005-0000-0000-0000E4020000}"/>
    <cellStyle name="Linked Cell 2_QC" xfId="562" xr:uid="{00000000-0005-0000-0000-0000E5020000}"/>
    <cellStyle name="Linked Cell 3" xfId="563" xr:uid="{00000000-0005-0000-0000-0000E6020000}"/>
    <cellStyle name="Linked Cell 3 2" xfId="2331" xr:uid="{00000000-0005-0000-0000-0000E7020000}"/>
    <cellStyle name="Linked Cell 4" xfId="1377" xr:uid="{00000000-0005-0000-0000-0000E8020000}"/>
    <cellStyle name="modified border" xfId="564" xr:uid="{00000000-0005-0000-0000-0000E9020000}"/>
    <cellStyle name="modified border1" xfId="565" xr:uid="{00000000-0005-0000-0000-0000EA020000}"/>
    <cellStyle name="Multiple" xfId="566" xr:uid="{00000000-0005-0000-0000-0000EB020000}"/>
    <cellStyle name="Neutral" xfId="2438" builtinId="28"/>
    <cellStyle name="Neutral 2" xfId="567" xr:uid="{00000000-0005-0000-0000-0000ED020000}"/>
    <cellStyle name="Neutral 2 2" xfId="568" xr:uid="{00000000-0005-0000-0000-0000EE020000}"/>
    <cellStyle name="Neutral 2 2 2" xfId="569" xr:uid="{00000000-0005-0000-0000-0000EF020000}"/>
    <cellStyle name="Neutral 2 2 3" xfId="570" xr:uid="{00000000-0005-0000-0000-0000F0020000}"/>
    <cellStyle name="Neutral 2 3" xfId="571" xr:uid="{00000000-0005-0000-0000-0000F1020000}"/>
    <cellStyle name="Neutral 2 4" xfId="572" xr:uid="{00000000-0005-0000-0000-0000F2020000}"/>
    <cellStyle name="Neutral 2_QC Sheet" xfId="573" xr:uid="{00000000-0005-0000-0000-0000F3020000}"/>
    <cellStyle name="Neutral 3" xfId="574" xr:uid="{00000000-0005-0000-0000-0000F4020000}"/>
    <cellStyle name="Neutral 4" xfId="1378" xr:uid="{00000000-0005-0000-0000-0000F5020000}"/>
    <cellStyle name="no dec" xfId="575" xr:uid="{00000000-0005-0000-0000-0000F6020000}"/>
    <cellStyle name="Normal" xfId="0" builtinId="0"/>
    <cellStyle name="Normal - Style1" xfId="576" xr:uid="{00000000-0005-0000-0000-0000F8020000}"/>
    <cellStyle name="Normal 10" xfId="577" xr:uid="{00000000-0005-0000-0000-0000F9020000}"/>
    <cellStyle name="Normal 10 2" xfId="578" xr:uid="{00000000-0005-0000-0000-0000FA020000}"/>
    <cellStyle name="Normal 10 2 2" xfId="1704" xr:uid="{00000000-0005-0000-0000-0000FB020000}"/>
    <cellStyle name="Normal 10 3" xfId="579" xr:uid="{00000000-0005-0000-0000-0000FC020000}"/>
    <cellStyle name="Normal 10 4" xfId="1703" xr:uid="{00000000-0005-0000-0000-0000FD020000}"/>
    <cellStyle name="Normal 100" xfId="580" xr:uid="{00000000-0005-0000-0000-0000FE020000}"/>
    <cellStyle name="Normal 100 2" xfId="1705" xr:uid="{00000000-0005-0000-0000-0000FF020000}"/>
    <cellStyle name="Normal 101" xfId="581" xr:uid="{00000000-0005-0000-0000-000000030000}"/>
    <cellStyle name="Normal 101 2" xfId="1706" xr:uid="{00000000-0005-0000-0000-000001030000}"/>
    <cellStyle name="Normal 102" xfId="582" xr:uid="{00000000-0005-0000-0000-000002030000}"/>
    <cellStyle name="Normal 102 2" xfId="1707" xr:uid="{00000000-0005-0000-0000-000003030000}"/>
    <cellStyle name="Normal 103" xfId="583" xr:uid="{00000000-0005-0000-0000-000004030000}"/>
    <cellStyle name="Normal 103 2" xfId="1708" xr:uid="{00000000-0005-0000-0000-000005030000}"/>
    <cellStyle name="Normal 104" xfId="584" xr:uid="{00000000-0005-0000-0000-000006030000}"/>
    <cellStyle name="Normal 104 2" xfId="1709" xr:uid="{00000000-0005-0000-0000-000007030000}"/>
    <cellStyle name="Normal 105" xfId="585" xr:uid="{00000000-0005-0000-0000-000008030000}"/>
    <cellStyle name="Normal 105 2" xfId="1710" xr:uid="{00000000-0005-0000-0000-000009030000}"/>
    <cellStyle name="Normal 106" xfId="586" xr:uid="{00000000-0005-0000-0000-00000A030000}"/>
    <cellStyle name="Normal 106 2" xfId="1711" xr:uid="{00000000-0005-0000-0000-00000B030000}"/>
    <cellStyle name="Normal 107" xfId="587" xr:uid="{00000000-0005-0000-0000-00000C030000}"/>
    <cellStyle name="Normal 107 2" xfId="1712" xr:uid="{00000000-0005-0000-0000-00000D030000}"/>
    <cellStyle name="Normal 108" xfId="588" xr:uid="{00000000-0005-0000-0000-00000E030000}"/>
    <cellStyle name="Normal 108 2" xfId="1713" xr:uid="{00000000-0005-0000-0000-00000F030000}"/>
    <cellStyle name="Normal 109" xfId="589" xr:uid="{00000000-0005-0000-0000-000010030000}"/>
    <cellStyle name="Normal 109 2" xfId="590" xr:uid="{00000000-0005-0000-0000-000011030000}"/>
    <cellStyle name="Normal 109 2 2" xfId="1715" xr:uid="{00000000-0005-0000-0000-000012030000}"/>
    <cellStyle name="Normal 109 3" xfId="1714" xr:uid="{00000000-0005-0000-0000-000013030000}"/>
    <cellStyle name="Normal 11" xfId="591" xr:uid="{00000000-0005-0000-0000-000014030000}"/>
    <cellStyle name="Normal 11 2" xfId="592" xr:uid="{00000000-0005-0000-0000-000015030000}"/>
    <cellStyle name="Normal 11 3" xfId="593" xr:uid="{00000000-0005-0000-0000-000016030000}"/>
    <cellStyle name="Normal 11 3 2" xfId="1379" xr:uid="{00000000-0005-0000-0000-000017030000}"/>
    <cellStyle name="Normal 11 3 3" xfId="1380" xr:uid="{00000000-0005-0000-0000-000018030000}"/>
    <cellStyle name="Normal 11 4" xfId="594" xr:uid="{00000000-0005-0000-0000-000019030000}"/>
    <cellStyle name="Normal 110" xfId="595" xr:uid="{00000000-0005-0000-0000-00001A030000}"/>
    <cellStyle name="Normal 110 2" xfId="596" xr:uid="{00000000-0005-0000-0000-00001B030000}"/>
    <cellStyle name="Normal 110 2 2" xfId="1717" xr:uid="{00000000-0005-0000-0000-00001C030000}"/>
    <cellStyle name="Normal 110 3" xfId="1716" xr:uid="{00000000-0005-0000-0000-00001D030000}"/>
    <cellStyle name="Normal 111" xfId="597" xr:uid="{00000000-0005-0000-0000-00001E030000}"/>
    <cellStyle name="Normal 111 2" xfId="598" xr:uid="{00000000-0005-0000-0000-00001F030000}"/>
    <cellStyle name="Normal 111 2 2" xfId="1719" xr:uid="{00000000-0005-0000-0000-000020030000}"/>
    <cellStyle name="Normal 111 3" xfId="1718" xr:uid="{00000000-0005-0000-0000-000021030000}"/>
    <cellStyle name="Normal 112" xfId="599" xr:uid="{00000000-0005-0000-0000-000022030000}"/>
    <cellStyle name="Normal 112 2" xfId="600" xr:uid="{00000000-0005-0000-0000-000023030000}"/>
    <cellStyle name="Normal 112 2 2" xfId="1721" xr:uid="{00000000-0005-0000-0000-000024030000}"/>
    <cellStyle name="Normal 112 3" xfId="1720" xr:uid="{00000000-0005-0000-0000-000025030000}"/>
    <cellStyle name="Normal 113" xfId="601" xr:uid="{00000000-0005-0000-0000-000026030000}"/>
    <cellStyle name="Normal 113 2" xfId="602" xr:uid="{00000000-0005-0000-0000-000027030000}"/>
    <cellStyle name="Normal 113 2 2" xfId="1723" xr:uid="{00000000-0005-0000-0000-000028030000}"/>
    <cellStyle name="Normal 113 3" xfId="1722" xr:uid="{00000000-0005-0000-0000-000029030000}"/>
    <cellStyle name="Normal 114" xfId="603" xr:uid="{00000000-0005-0000-0000-00002A030000}"/>
    <cellStyle name="Normal 114 2" xfId="604" xr:uid="{00000000-0005-0000-0000-00002B030000}"/>
    <cellStyle name="Normal 114 2 2" xfId="1725" xr:uid="{00000000-0005-0000-0000-00002C030000}"/>
    <cellStyle name="Normal 114 3" xfId="1724" xr:uid="{00000000-0005-0000-0000-00002D030000}"/>
    <cellStyle name="Normal 115" xfId="605" xr:uid="{00000000-0005-0000-0000-00002E030000}"/>
    <cellStyle name="Normal 115 2" xfId="606" xr:uid="{00000000-0005-0000-0000-00002F030000}"/>
    <cellStyle name="Normal 115 2 2" xfId="1727" xr:uid="{00000000-0005-0000-0000-000030030000}"/>
    <cellStyle name="Normal 115 3" xfId="1726" xr:uid="{00000000-0005-0000-0000-000031030000}"/>
    <cellStyle name="Normal 116" xfId="607" xr:uid="{00000000-0005-0000-0000-000032030000}"/>
    <cellStyle name="Normal 116 2" xfId="1728" xr:uid="{00000000-0005-0000-0000-000033030000}"/>
    <cellStyle name="Normal 117" xfId="608" xr:uid="{00000000-0005-0000-0000-000034030000}"/>
    <cellStyle name="Normal 117 2" xfId="1729" xr:uid="{00000000-0005-0000-0000-000035030000}"/>
    <cellStyle name="Normal 118" xfId="609" xr:uid="{00000000-0005-0000-0000-000036030000}"/>
    <cellStyle name="Normal 118 2" xfId="1730" xr:uid="{00000000-0005-0000-0000-000037030000}"/>
    <cellStyle name="Normal 119" xfId="610" xr:uid="{00000000-0005-0000-0000-000038030000}"/>
    <cellStyle name="Normal 119 2" xfId="1731" xr:uid="{00000000-0005-0000-0000-000039030000}"/>
    <cellStyle name="Normal 12" xfId="611" xr:uid="{00000000-0005-0000-0000-00003A030000}"/>
    <cellStyle name="Normal 12 2" xfId="1644" xr:uid="{00000000-0005-0000-0000-00003B030000}"/>
    <cellStyle name="Normal 120" xfId="612" xr:uid="{00000000-0005-0000-0000-00003C030000}"/>
    <cellStyle name="Normal 120 2" xfId="1732" xr:uid="{00000000-0005-0000-0000-00003D030000}"/>
    <cellStyle name="Normal 121" xfId="613" xr:uid="{00000000-0005-0000-0000-00003E030000}"/>
    <cellStyle name="Normal 121 2" xfId="1733" xr:uid="{00000000-0005-0000-0000-00003F030000}"/>
    <cellStyle name="Normal 122" xfId="614" xr:uid="{00000000-0005-0000-0000-000040030000}"/>
    <cellStyle name="Normal 122 2" xfId="1734" xr:uid="{00000000-0005-0000-0000-000041030000}"/>
    <cellStyle name="Normal 123" xfId="615" xr:uid="{00000000-0005-0000-0000-000042030000}"/>
    <cellStyle name="Normal 123 2" xfId="1735" xr:uid="{00000000-0005-0000-0000-000043030000}"/>
    <cellStyle name="Normal 124" xfId="616" xr:uid="{00000000-0005-0000-0000-000044030000}"/>
    <cellStyle name="Normal 124 2" xfId="1736" xr:uid="{00000000-0005-0000-0000-000045030000}"/>
    <cellStyle name="Normal 125" xfId="617" xr:uid="{00000000-0005-0000-0000-000046030000}"/>
    <cellStyle name="Normal 125 2" xfId="1737" xr:uid="{00000000-0005-0000-0000-000047030000}"/>
    <cellStyle name="Normal 126" xfId="618" xr:uid="{00000000-0005-0000-0000-000048030000}"/>
    <cellStyle name="Normal 126 2" xfId="1738" xr:uid="{00000000-0005-0000-0000-000049030000}"/>
    <cellStyle name="Normal 127" xfId="619" xr:uid="{00000000-0005-0000-0000-00004A030000}"/>
    <cellStyle name="Normal 127 2" xfId="1739" xr:uid="{00000000-0005-0000-0000-00004B030000}"/>
    <cellStyle name="Normal 128" xfId="620" xr:uid="{00000000-0005-0000-0000-00004C030000}"/>
    <cellStyle name="Normal 128 2" xfId="1740" xr:uid="{00000000-0005-0000-0000-00004D030000}"/>
    <cellStyle name="Normal 129" xfId="621" xr:uid="{00000000-0005-0000-0000-00004E030000}"/>
    <cellStyle name="Normal 129 2" xfId="1741" xr:uid="{00000000-0005-0000-0000-00004F030000}"/>
    <cellStyle name="Normal 13" xfId="622" xr:uid="{00000000-0005-0000-0000-000050030000}"/>
    <cellStyle name="Normal 13 2" xfId="623" xr:uid="{00000000-0005-0000-0000-000051030000}"/>
    <cellStyle name="Normal 13 2 2" xfId="1743" xr:uid="{00000000-0005-0000-0000-000052030000}"/>
    <cellStyle name="Normal 13 3" xfId="1742" xr:uid="{00000000-0005-0000-0000-000053030000}"/>
    <cellStyle name="Normal 130" xfId="624" xr:uid="{00000000-0005-0000-0000-000054030000}"/>
    <cellStyle name="Normal 130 2" xfId="1744" xr:uid="{00000000-0005-0000-0000-000055030000}"/>
    <cellStyle name="Normal 131" xfId="625" xr:uid="{00000000-0005-0000-0000-000056030000}"/>
    <cellStyle name="Normal 131 2" xfId="1745" xr:uid="{00000000-0005-0000-0000-000057030000}"/>
    <cellStyle name="Normal 132" xfId="626" xr:uid="{00000000-0005-0000-0000-000058030000}"/>
    <cellStyle name="Normal 132 2" xfId="627" xr:uid="{00000000-0005-0000-0000-000059030000}"/>
    <cellStyle name="Normal 132 2 2" xfId="1747" xr:uid="{00000000-0005-0000-0000-00005A030000}"/>
    <cellStyle name="Normal 132 3" xfId="1746" xr:uid="{00000000-0005-0000-0000-00005B030000}"/>
    <cellStyle name="Normal 133" xfId="628" xr:uid="{00000000-0005-0000-0000-00005C030000}"/>
    <cellStyle name="Normal 133 2" xfId="629" xr:uid="{00000000-0005-0000-0000-00005D030000}"/>
    <cellStyle name="Normal 133 2 2" xfId="1749" xr:uid="{00000000-0005-0000-0000-00005E030000}"/>
    <cellStyle name="Normal 133 3" xfId="1748" xr:uid="{00000000-0005-0000-0000-00005F030000}"/>
    <cellStyle name="Normal 134" xfId="630" xr:uid="{00000000-0005-0000-0000-000060030000}"/>
    <cellStyle name="Normal 134 2" xfId="631" xr:uid="{00000000-0005-0000-0000-000061030000}"/>
    <cellStyle name="Normal 134 2 2" xfId="1751" xr:uid="{00000000-0005-0000-0000-000062030000}"/>
    <cellStyle name="Normal 134 3" xfId="1750" xr:uid="{00000000-0005-0000-0000-000063030000}"/>
    <cellStyle name="Normal 135" xfId="632" xr:uid="{00000000-0005-0000-0000-000064030000}"/>
    <cellStyle name="Normal 135 2" xfId="633" xr:uid="{00000000-0005-0000-0000-000065030000}"/>
    <cellStyle name="Normal 135 2 2" xfId="1753" xr:uid="{00000000-0005-0000-0000-000066030000}"/>
    <cellStyle name="Normal 135 3" xfId="1752" xr:uid="{00000000-0005-0000-0000-000067030000}"/>
    <cellStyle name="Normal 136" xfId="634" xr:uid="{00000000-0005-0000-0000-000068030000}"/>
    <cellStyle name="Normal 136 2" xfId="635" xr:uid="{00000000-0005-0000-0000-000069030000}"/>
    <cellStyle name="Normal 136 2 2" xfId="1755" xr:uid="{00000000-0005-0000-0000-00006A030000}"/>
    <cellStyle name="Normal 136 3" xfId="1754" xr:uid="{00000000-0005-0000-0000-00006B030000}"/>
    <cellStyle name="Normal 137" xfId="636" xr:uid="{00000000-0005-0000-0000-00006C030000}"/>
    <cellStyle name="Normal 137 2" xfId="637" xr:uid="{00000000-0005-0000-0000-00006D030000}"/>
    <cellStyle name="Normal 137 2 2" xfId="1757" xr:uid="{00000000-0005-0000-0000-00006E030000}"/>
    <cellStyle name="Normal 137 3" xfId="1756" xr:uid="{00000000-0005-0000-0000-00006F030000}"/>
    <cellStyle name="Normal 138" xfId="638" xr:uid="{00000000-0005-0000-0000-000070030000}"/>
    <cellStyle name="Normal 138 2" xfId="639" xr:uid="{00000000-0005-0000-0000-000071030000}"/>
    <cellStyle name="Normal 138 2 2" xfId="1759" xr:uid="{00000000-0005-0000-0000-000072030000}"/>
    <cellStyle name="Normal 138 3" xfId="1758" xr:uid="{00000000-0005-0000-0000-000073030000}"/>
    <cellStyle name="Normal 139" xfId="640" xr:uid="{00000000-0005-0000-0000-000074030000}"/>
    <cellStyle name="Normal 139 2" xfId="641" xr:uid="{00000000-0005-0000-0000-000075030000}"/>
    <cellStyle name="Normal 139 2 2" xfId="1761" xr:uid="{00000000-0005-0000-0000-000076030000}"/>
    <cellStyle name="Normal 139 3" xfId="1760" xr:uid="{00000000-0005-0000-0000-000077030000}"/>
    <cellStyle name="Normal 14" xfId="642" xr:uid="{00000000-0005-0000-0000-000078030000}"/>
    <cellStyle name="Normal 14 2" xfId="1762" xr:uid="{00000000-0005-0000-0000-000079030000}"/>
    <cellStyle name="Normal 140" xfId="643" xr:uid="{00000000-0005-0000-0000-00007A030000}"/>
    <cellStyle name="Normal 140 2" xfId="644" xr:uid="{00000000-0005-0000-0000-00007B030000}"/>
    <cellStyle name="Normal 140 2 2" xfId="1764" xr:uid="{00000000-0005-0000-0000-00007C030000}"/>
    <cellStyle name="Normal 140 3" xfId="1763" xr:uid="{00000000-0005-0000-0000-00007D030000}"/>
    <cellStyle name="Normal 141" xfId="645" xr:uid="{00000000-0005-0000-0000-00007E030000}"/>
    <cellStyle name="Normal 141 2" xfId="646" xr:uid="{00000000-0005-0000-0000-00007F030000}"/>
    <cellStyle name="Normal 141 2 2" xfId="1766" xr:uid="{00000000-0005-0000-0000-000080030000}"/>
    <cellStyle name="Normal 141 3" xfId="1765" xr:uid="{00000000-0005-0000-0000-000081030000}"/>
    <cellStyle name="Normal 142" xfId="647" xr:uid="{00000000-0005-0000-0000-000082030000}"/>
    <cellStyle name="Normal 142 2" xfId="648" xr:uid="{00000000-0005-0000-0000-000083030000}"/>
    <cellStyle name="Normal 142 2 2" xfId="1768" xr:uid="{00000000-0005-0000-0000-000084030000}"/>
    <cellStyle name="Normal 142 3" xfId="1767" xr:uid="{00000000-0005-0000-0000-000085030000}"/>
    <cellStyle name="Normal 143" xfId="649" xr:uid="{00000000-0005-0000-0000-000086030000}"/>
    <cellStyle name="Normal 143 2" xfId="650" xr:uid="{00000000-0005-0000-0000-000087030000}"/>
    <cellStyle name="Normal 143 2 2" xfId="1770" xr:uid="{00000000-0005-0000-0000-000088030000}"/>
    <cellStyle name="Normal 143 3" xfId="1769" xr:uid="{00000000-0005-0000-0000-000089030000}"/>
    <cellStyle name="Normal 144" xfId="651" xr:uid="{00000000-0005-0000-0000-00008A030000}"/>
    <cellStyle name="Normal 144 2" xfId="1771" xr:uid="{00000000-0005-0000-0000-00008B030000}"/>
    <cellStyle name="Normal 145" xfId="652" xr:uid="{00000000-0005-0000-0000-00008C030000}"/>
    <cellStyle name="Normal 145 2" xfId="1772" xr:uid="{00000000-0005-0000-0000-00008D030000}"/>
    <cellStyle name="Normal 146" xfId="653" xr:uid="{00000000-0005-0000-0000-00008E030000}"/>
    <cellStyle name="Normal 146 2" xfId="1773" xr:uid="{00000000-0005-0000-0000-00008F030000}"/>
    <cellStyle name="Normal 147" xfId="654" xr:uid="{00000000-0005-0000-0000-000090030000}"/>
    <cellStyle name="Normal 147 2" xfId="1774" xr:uid="{00000000-0005-0000-0000-000091030000}"/>
    <cellStyle name="Normal 148" xfId="655" xr:uid="{00000000-0005-0000-0000-000092030000}"/>
    <cellStyle name="Normal 148 2" xfId="1775" xr:uid="{00000000-0005-0000-0000-000093030000}"/>
    <cellStyle name="Normal 149" xfId="656" xr:uid="{00000000-0005-0000-0000-000094030000}"/>
    <cellStyle name="Normal 149 2" xfId="1776" xr:uid="{00000000-0005-0000-0000-000095030000}"/>
    <cellStyle name="Normal 15" xfId="657" xr:uid="{00000000-0005-0000-0000-000096030000}"/>
    <cellStyle name="Normal 15 2" xfId="1777" xr:uid="{00000000-0005-0000-0000-000097030000}"/>
    <cellStyle name="Normal 150" xfId="658" xr:uid="{00000000-0005-0000-0000-000098030000}"/>
    <cellStyle name="Normal 150 2" xfId="1778" xr:uid="{00000000-0005-0000-0000-000099030000}"/>
    <cellStyle name="Normal 151" xfId="659" xr:uid="{00000000-0005-0000-0000-00009A030000}"/>
    <cellStyle name="Normal 151 2" xfId="1779" xr:uid="{00000000-0005-0000-0000-00009B030000}"/>
    <cellStyle name="Normal 152" xfId="660" xr:uid="{00000000-0005-0000-0000-00009C030000}"/>
    <cellStyle name="Normal 152 2" xfId="1780" xr:uid="{00000000-0005-0000-0000-00009D030000}"/>
    <cellStyle name="Normal 153" xfId="661" xr:uid="{00000000-0005-0000-0000-00009E030000}"/>
    <cellStyle name="Normal 153 2" xfId="1781" xr:uid="{00000000-0005-0000-0000-00009F030000}"/>
    <cellStyle name="Normal 154" xfId="662" xr:uid="{00000000-0005-0000-0000-0000A0030000}"/>
    <cellStyle name="Normal 154 2" xfId="1782" xr:uid="{00000000-0005-0000-0000-0000A1030000}"/>
    <cellStyle name="Normal 155" xfId="663" xr:uid="{00000000-0005-0000-0000-0000A2030000}"/>
    <cellStyle name="Normal 155 2" xfId="1783" xr:uid="{00000000-0005-0000-0000-0000A3030000}"/>
    <cellStyle name="Normal 156" xfId="664" xr:uid="{00000000-0005-0000-0000-0000A4030000}"/>
    <cellStyle name="Normal 156 2" xfId="1784" xr:uid="{00000000-0005-0000-0000-0000A5030000}"/>
    <cellStyle name="Normal 157" xfId="665" xr:uid="{00000000-0005-0000-0000-0000A6030000}"/>
    <cellStyle name="Normal 157 2" xfId="1785" xr:uid="{00000000-0005-0000-0000-0000A7030000}"/>
    <cellStyle name="Normal 158" xfId="666" xr:uid="{00000000-0005-0000-0000-0000A8030000}"/>
    <cellStyle name="Normal 158 2" xfId="1786" xr:uid="{00000000-0005-0000-0000-0000A9030000}"/>
    <cellStyle name="Normal 159" xfId="667" xr:uid="{00000000-0005-0000-0000-0000AA030000}"/>
    <cellStyle name="Normal 159 2" xfId="1787" xr:uid="{00000000-0005-0000-0000-0000AB030000}"/>
    <cellStyle name="Normal 16" xfId="668" xr:uid="{00000000-0005-0000-0000-0000AC030000}"/>
    <cellStyle name="Normal 16 2" xfId="1788" xr:uid="{00000000-0005-0000-0000-0000AD030000}"/>
    <cellStyle name="Normal 160" xfId="669" xr:uid="{00000000-0005-0000-0000-0000AE030000}"/>
    <cellStyle name="Normal 160 2" xfId="1789" xr:uid="{00000000-0005-0000-0000-0000AF030000}"/>
    <cellStyle name="Normal 161" xfId="670" xr:uid="{00000000-0005-0000-0000-0000B0030000}"/>
    <cellStyle name="Normal 161 2" xfId="1790" xr:uid="{00000000-0005-0000-0000-0000B1030000}"/>
    <cellStyle name="Normal 162" xfId="671" xr:uid="{00000000-0005-0000-0000-0000B2030000}"/>
    <cellStyle name="Normal 162 2" xfId="1791" xr:uid="{00000000-0005-0000-0000-0000B3030000}"/>
    <cellStyle name="Normal 163" xfId="672" xr:uid="{00000000-0005-0000-0000-0000B4030000}"/>
    <cellStyle name="Normal 163 2" xfId="1792" xr:uid="{00000000-0005-0000-0000-0000B5030000}"/>
    <cellStyle name="Normal 164" xfId="673" xr:uid="{00000000-0005-0000-0000-0000B6030000}"/>
    <cellStyle name="Normal 164 2" xfId="1793" xr:uid="{00000000-0005-0000-0000-0000B7030000}"/>
    <cellStyle name="Normal 165" xfId="674" xr:uid="{00000000-0005-0000-0000-0000B8030000}"/>
    <cellStyle name="Normal 165 2" xfId="1794" xr:uid="{00000000-0005-0000-0000-0000B9030000}"/>
    <cellStyle name="Normal 166" xfId="675" xr:uid="{00000000-0005-0000-0000-0000BA030000}"/>
    <cellStyle name="Normal 166 2" xfId="1795" xr:uid="{00000000-0005-0000-0000-0000BB030000}"/>
    <cellStyle name="Normal 167" xfId="676" xr:uid="{00000000-0005-0000-0000-0000BC030000}"/>
    <cellStyle name="Normal 167 2" xfId="1796" xr:uid="{00000000-0005-0000-0000-0000BD030000}"/>
    <cellStyle name="Normal 168" xfId="677" xr:uid="{00000000-0005-0000-0000-0000BE030000}"/>
    <cellStyle name="Normal 168 2" xfId="678" xr:uid="{00000000-0005-0000-0000-0000BF030000}"/>
    <cellStyle name="Normal 168 2 2" xfId="1798" xr:uid="{00000000-0005-0000-0000-0000C0030000}"/>
    <cellStyle name="Normal 168 3" xfId="1797" xr:uid="{00000000-0005-0000-0000-0000C1030000}"/>
    <cellStyle name="Normal 169" xfId="679" xr:uid="{00000000-0005-0000-0000-0000C2030000}"/>
    <cellStyle name="Normal 169 2" xfId="680" xr:uid="{00000000-0005-0000-0000-0000C3030000}"/>
    <cellStyle name="Normal 169 2 2" xfId="1800" xr:uid="{00000000-0005-0000-0000-0000C4030000}"/>
    <cellStyle name="Normal 169 3" xfId="1799" xr:uid="{00000000-0005-0000-0000-0000C5030000}"/>
    <cellStyle name="Normal 17" xfId="681" xr:uid="{00000000-0005-0000-0000-0000C6030000}"/>
    <cellStyle name="Normal 17 2" xfId="1801" xr:uid="{00000000-0005-0000-0000-0000C7030000}"/>
    <cellStyle name="Normal 170" xfId="682" xr:uid="{00000000-0005-0000-0000-0000C8030000}"/>
    <cellStyle name="Normal 170 2" xfId="683" xr:uid="{00000000-0005-0000-0000-0000C9030000}"/>
    <cellStyle name="Normal 170 2 2" xfId="1803" xr:uid="{00000000-0005-0000-0000-0000CA030000}"/>
    <cellStyle name="Normal 170 3" xfId="1802" xr:uid="{00000000-0005-0000-0000-0000CB030000}"/>
    <cellStyle name="Normal 171" xfId="684" xr:uid="{00000000-0005-0000-0000-0000CC030000}"/>
    <cellStyle name="Normal 171 2" xfId="685" xr:uid="{00000000-0005-0000-0000-0000CD030000}"/>
    <cellStyle name="Normal 171 2 2" xfId="1805" xr:uid="{00000000-0005-0000-0000-0000CE030000}"/>
    <cellStyle name="Normal 171 3" xfId="1804" xr:uid="{00000000-0005-0000-0000-0000CF030000}"/>
    <cellStyle name="Normal 172" xfId="686" xr:uid="{00000000-0005-0000-0000-0000D0030000}"/>
    <cellStyle name="Normal 172 2" xfId="1806" xr:uid="{00000000-0005-0000-0000-0000D1030000}"/>
    <cellStyle name="Normal 173" xfId="687" xr:uid="{00000000-0005-0000-0000-0000D2030000}"/>
    <cellStyle name="Normal 173 2" xfId="1807" xr:uid="{00000000-0005-0000-0000-0000D3030000}"/>
    <cellStyle name="Normal 174" xfId="688" xr:uid="{00000000-0005-0000-0000-0000D4030000}"/>
    <cellStyle name="Normal 174 2" xfId="1808" xr:uid="{00000000-0005-0000-0000-0000D5030000}"/>
    <cellStyle name="Normal 175" xfId="689" xr:uid="{00000000-0005-0000-0000-0000D6030000}"/>
    <cellStyle name="Normal 175 2" xfId="1809" xr:uid="{00000000-0005-0000-0000-0000D7030000}"/>
    <cellStyle name="Normal 176" xfId="690" xr:uid="{00000000-0005-0000-0000-0000D8030000}"/>
    <cellStyle name="Normal 176 2" xfId="1810" xr:uid="{00000000-0005-0000-0000-0000D9030000}"/>
    <cellStyle name="Normal 177" xfId="691" xr:uid="{00000000-0005-0000-0000-0000DA030000}"/>
    <cellStyle name="Normal 177 2" xfId="1811" xr:uid="{00000000-0005-0000-0000-0000DB030000}"/>
    <cellStyle name="Normal 178" xfId="692" xr:uid="{00000000-0005-0000-0000-0000DC030000}"/>
    <cellStyle name="Normal 178 2" xfId="1812" xr:uid="{00000000-0005-0000-0000-0000DD030000}"/>
    <cellStyle name="Normal 179" xfId="693" xr:uid="{00000000-0005-0000-0000-0000DE030000}"/>
    <cellStyle name="Normal 179 2" xfId="1813" xr:uid="{00000000-0005-0000-0000-0000DF030000}"/>
    <cellStyle name="Normal 18" xfId="694" xr:uid="{00000000-0005-0000-0000-0000E0030000}"/>
    <cellStyle name="Normal 18 2" xfId="695" xr:uid="{00000000-0005-0000-0000-0000E1030000}"/>
    <cellStyle name="Normal 18 3" xfId="696" xr:uid="{00000000-0005-0000-0000-0000E2030000}"/>
    <cellStyle name="Normal 18 3 2" xfId="1383" xr:uid="{00000000-0005-0000-0000-0000E3030000}"/>
    <cellStyle name="Normal 18 3 3" xfId="1384" xr:uid="{00000000-0005-0000-0000-0000E4030000}"/>
    <cellStyle name="Normal 18 4" xfId="697" xr:uid="{00000000-0005-0000-0000-0000E5030000}"/>
    <cellStyle name="Normal 180" xfId="698" xr:uid="{00000000-0005-0000-0000-0000E6030000}"/>
    <cellStyle name="Normal 180 2" xfId="1814" xr:uid="{00000000-0005-0000-0000-0000E7030000}"/>
    <cellStyle name="Normal 181" xfId="699" xr:uid="{00000000-0005-0000-0000-0000E8030000}"/>
    <cellStyle name="Normal 181 2" xfId="1815" xr:uid="{00000000-0005-0000-0000-0000E9030000}"/>
    <cellStyle name="Normal 182" xfId="700" xr:uid="{00000000-0005-0000-0000-0000EA030000}"/>
    <cellStyle name="Normal 182 2" xfId="1385" xr:uid="{00000000-0005-0000-0000-0000EB030000}"/>
    <cellStyle name="Normal 182 3" xfId="1386" xr:uid="{00000000-0005-0000-0000-0000EC030000}"/>
    <cellStyle name="Normal 183" xfId="701" xr:uid="{00000000-0005-0000-0000-0000ED030000}"/>
    <cellStyle name="Normal 183 2" xfId="1387" xr:uid="{00000000-0005-0000-0000-0000EE030000}"/>
    <cellStyle name="Normal 183 3" xfId="1388" xr:uid="{00000000-0005-0000-0000-0000EF030000}"/>
    <cellStyle name="Normal 184" xfId="702" xr:uid="{00000000-0005-0000-0000-0000F0030000}"/>
    <cellStyle name="Normal 184 2" xfId="1389" xr:uid="{00000000-0005-0000-0000-0000F1030000}"/>
    <cellStyle name="Normal 184 3" xfId="1390" xr:uid="{00000000-0005-0000-0000-0000F2030000}"/>
    <cellStyle name="Normal 185" xfId="703" xr:uid="{00000000-0005-0000-0000-0000F3030000}"/>
    <cellStyle name="Normal 185 2" xfId="704" xr:uid="{00000000-0005-0000-0000-0000F4030000}"/>
    <cellStyle name="Normal 185 2 2" xfId="1391" xr:uid="{00000000-0005-0000-0000-0000F5030000}"/>
    <cellStyle name="Normal 185 2 3" xfId="1392" xr:uid="{00000000-0005-0000-0000-0000F6030000}"/>
    <cellStyle name="Normal 185 3" xfId="705" xr:uid="{00000000-0005-0000-0000-0000F7030000}"/>
    <cellStyle name="Normal 185 3 2" xfId="1817" xr:uid="{00000000-0005-0000-0000-0000F8030000}"/>
    <cellStyle name="Normal 185 4" xfId="1816" xr:uid="{00000000-0005-0000-0000-0000F9030000}"/>
    <cellStyle name="Normal 186" xfId="706" xr:uid="{00000000-0005-0000-0000-0000FA030000}"/>
    <cellStyle name="Normal 186 2" xfId="1818" xr:uid="{00000000-0005-0000-0000-0000FB030000}"/>
    <cellStyle name="Normal 187" xfId="707" xr:uid="{00000000-0005-0000-0000-0000FC030000}"/>
    <cellStyle name="Normal 187 2" xfId="1819" xr:uid="{00000000-0005-0000-0000-0000FD030000}"/>
    <cellStyle name="Normal 188" xfId="708" xr:uid="{00000000-0005-0000-0000-0000FE030000}"/>
    <cellStyle name="Normal 188 2" xfId="1820" xr:uid="{00000000-0005-0000-0000-0000FF030000}"/>
    <cellStyle name="Normal 189" xfId="709" xr:uid="{00000000-0005-0000-0000-000000040000}"/>
    <cellStyle name="Normal 189 2" xfId="1821" xr:uid="{00000000-0005-0000-0000-000001040000}"/>
    <cellStyle name="Normal 19" xfId="710" xr:uid="{00000000-0005-0000-0000-000002040000}"/>
    <cellStyle name="Normal 19 2" xfId="1822" xr:uid="{00000000-0005-0000-0000-000003040000}"/>
    <cellStyle name="Normal 190" xfId="711" xr:uid="{00000000-0005-0000-0000-000004040000}"/>
    <cellStyle name="Normal 190 2" xfId="1823" xr:uid="{00000000-0005-0000-0000-000005040000}"/>
    <cellStyle name="Normal 191" xfId="712" xr:uid="{00000000-0005-0000-0000-000006040000}"/>
    <cellStyle name="Normal 191 2" xfId="1824" xr:uid="{00000000-0005-0000-0000-000007040000}"/>
    <cellStyle name="Normal 192" xfId="713" xr:uid="{00000000-0005-0000-0000-000008040000}"/>
    <cellStyle name="Normal 192 2" xfId="1825" xr:uid="{00000000-0005-0000-0000-000009040000}"/>
    <cellStyle name="Normal 193" xfId="714" xr:uid="{00000000-0005-0000-0000-00000A040000}"/>
    <cellStyle name="Normal 193 2" xfId="1826" xr:uid="{00000000-0005-0000-0000-00000B040000}"/>
    <cellStyle name="Normal 194" xfId="715" xr:uid="{00000000-0005-0000-0000-00000C040000}"/>
    <cellStyle name="Normal 194 2" xfId="1827" xr:uid="{00000000-0005-0000-0000-00000D040000}"/>
    <cellStyle name="Normal 195" xfId="716" xr:uid="{00000000-0005-0000-0000-00000E040000}"/>
    <cellStyle name="Normal 195 2" xfId="1828" xr:uid="{00000000-0005-0000-0000-00000F040000}"/>
    <cellStyle name="Normal 196" xfId="717" xr:uid="{00000000-0005-0000-0000-000010040000}"/>
    <cellStyle name="Normal 196 2" xfId="1829" xr:uid="{00000000-0005-0000-0000-000011040000}"/>
    <cellStyle name="Normal 197" xfId="718" xr:uid="{00000000-0005-0000-0000-000012040000}"/>
    <cellStyle name="Normal 197 2" xfId="1830" xr:uid="{00000000-0005-0000-0000-000013040000}"/>
    <cellStyle name="Normal 198" xfId="719" xr:uid="{00000000-0005-0000-0000-000014040000}"/>
    <cellStyle name="Normal 198 2" xfId="1831" xr:uid="{00000000-0005-0000-0000-000015040000}"/>
    <cellStyle name="Normal 199" xfId="720" xr:uid="{00000000-0005-0000-0000-000016040000}"/>
    <cellStyle name="Normal 199 2" xfId="1396" xr:uid="{00000000-0005-0000-0000-000017040000}"/>
    <cellStyle name="Normal 199 3" xfId="1397" xr:uid="{00000000-0005-0000-0000-000018040000}"/>
    <cellStyle name="Normal 2" xfId="721" xr:uid="{00000000-0005-0000-0000-000019040000}"/>
    <cellStyle name="Normal 2 2" xfId="722" xr:uid="{00000000-0005-0000-0000-00001A040000}"/>
    <cellStyle name="Normal 2 2 2" xfId="1833" xr:uid="{00000000-0005-0000-0000-00001B040000}"/>
    <cellStyle name="Normal 2 2 3" xfId="2428" xr:uid="{00000000-0005-0000-0000-00001C040000}"/>
    <cellStyle name="Normal 2 3" xfId="723" xr:uid="{00000000-0005-0000-0000-00001D040000}"/>
    <cellStyle name="Normal 2 3 2" xfId="1834" xr:uid="{00000000-0005-0000-0000-00001E040000}"/>
    <cellStyle name="Normal 2 4" xfId="1832" xr:uid="{00000000-0005-0000-0000-00001F040000}"/>
    <cellStyle name="Normal 2 5" xfId="2429" xr:uid="{00000000-0005-0000-0000-000020040000}"/>
    <cellStyle name="Normal 2 5 2" xfId="2430" xr:uid="{00000000-0005-0000-0000-000021040000}"/>
    <cellStyle name="Normal 2_Federal Interest Calculation Su" xfId="724" xr:uid="{00000000-0005-0000-0000-000022040000}"/>
    <cellStyle name="Normal 20" xfId="725" xr:uid="{00000000-0005-0000-0000-000023040000}"/>
    <cellStyle name="Normal 20 2" xfId="726" xr:uid="{00000000-0005-0000-0000-000024040000}"/>
    <cellStyle name="Normal 20 3" xfId="727" xr:uid="{00000000-0005-0000-0000-000025040000}"/>
    <cellStyle name="Normal 20 3 2" xfId="1398" xr:uid="{00000000-0005-0000-0000-000026040000}"/>
    <cellStyle name="Normal 20 3 3" xfId="1399" xr:uid="{00000000-0005-0000-0000-000027040000}"/>
    <cellStyle name="Normal 20 4" xfId="728" xr:uid="{00000000-0005-0000-0000-000028040000}"/>
    <cellStyle name="Normal 200" xfId="729" xr:uid="{00000000-0005-0000-0000-000029040000}"/>
    <cellStyle name="Normal 200 2" xfId="1835" xr:uid="{00000000-0005-0000-0000-00002A040000}"/>
    <cellStyle name="Normal 201" xfId="730" xr:uid="{00000000-0005-0000-0000-00002B040000}"/>
    <cellStyle name="Normal 201 2" xfId="1836" xr:uid="{00000000-0005-0000-0000-00002C040000}"/>
    <cellStyle name="Normal 202" xfId="731" xr:uid="{00000000-0005-0000-0000-00002D040000}"/>
    <cellStyle name="Normal 202 2" xfId="1837" xr:uid="{00000000-0005-0000-0000-00002E040000}"/>
    <cellStyle name="Normal 203" xfId="732" xr:uid="{00000000-0005-0000-0000-00002F040000}"/>
    <cellStyle name="Normal 203 2" xfId="1838" xr:uid="{00000000-0005-0000-0000-000030040000}"/>
    <cellStyle name="Normal 204" xfId="733" xr:uid="{00000000-0005-0000-0000-000031040000}"/>
    <cellStyle name="Normal 204 2" xfId="1839" xr:uid="{00000000-0005-0000-0000-000032040000}"/>
    <cellStyle name="Normal 205" xfId="734" xr:uid="{00000000-0005-0000-0000-000033040000}"/>
    <cellStyle name="Normal 205 2" xfId="1840" xr:uid="{00000000-0005-0000-0000-000034040000}"/>
    <cellStyle name="Normal 206" xfId="735" xr:uid="{00000000-0005-0000-0000-000035040000}"/>
    <cellStyle name="Normal 206 2" xfId="1841" xr:uid="{00000000-0005-0000-0000-000036040000}"/>
    <cellStyle name="Normal 207" xfId="736" xr:uid="{00000000-0005-0000-0000-000037040000}"/>
    <cellStyle name="Normal 207 2" xfId="1842" xr:uid="{00000000-0005-0000-0000-000038040000}"/>
    <cellStyle name="Normal 208" xfId="737" xr:uid="{00000000-0005-0000-0000-000039040000}"/>
    <cellStyle name="Normal 208 2" xfId="1400" xr:uid="{00000000-0005-0000-0000-00003A040000}"/>
    <cellStyle name="Normal 208 2 2" xfId="2212" xr:uid="{00000000-0005-0000-0000-00003B040000}"/>
    <cellStyle name="Normal 208 3" xfId="1843" xr:uid="{00000000-0005-0000-0000-00003C040000}"/>
    <cellStyle name="Normal 209" xfId="738" xr:uid="{00000000-0005-0000-0000-00003D040000}"/>
    <cellStyle name="Normal 209 2" xfId="1401" xr:uid="{00000000-0005-0000-0000-00003E040000}"/>
    <cellStyle name="Normal 209 2 2" xfId="2213" xr:uid="{00000000-0005-0000-0000-00003F040000}"/>
    <cellStyle name="Normal 209 3" xfId="1844" xr:uid="{00000000-0005-0000-0000-000040040000}"/>
    <cellStyle name="Normal 21" xfId="739" xr:uid="{00000000-0005-0000-0000-000041040000}"/>
    <cellStyle name="Normal 21 2" xfId="1845" xr:uid="{00000000-0005-0000-0000-000042040000}"/>
    <cellStyle name="Normal 210" xfId="740" xr:uid="{00000000-0005-0000-0000-000043040000}"/>
    <cellStyle name="Normal 210 2" xfId="1846" xr:uid="{00000000-0005-0000-0000-000044040000}"/>
    <cellStyle name="Normal 211" xfId="741" xr:uid="{00000000-0005-0000-0000-000045040000}"/>
    <cellStyle name="Normal 211 2" xfId="742" xr:uid="{00000000-0005-0000-0000-000046040000}"/>
    <cellStyle name="Normal 211 2 2" xfId="1848" xr:uid="{00000000-0005-0000-0000-000047040000}"/>
    <cellStyle name="Normal 211 3" xfId="1402" xr:uid="{00000000-0005-0000-0000-000048040000}"/>
    <cellStyle name="Normal 211 3 2" xfId="2214" xr:uid="{00000000-0005-0000-0000-000049040000}"/>
    <cellStyle name="Normal 211 4" xfId="1847" xr:uid="{00000000-0005-0000-0000-00004A040000}"/>
    <cellStyle name="Normal 212" xfId="743" xr:uid="{00000000-0005-0000-0000-00004B040000}"/>
    <cellStyle name="Normal 212 2" xfId="744" xr:uid="{00000000-0005-0000-0000-00004C040000}"/>
    <cellStyle name="Normal 212 2 2" xfId="1850" xr:uid="{00000000-0005-0000-0000-00004D040000}"/>
    <cellStyle name="Normal 212 3" xfId="1403" xr:uid="{00000000-0005-0000-0000-00004E040000}"/>
    <cellStyle name="Normal 212 3 2" xfId="2215" xr:uid="{00000000-0005-0000-0000-00004F040000}"/>
    <cellStyle name="Normal 212 4" xfId="1849" xr:uid="{00000000-0005-0000-0000-000050040000}"/>
    <cellStyle name="Normal 213" xfId="745" xr:uid="{00000000-0005-0000-0000-000051040000}"/>
    <cellStyle name="Normal 213 2" xfId="746" xr:uid="{00000000-0005-0000-0000-000052040000}"/>
    <cellStyle name="Normal 213 2 2" xfId="1852" xr:uid="{00000000-0005-0000-0000-000053040000}"/>
    <cellStyle name="Normal 213 3" xfId="1404" xr:uid="{00000000-0005-0000-0000-000054040000}"/>
    <cellStyle name="Normal 213 3 2" xfId="2216" xr:uid="{00000000-0005-0000-0000-000055040000}"/>
    <cellStyle name="Normal 213 4" xfId="1851" xr:uid="{00000000-0005-0000-0000-000056040000}"/>
    <cellStyle name="Normal 214" xfId="747" xr:uid="{00000000-0005-0000-0000-000057040000}"/>
    <cellStyle name="Normal 214 2" xfId="748" xr:uid="{00000000-0005-0000-0000-000058040000}"/>
    <cellStyle name="Normal 214 2 2" xfId="1854" xr:uid="{00000000-0005-0000-0000-000059040000}"/>
    <cellStyle name="Normal 214 3" xfId="1405" xr:uid="{00000000-0005-0000-0000-00005A040000}"/>
    <cellStyle name="Normal 214 3 2" xfId="2217" xr:uid="{00000000-0005-0000-0000-00005B040000}"/>
    <cellStyle name="Normal 214 4" xfId="1853" xr:uid="{00000000-0005-0000-0000-00005C040000}"/>
    <cellStyle name="Normal 215" xfId="749" xr:uid="{00000000-0005-0000-0000-00005D040000}"/>
    <cellStyle name="Normal 215 2" xfId="750" xr:uid="{00000000-0005-0000-0000-00005E040000}"/>
    <cellStyle name="Normal 215 2 2" xfId="1856" xr:uid="{00000000-0005-0000-0000-00005F040000}"/>
    <cellStyle name="Normal 215 3" xfId="1406" xr:uid="{00000000-0005-0000-0000-000060040000}"/>
    <cellStyle name="Normal 215 3 2" xfId="2218" xr:uid="{00000000-0005-0000-0000-000061040000}"/>
    <cellStyle name="Normal 215 4" xfId="1855" xr:uid="{00000000-0005-0000-0000-000062040000}"/>
    <cellStyle name="Normal 216" xfId="751" xr:uid="{00000000-0005-0000-0000-000063040000}"/>
    <cellStyle name="Normal 216 2" xfId="1407" xr:uid="{00000000-0005-0000-0000-000064040000}"/>
    <cellStyle name="Normal 216 2 2" xfId="2219" xr:uid="{00000000-0005-0000-0000-000065040000}"/>
    <cellStyle name="Normal 216 3" xfId="1857" xr:uid="{00000000-0005-0000-0000-000066040000}"/>
    <cellStyle name="Normal 217" xfId="752" xr:uid="{00000000-0005-0000-0000-000067040000}"/>
    <cellStyle name="Normal 217 2" xfId="1408" xr:uid="{00000000-0005-0000-0000-000068040000}"/>
    <cellStyle name="Normal 217 2 2" xfId="2220" xr:uid="{00000000-0005-0000-0000-000069040000}"/>
    <cellStyle name="Normal 217 3" xfId="1858" xr:uid="{00000000-0005-0000-0000-00006A040000}"/>
    <cellStyle name="Normal 218" xfId="753" xr:uid="{00000000-0005-0000-0000-00006B040000}"/>
    <cellStyle name="Normal 218 2" xfId="1409" xr:uid="{00000000-0005-0000-0000-00006C040000}"/>
    <cellStyle name="Normal 218 2 2" xfId="2221" xr:uid="{00000000-0005-0000-0000-00006D040000}"/>
    <cellStyle name="Normal 218 3" xfId="1859" xr:uid="{00000000-0005-0000-0000-00006E040000}"/>
    <cellStyle name="Normal 219" xfId="754" xr:uid="{00000000-0005-0000-0000-00006F040000}"/>
    <cellStyle name="Normal 219 2" xfId="1410" xr:uid="{00000000-0005-0000-0000-000070040000}"/>
    <cellStyle name="Normal 219 2 2" xfId="2222" xr:uid="{00000000-0005-0000-0000-000071040000}"/>
    <cellStyle name="Normal 219 3" xfId="1860" xr:uid="{00000000-0005-0000-0000-000072040000}"/>
    <cellStyle name="Normal 22" xfId="755" xr:uid="{00000000-0005-0000-0000-000073040000}"/>
    <cellStyle name="Normal 22 2" xfId="1861" xr:uid="{00000000-0005-0000-0000-000074040000}"/>
    <cellStyle name="Normal 220" xfId="756" xr:uid="{00000000-0005-0000-0000-000075040000}"/>
    <cellStyle name="Normal 220 2" xfId="1862" xr:uid="{00000000-0005-0000-0000-000076040000}"/>
    <cellStyle name="Normal 221" xfId="757" xr:uid="{00000000-0005-0000-0000-000077040000}"/>
    <cellStyle name="Normal 221 2" xfId="1411" xr:uid="{00000000-0005-0000-0000-000078040000}"/>
    <cellStyle name="Normal 221 3" xfId="1863" xr:uid="{00000000-0005-0000-0000-000079040000}"/>
    <cellStyle name="Normal 222" xfId="758" xr:uid="{00000000-0005-0000-0000-00007A040000}"/>
    <cellStyle name="Normal 222 2" xfId="1412" xr:uid="{00000000-0005-0000-0000-00007B040000}"/>
    <cellStyle name="Normal 222 3" xfId="1864" xr:uid="{00000000-0005-0000-0000-00007C040000}"/>
    <cellStyle name="Normal 223" xfId="759" xr:uid="{00000000-0005-0000-0000-00007D040000}"/>
    <cellStyle name="Normal 223 2" xfId="1865" xr:uid="{00000000-0005-0000-0000-00007E040000}"/>
    <cellStyle name="Normal 224" xfId="760" xr:uid="{00000000-0005-0000-0000-00007F040000}"/>
    <cellStyle name="Normal 224 2" xfId="1413" xr:uid="{00000000-0005-0000-0000-000080040000}"/>
    <cellStyle name="Normal 224 2 2" xfId="2223" xr:uid="{00000000-0005-0000-0000-000081040000}"/>
    <cellStyle name="Normal 225" xfId="761" xr:uid="{00000000-0005-0000-0000-000082040000}"/>
    <cellStyle name="Normal 225 2" xfId="1414" xr:uid="{00000000-0005-0000-0000-000083040000}"/>
    <cellStyle name="Normal 225 2 2" xfId="2224" xr:uid="{00000000-0005-0000-0000-000084040000}"/>
    <cellStyle name="Normal 226" xfId="762" xr:uid="{00000000-0005-0000-0000-000085040000}"/>
    <cellStyle name="Normal 226 2" xfId="1415" xr:uid="{00000000-0005-0000-0000-000086040000}"/>
    <cellStyle name="Normal 226 2 2" xfId="2225" xr:uid="{00000000-0005-0000-0000-000087040000}"/>
    <cellStyle name="Normal 227" xfId="763" xr:uid="{00000000-0005-0000-0000-000088040000}"/>
    <cellStyle name="Normal 227 2" xfId="1416" xr:uid="{00000000-0005-0000-0000-000089040000}"/>
    <cellStyle name="Normal 227 2 2" xfId="2226" xr:uid="{00000000-0005-0000-0000-00008A040000}"/>
    <cellStyle name="Normal 228" xfId="764" xr:uid="{00000000-0005-0000-0000-00008B040000}"/>
    <cellStyle name="Normal 228 2" xfId="1417" xr:uid="{00000000-0005-0000-0000-00008C040000}"/>
    <cellStyle name="Normal 228 2 2" xfId="2227" xr:uid="{00000000-0005-0000-0000-00008D040000}"/>
    <cellStyle name="Normal 229" xfId="765" xr:uid="{00000000-0005-0000-0000-00008E040000}"/>
    <cellStyle name="Normal 229 2" xfId="1418" xr:uid="{00000000-0005-0000-0000-00008F040000}"/>
    <cellStyle name="Normal 229 2 2" xfId="2228" xr:uid="{00000000-0005-0000-0000-000090040000}"/>
    <cellStyle name="Normal 23" xfId="766" xr:uid="{00000000-0005-0000-0000-000091040000}"/>
    <cellStyle name="Normal 23 2" xfId="1866" xr:uid="{00000000-0005-0000-0000-000092040000}"/>
    <cellStyle name="Normal 230" xfId="767" xr:uid="{00000000-0005-0000-0000-000093040000}"/>
    <cellStyle name="Normal 230 2" xfId="1867" xr:uid="{00000000-0005-0000-0000-000094040000}"/>
    <cellStyle name="Normal 231" xfId="768" xr:uid="{00000000-0005-0000-0000-000095040000}"/>
    <cellStyle name="Normal 231 2" xfId="1868" xr:uid="{00000000-0005-0000-0000-000096040000}"/>
    <cellStyle name="Normal 232" xfId="1" xr:uid="{00000000-0005-0000-0000-000097040000}"/>
    <cellStyle name="Normal 232 2" xfId="1419" xr:uid="{00000000-0005-0000-0000-000098040000}"/>
    <cellStyle name="Normal 232 2 2" xfId="2229" xr:uid="{00000000-0005-0000-0000-000099040000}"/>
    <cellStyle name="Normal 233" xfId="1278" xr:uid="{00000000-0005-0000-0000-00009A040000}"/>
    <cellStyle name="Normal 233 2" xfId="1420" xr:uid="{00000000-0005-0000-0000-00009B040000}"/>
    <cellStyle name="Normal 233 2 2" xfId="2230" xr:uid="{00000000-0005-0000-0000-00009C040000}"/>
    <cellStyle name="Normal 234" xfId="1538" xr:uid="{00000000-0005-0000-0000-00009D040000}"/>
    <cellStyle name="Normal 234 2" xfId="1421" xr:uid="{00000000-0005-0000-0000-00009E040000}"/>
    <cellStyle name="Normal 234 2 2" xfId="2231" xr:uid="{00000000-0005-0000-0000-00009F040000}"/>
    <cellStyle name="Normal 235" xfId="1422" xr:uid="{00000000-0005-0000-0000-0000A0040000}"/>
    <cellStyle name="Normal 235 2" xfId="2232" xr:uid="{00000000-0005-0000-0000-0000A1040000}"/>
    <cellStyle name="Normal 236" xfId="1423" xr:uid="{00000000-0005-0000-0000-0000A2040000}"/>
    <cellStyle name="Normal 236 2" xfId="2233" xr:uid="{00000000-0005-0000-0000-0000A3040000}"/>
    <cellStyle name="Normal 237" xfId="1424" xr:uid="{00000000-0005-0000-0000-0000A4040000}"/>
    <cellStyle name="Normal 237 2" xfId="2234" xr:uid="{00000000-0005-0000-0000-0000A5040000}"/>
    <cellStyle name="Normal 238" xfId="1425" xr:uid="{00000000-0005-0000-0000-0000A6040000}"/>
    <cellStyle name="Normal 238 2" xfId="2235" xr:uid="{00000000-0005-0000-0000-0000A7040000}"/>
    <cellStyle name="Normal 239" xfId="1426" xr:uid="{00000000-0005-0000-0000-0000A8040000}"/>
    <cellStyle name="Normal 239 2" xfId="2236" xr:uid="{00000000-0005-0000-0000-0000A9040000}"/>
    <cellStyle name="Normal 24" xfId="769" xr:uid="{00000000-0005-0000-0000-0000AA040000}"/>
    <cellStyle name="Normal 24 2" xfId="1869" xr:uid="{00000000-0005-0000-0000-0000AB040000}"/>
    <cellStyle name="Normal 240" xfId="1427" xr:uid="{00000000-0005-0000-0000-0000AC040000}"/>
    <cellStyle name="Normal 240 2" xfId="2237" xr:uid="{00000000-0005-0000-0000-0000AD040000}"/>
    <cellStyle name="Normal 241" xfId="1428" xr:uid="{00000000-0005-0000-0000-0000AE040000}"/>
    <cellStyle name="Normal 241 2" xfId="2238" xr:uid="{00000000-0005-0000-0000-0000AF040000}"/>
    <cellStyle name="Normal 242" xfId="1429" xr:uid="{00000000-0005-0000-0000-0000B0040000}"/>
    <cellStyle name="Normal 242 2" xfId="2239" xr:uid="{00000000-0005-0000-0000-0000B1040000}"/>
    <cellStyle name="Normal 243" xfId="1430" xr:uid="{00000000-0005-0000-0000-0000B2040000}"/>
    <cellStyle name="Normal 243 2" xfId="2240" xr:uid="{00000000-0005-0000-0000-0000B3040000}"/>
    <cellStyle name="Normal 244" xfId="1431" xr:uid="{00000000-0005-0000-0000-0000B4040000}"/>
    <cellStyle name="Normal 244 2" xfId="2241" xr:uid="{00000000-0005-0000-0000-0000B5040000}"/>
    <cellStyle name="Normal 245" xfId="1432" xr:uid="{00000000-0005-0000-0000-0000B6040000}"/>
    <cellStyle name="Normal 245 2" xfId="2242" xr:uid="{00000000-0005-0000-0000-0000B7040000}"/>
    <cellStyle name="Normal 246" xfId="1433" xr:uid="{00000000-0005-0000-0000-0000B8040000}"/>
    <cellStyle name="Normal 246 2" xfId="2243" xr:uid="{00000000-0005-0000-0000-0000B9040000}"/>
    <cellStyle name="Normal 247" xfId="1434" xr:uid="{00000000-0005-0000-0000-0000BA040000}"/>
    <cellStyle name="Normal 247 2" xfId="2244" xr:uid="{00000000-0005-0000-0000-0000BB040000}"/>
    <cellStyle name="Normal 248" xfId="1435" xr:uid="{00000000-0005-0000-0000-0000BC040000}"/>
    <cellStyle name="Normal 248 2" xfId="2245" xr:uid="{00000000-0005-0000-0000-0000BD040000}"/>
    <cellStyle name="Normal 249" xfId="1436" xr:uid="{00000000-0005-0000-0000-0000BE040000}"/>
    <cellStyle name="Normal 249 2" xfId="2246" xr:uid="{00000000-0005-0000-0000-0000BF040000}"/>
    <cellStyle name="Normal 25" xfId="770" xr:uid="{00000000-0005-0000-0000-0000C0040000}"/>
    <cellStyle name="Normal 25 2" xfId="1870" xr:uid="{00000000-0005-0000-0000-0000C1040000}"/>
    <cellStyle name="Normal 250" xfId="1437" xr:uid="{00000000-0005-0000-0000-0000C2040000}"/>
    <cellStyle name="Normal 250 2" xfId="2247" xr:uid="{00000000-0005-0000-0000-0000C3040000}"/>
    <cellStyle name="Normal 251" xfId="1438" xr:uid="{00000000-0005-0000-0000-0000C4040000}"/>
    <cellStyle name="Normal 251 2" xfId="2248" xr:uid="{00000000-0005-0000-0000-0000C5040000}"/>
    <cellStyle name="Normal 252" xfId="1439" xr:uid="{00000000-0005-0000-0000-0000C6040000}"/>
    <cellStyle name="Normal 252 2" xfId="2249" xr:uid="{00000000-0005-0000-0000-0000C7040000}"/>
    <cellStyle name="Normal 253" xfId="1440" xr:uid="{00000000-0005-0000-0000-0000C8040000}"/>
    <cellStyle name="Normal 253 2" xfId="2250" xr:uid="{00000000-0005-0000-0000-0000C9040000}"/>
    <cellStyle name="Normal 254" xfId="1441" xr:uid="{00000000-0005-0000-0000-0000CA040000}"/>
    <cellStyle name="Normal 254 2" xfId="2251" xr:uid="{00000000-0005-0000-0000-0000CB040000}"/>
    <cellStyle name="Normal 255" xfId="1442" xr:uid="{00000000-0005-0000-0000-0000CC040000}"/>
    <cellStyle name="Normal 255 2" xfId="2252" xr:uid="{00000000-0005-0000-0000-0000CD040000}"/>
    <cellStyle name="Normal 256" xfId="1443" xr:uid="{00000000-0005-0000-0000-0000CE040000}"/>
    <cellStyle name="Normal 256 2" xfId="2253" xr:uid="{00000000-0005-0000-0000-0000CF040000}"/>
    <cellStyle name="Normal 257" xfId="1444" xr:uid="{00000000-0005-0000-0000-0000D0040000}"/>
    <cellStyle name="Normal 257 2" xfId="2254" xr:uid="{00000000-0005-0000-0000-0000D1040000}"/>
    <cellStyle name="Normal 258" xfId="1445" xr:uid="{00000000-0005-0000-0000-0000D2040000}"/>
    <cellStyle name="Normal 258 2" xfId="2255" xr:uid="{00000000-0005-0000-0000-0000D3040000}"/>
    <cellStyle name="Normal 259" xfId="1446" xr:uid="{00000000-0005-0000-0000-0000D4040000}"/>
    <cellStyle name="Normal 259 2" xfId="2256" xr:uid="{00000000-0005-0000-0000-0000D5040000}"/>
    <cellStyle name="Normal 26" xfId="771" xr:uid="{00000000-0005-0000-0000-0000D6040000}"/>
    <cellStyle name="Normal 26 2" xfId="1871" xr:uid="{00000000-0005-0000-0000-0000D7040000}"/>
    <cellStyle name="Normal 260" xfId="1447" xr:uid="{00000000-0005-0000-0000-0000D8040000}"/>
    <cellStyle name="Normal 260 2" xfId="2257" xr:uid="{00000000-0005-0000-0000-0000D9040000}"/>
    <cellStyle name="Normal 261" xfId="1448" xr:uid="{00000000-0005-0000-0000-0000DA040000}"/>
    <cellStyle name="Normal 261 2" xfId="2258" xr:uid="{00000000-0005-0000-0000-0000DB040000}"/>
    <cellStyle name="Normal 262" xfId="1449" xr:uid="{00000000-0005-0000-0000-0000DC040000}"/>
    <cellStyle name="Normal 262 2" xfId="2259" xr:uid="{00000000-0005-0000-0000-0000DD040000}"/>
    <cellStyle name="Normal 263" xfId="1450" xr:uid="{00000000-0005-0000-0000-0000DE040000}"/>
    <cellStyle name="Normal 263 2" xfId="2260" xr:uid="{00000000-0005-0000-0000-0000DF040000}"/>
    <cellStyle name="Normal 264" xfId="1451" xr:uid="{00000000-0005-0000-0000-0000E0040000}"/>
    <cellStyle name="Normal 265" xfId="1452" xr:uid="{00000000-0005-0000-0000-0000E1040000}"/>
    <cellStyle name="Normal 265 2" xfId="2261" xr:uid="{00000000-0005-0000-0000-0000E2040000}"/>
    <cellStyle name="Normal 266" xfId="1453" xr:uid="{00000000-0005-0000-0000-0000E3040000}"/>
    <cellStyle name="Normal 266 2" xfId="2262" xr:uid="{00000000-0005-0000-0000-0000E4040000}"/>
    <cellStyle name="Normal 267" xfId="1454" xr:uid="{00000000-0005-0000-0000-0000E5040000}"/>
    <cellStyle name="Normal 267 2" xfId="2263" xr:uid="{00000000-0005-0000-0000-0000E6040000}"/>
    <cellStyle name="Normal 268" xfId="1455" xr:uid="{00000000-0005-0000-0000-0000E7040000}"/>
    <cellStyle name="Normal 268 2" xfId="2264" xr:uid="{00000000-0005-0000-0000-0000E8040000}"/>
    <cellStyle name="Normal 269" xfId="1456" xr:uid="{00000000-0005-0000-0000-0000E9040000}"/>
    <cellStyle name="Normal 269 2" xfId="2265" xr:uid="{00000000-0005-0000-0000-0000EA040000}"/>
    <cellStyle name="Normal 27" xfId="772" xr:uid="{00000000-0005-0000-0000-0000EB040000}"/>
    <cellStyle name="Normal 27 2" xfId="1872" xr:uid="{00000000-0005-0000-0000-0000EC040000}"/>
    <cellStyle name="Normal 270" xfId="1457" xr:uid="{00000000-0005-0000-0000-0000ED040000}"/>
    <cellStyle name="Normal 270 2" xfId="2266" xr:uid="{00000000-0005-0000-0000-0000EE040000}"/>
    <cellStyle name="Normal 271" xfId="1458" xr:uid="{00000000-0005-0000-0000-0000EF040000}"/>
    <cellStyle name="Normal 271 2" xfId="2267" xr:uid="{00000000-0005-0000-0000-0000F0040000}"/>
    <cellStyle name="Normal 272" xfId="1459" xr:uid="{00000000-0005-0000-0000-0000F1040000}"/>
    <cellStyle name="Normal 272 2" xfId="2268" xr:uid="{00000000-0005-0000-0000-0000F2040000}"/>
    <cellStyle name="Normal 273" xfId="1460" xr:uid="{00000000-0005-0000-0000-0000F3040000}"/>
    <cellStyle name="Normal 273 2" xfId="2269" xr:uid="{00000000-0005-0000-0000-0000F4040000}"/>
    <cellStyle name="Normal 274" xfId="1461" xr:uid="{00000000-0005-0000-0000-0000F5040000}"/>
    <cellStyle name="Normal 274 2" xfId="2270" xr:uid="{00000000-0005-0000-0000-0000F6040000}"/>
    <cellStyle name="Normal 275" xfId="1462" xr:uid="{00000000-0005-0000-0000-0000F7040000}"/>
    <cellStyle name="Normal 275 2" xfId="2271" xr:uid="{00000000-0005-0000-0000-0000F8040000}"/>
    <cellStyle name="Normal 276" xfId="1463" xr:uid="{00000000-0005-0000-0000-0000F9040000}"/>
    <cellStyle name="Normal 276 2" xfId="2272" xr:uid="{00000000-0005-0000-0000-0000FA040000}"/>
    <cellStyle name="Normal 277" xfId="1464" xr:uid="{00000000-0005-0000-0000-0000FB040000}"/>
    <cellStyle name="Normal 277 2" xfId="2273" xr:uid="{00000000-0005-0000-0000-0000FC040000}"/>
    <cellStyle name="Normal 278" xfId="1465" xr:uid="{00000000-0005-0000-0000-0000FD040000}"/>
    <cellStyle name="Normal 278 2" xfId="2274" xr:uid="{00000000-0005-0000-0000-0000FE040000}"/>
    <cellStyle name="Normal 279" xfId="1279" xr:uid="{00000000-0005-0000-0000-0000FF040000}"/>
    <cellStyle name="Normal 279 2" xfId="1633" xr:uid="{00000000-0005-0000-0000-000000050000}"/>
    <cellStyle name="Normal 28" xfId="773" xr:uid="{00000000-0005-0000-0000-000001050000}"/>
    <cellStyle name="Normal 28 2" xfId="1873" xr:uid="{00000000-0005-0000-0000-000002050000}"/>
    <cellStyle name="Normal 280" xfId="1543" xr:uid="{00000000-0005-0000-0000-000003050000}"/>
    <cellStyle name="Normal 281" xfId="1542" xr:uid="{00000000-0005-0000-0000-000004050000}"/>
    <cellStyle name="Normal 282" xfId="1541" xr:uid="{00000000-0005-0000-0000-000005050000}"/>
    <cellStyle name="Normal 283" xfId="1540" xr:uid="{00000000-0005-0000-0000-000006050000}"/>
    <cellStyle name="Normal 284" xfId="1539" xr:uid="{00000000-0005-0000-0000-000007050000}"/>
    <cellStyle name="Normal 285" xfId="1511" xr:uid="{00000000-0005-0000-0000-000008050000}"/>
    <cellStyle name="Normal 286" xfId="1503" xr:uid="{00000000-0005-0000-0000-000009050000}"/>
    <cellStyle name="Normal 287" xfId="1502" xr:uid="{00000000-0005-0000-0000-00000A050000}"/>
    <cellStyle name="Normal 288" xfId="1487" xr:uid="{00000000-0005-0000-0000-00000B050000}"/>
    <cellStyle name="Normal 289" xfId="1486" xr:uid="{00000000-0005-0000-0000-00000C050000}"/>
    <cellStyle name="Normal 29" xfId="774" xr:uid="{00000000-0005-0000-0000-00000D050000}"/>
    <cellStyle name="Normal 29 2" xfId="1874" xr:uid="{00000000-0005-0000-0000-00000E050000}"/>
    <cellStyle name="Normal 290" xfId="1395" xr:uid="{00000000-0005-0000-0000-00000F050000}"/>
    <cellStyle name="Normal 290 2" xfId="2211" xr:uid="{00000000-0005-0000-0000-000010050000}"/>
    <cellStyle name="Normal 291" xfId="1549" xr:uid="{00000000-0005-0000-0000-000011050000}"/>
    <cellStyle name="Normal 291 2" xfId="2299" xr:uid="{00000000-0005-0000-0000-000012050000}"/>
    <cellStyle name="Normal 292" xfId="1394" xr:uid="{00000000-0005-0000-0000-000013050000}"/>
    <cellStyle name="Normal 293" xfId="1393" xr:uid="{00000000-0005-0000-0000-000014050000}"/>
    <cellStyle name="Normal 294" xfId="1382" xr:uid="{00000000-0005-0000-0000-000015050000}"/>
    <cellStyle name="Normal 295" xfId="1381" xr:uid="{00000000-0005-0000-0000-000016050000}"/>
    <cellStyle name="Normal 296" xfId="1376" xr:uid="{00000000-0005-0000-0000-000017050000}"/>
    <cellStyle name="Normal 297" xfId="1364" xr:uid="{00000000-0005-0000-0000-000018050000}"/>
    <cellStyle name="Normal 298" xfId="1345" xr:uid="{00000000-0005-0000-0000-000019050000}"/>
    <cellStyle name="Normal 299" xfId="1324" xr:uid="{00000000-0005-0000-0000-00001A050000}"/>
    <cellStyle name="Normal 299 2" xfId="2205" xr:uid="{00000000-0005-0000-0000-00001B050000}"/>
    <cellStyle name="Normal 3" xfId="775" xr:uid="{00000000-0005-0000-0000-00001C050000}"/>
    <cellStyle name="Normal 3 2" xfId="776" xr:uid="{00000000-0005-0000-0000-00001D050000}"/>
    <cellStyle name="Normal 3 2 2" xfId="777" xr:uid="{00000000-0005-0000-0000-00001E050000}"/>
    <cellStyle name="Normal 3 2 3" xfId="778" xr:uid="{00000000-0005-0000-0000-00001F050000}"/>
    <cellStyle name="Normal 3 2 4" xfId="779" xr:uid="{00000000-0005-0000-0000-000020050000}"/>
    <cellStyle name="Normal 3 2 5" xfId="2407" xr:uid="{00000000-0005-0000-0000-000021050000}"/>
    <cellStyle name="Normal 3 3" xfId="780" xr:uid="{00000000-0005-0000-0000-000022050000}"/>
    <cellStyle name="Normal 3 3 2" xfId="781" xr:uid="{00000000-0005-0000-0000-000023050000}"/>
    <cellStyle name="Normal 3 3 2 2" xfId="1466" xr:uid="{00000000-0005-0000-0000-000024050000}"/>
    <cellStyle name="Normal 3 3 2 3" xfId="1467" xr:uid="{00000000-0005-0000-0000-000025050000}"/>
    <cellStyle name="Normal 3 3 3" xfId="782" xr:uid="{00000000-0005-0000-0000-000026050000}"/>
    <cellStyle name="Normal 3 3 3 2" xfId="1876" xr:uid="{00000000-0005-0000-0000-000027050000}"/>
    <cellStyle name="Normal 3 3 4" xfId="783" xr:uid="{00000000-0005-0000-0000-000028050000}"/>
    <cellStyle name="Normal 3 3 5" xfId="1875" xr:uid="{00000000-0005-0000-0000-000029050000}"/>
    <cellStyle name="Normal 3 4" xfId="784" xr:uid="{00000000-0005-0000-0000-00002A050000}"/>
    <cellStyle name="Normal 3 4 2" xfId="785" xr:uid="{00000000-0005-0000-0000-00002B050000}"/>
    <cellStyle name="Normal 3 4 3" xfId="1877" xr:uid="{00000000-0005-0000-0000-00002C050000}"/>
    <cellStyle name="Normal 3 5" xfId="2330" xr:uid="{00000000-0005-0000-0000-00002D050000}"/>
    <cellStyle name="Normal 3 6" xfId="2325" xr:uid="{00000000-0005-0000-0000-00002E050000}"/>
    <cellStyle name="Normal 3 7" xfId="2431" xr:uid="{00000000-0005-0000-0000-00002F050000}"/>
    <cellStyle name="Normal 3_710 CFS; full sustain + full expand (static-like)" xfId="786" xr:uid="{00000000-0005-0000-0000-000030050000}"/>
    <cellStyle name="Normal 30" xfId="787" xr:uid="{00000000-0005-0000-0000-000031050000}"/>
    <cellStyle name="Normal 30 2" xfId="1878" xr:uid="{00000000-0005-0000-0000-000032050000}"/>
    <cellStyle name="Normal 300" xfId="1559" xr:uid="{00000000-0005-0000-0000-000033050000}"/>
    <cellStyle name="Normal 301" xfId="1558" xr:uid="{00000000-0005-0000-0000-000034050000}"/>
    <cellStyle name="Normal 302" xfId="1557" xr:uid="{00000000-0005-0000-0000-000035050000}"/>
    <cellStyle name="Normal 303" xfId="1556" xr:uid="{00000000-0005-0000-0000-000036050000}"/>
    <cellStyle name="Normal 304" xfId="1555" xr:uid="{00000000-0005-0000-0000-000037050000}"/>
    <cellStyle name="Normal 305" xfId="1554" xr:uid="{00000000-0005-0000-0000-000038050000}"/>
    <cellStyle name="Normal 306" xfId="1553" xr:uid="{00000000-0005-0000-0000-000039050000}"/>
    <cellStyle name="Normal 307" xfId="1552" xr:uid="{00000000-0005-0000-0000-00003A050000}"/>
    <cellStyle name="Normal 308" xfId="1550" xr:uid="{00000000-0005-0000-0000-00003B050000}"/>
    <cellStyle name="Normal 309" xfId="1548" xr:uid="{00000000-0005-0000-0000-00003C050000}"/>
    <cellStyle name="Normal 309 2" xfId="2298" xr:uid="{00000000-0005-0000-0000-00003D050000}"/>
    <cellStyle name="Normal 31" xfId="788" xr:uid="{00000000-0005-0000-0000-00003E050000}"/>
    <cellStyle name="Normal 31 2" xfId="1879" xr:uid="{00000000-0005-0000-0000-00003F050000}"/>
    <cellStyle name="Normal 310" xfId="1562" xr:uid="{00000000-0005-0000-0000-000040050000}"/>
    <cellStyle name="Normal 311" xfId="1574" xr:uid="{00000000-0005-0000-0000-000041050000}"/>
    <cellStyle name="Normal 312" xfId="1575" xr:uid="{00000000-0005-0000-0000-000042050000}"/>
    <cellStyle name="Normal 312 2" xfId="1634" xr:uid="{00000000-0005-0000-0000-000043050000}"/>
    <cellStyle name="Normal 313" xfId="1576" xr:uid="{00000000-0005-0000-0000-000044050000}"/>
    <cellStyle name="Normal 313 2" xfId="1635" xr:uid="{00000000-0005-0000-0000-000045050000}"/>
    <cellStyle name="Normal 314" xfId="1577" xr:uid="{00000000-0005-0000-0000-000046050000}"/>
    <cellStyle name="Normal 314 2" xfId="1636" xr:uid="{00000000-0005-0000-0000-000047050000}"/>
    <cellStyle name="Normal 315" xfId="1578" xr:uid="{00000000-0005-0000-0000-000048050000}"/>
    <cellStyle name="Normal 315 2" xfId="1637" xr:uid="{00000000-0005-0000-0000-000049050000}"/>
    <cellStyle name="Normal 316" xfId="1563" xr:uid="{00000000-0005-0000-0000-00004A050000}"/>
    <cellStyle name="Normal 316 2" xfId="1638" xr:uid="{00000000-0005-0000-0000-00004B050000}"/>
    <cellStyle name="Normal 317" xfId="1579" xr:uid="{00000000-0005-0000-0000-00004C050000}"/>
    <cellStyle name="Normal 317 2" xfId="1639" xr:uid="{00000000-0005-0000-0000-00004D050000}"/>
    <cellStyle name="Normal 318" xfId="1580" xr:uid="{00000000-0005-0000-0000-00004E050000}"/>
    <cellStyle name="Normal 318 2" xfId="1640" xr:uid="{00000000-0005-0000-0000-00004F050000}"/>
    <cellStyle name="Normal 319" xfId="1581" xr:uid="{00000000-0005-0000-0000-000050050000}"/>
    <cellStyle name="Normal 319 2" xfId="1641" xr:uid="{00000000-0005-0000-0000-000051050000}"/>
    <cellStyle name="Normal 32" xfId="789" xr:uid="{00000000-0005-0000-0000-000052050000}"/>
    <cellStyle name="Normal 32 2" xfId="1880" xr:uid="{00000000-0005-0000-0000-000053050000}"/>
    <cellStyle name="Normal 320" xfId="1583" xr:uid="{00000000-0005-0000-0000-000054050000}"/>
    <cellStyle name="Normal 321" xfId="1600" xr:uid="{00000000-0005-0000-0000-000055050000}"/>
    <cellStyle name="Normal 322" xfId="1603" xr:uid="{00000000-0005-0000-0000-000056050000}"/>
    <cellStyle name="Normal 322 2" xfId="1642" xr:uid="{00000000-0005-0000-0000-000057050000}"/>
    <cellStyle name="Normal 323" xfId="1599" xr:uid="{00000000-0005-0000-0000-000058050000}"/>
    <cellStyle name="Normal 323 2" xfId="1643" xr:uid="{00000000-0005-0000-0000-000059050000}"/>
    <cellStyle name="Normal 324" xfId="1602" xr:uid="{00000000-0005-0000-0000-00005A050000}"/>
    <cellStyle name="Normal 324 2" xfId="2322" xr:uid="{00000000-0005-0000-0000-00005B050000}"/>
    <cellStyle name="Normal 325" xfId="1604" xr:uid="{00000000-0005-0000-0000-00005C050000}"/>
    <cellStyle name="Normal 325 2" xfId="1645" xr:uid="{00000000-0005-0000-0000-00005D050000}"/>
    <cellStyle name="Normal 326" xfId="1601" xr:uid="{00000000-0005-0000-0000-00005E050000}"/>
    <cellStyle name="Normal 326 2" xfId="1646" xr:uid="{00000000-0005-0000-0000-00005F050000}"/>
    <cellStyle name="Normal 327" xfId="1605" xr:uid="{00000000-0005-0000-0000-000060050000}"/>
    <cellStyle name="Normal 327 2" xfId="1647" xr:uid="{00000000-0005-0000-0000-000061050000}"/>
    <cellStyle name="Normal 328" xfId="1606" xr:uid="{00000000-0005-0000-0000-000062050000}"/>
    <cellStyle name="Normal 328 2" xfId="1648" xr:uid="{00000000-0005-0000-0000-000063050000}"/>
    <cellStyle name="Normal 329" xfId="1607" xr:uid="{00000000-0005-0000-0000-000064050000}"/>
    <cellStyle name="Normal 329 2" xfId="1649" xr:uid="{00000000-0005-0000-0000-000065050000}"/>
    <cellStyle name="Normal 33" xfId="790" xr:uid="{00000000-0005-0000-0000-000066050000}"/>
    <cellStyle name="Normal 33 2" xfId="1881" xr:uid="{00000000-0005-0000-0000-000067050000}"/>
    <cellStyle name="Normal 330" xfId="1608" xr:uid="{00000000-0005-0000-0000-000068050000}"/>
    <cellStyle name="Normal 330 2" xfId="1650" xr:uid="{00000000-0005-0000-0000-000069050000}"/>
    <cellStyle name="Normal 331" xfId="1609" xr:uid="{00000000-0005-0000-0000-00006A050000}"/>
    <cellStyle name="Normal 331 2" xfId="1651" xr:uid="{00000000-0005-0000-0000-00006B050000}"/>
    <cellStyle name="Normal 332" xfId="1610" xr:uid="{00000000-0005-0000-0000-00006C050000}"/>
    <cellStyle name="Normal 332 2" xfId="1652" xr:uid="{00000000-0005-0000-0000-00006D050000}"/>
    <cellStyle name="Normal 333" xfId="1611" xr:uid="{00000000-0005-0000-0000-00006E050000}"/>
    <cellStyle name="Normal 333 2" xfId="1653" xr:uid="{00000000-0005-0000-0000-00006F050000}"/>
    <cellStyle name="Normal 334" xfId="1612" xr:uid="{00000000-0005-0000-0000-000070050000}"/>
    <cellStyle name="Normal 334 2" xfId="1654" xr:uid="{00000000-0005-0000-0000-000071050000}"/>
    <cellStyle name="Normal 335" xfId="1613" xr:uid="{00000000-0005-0000-0000-000072050000}"/>
    <cellStyle name="Normal 335 2" xfId="2323" xr:uid="{00000000-0005-0000-0000-000073050000}"/>
    <cellStyle name="Normal 336" xfId="1615" xr:uid="{00000000-0005-0000-0000-000074050000}"/>
    <cellStyle name="Normal 337" xfId="1617" xr:uid="{00000000-0005-0000-0000-000075050000}"/>
    <cellStyle name="Normal 338" xfId="1619" xr:uid="{00000000-0005-0000-0000-000076050000}"/>
    <cellStyle name="Normal 339" xfId="1621" xr:uid="{00000000-0005-0000-0000-000077050000}"/>
    <cellStyle name="Normal 34" xfId="791" xr:uid="{00000000-0005-0000-0000-000078050000}"/>
    <cellStyle name="Normal 34 2" xfId="1882" xr:uid="{00000000-0005-0000-0000-000079050000}"/>
    <cellStyle name="Normal 340" xfId="1623" xr:uid="{00000000-0005-0000-0000-00007A050000}"/>
    <cellStyle name="Normal 341" xfId="1625" xr:uid="{00000000-0005-0000-0000-00007B050000}"/>
    <cellStyle name="Normal 342" xfId="1627" xr:uid="{00000000-0005-0000-0000-00007C050000}"/>
    <cellStyle name="Normal 343" xfId="1628" xr:uid="{00000000-0005-0000-0000-00007D050000}"/>
    <cellStyle name="Normal 344" xfId="1631" xr:uid="{00000000-0005-0000-0000-00007E050000}"/>
    <cellStyle name="Normal 345" xfId="2342" xr:uid="{00000000-0005-0000-0000-00007F050000}"/>
    <cellStyle name="Normal 345 2" xfId="2350" xr:uid="{00000000-0005-0000-0000-000080050000}"/>
    <cellStyle name="Normal 345 2 2" xfId="2402" xr:uid="{00000000-0005-0000-0000-000081050000}"/>
    <cellStyle name="Normal 346" xfId="2343" xr:uid="{00000000-0005-0000-0000-000082050000}"/>
    <cellStyle name="Normal 347" xfId="2404" xr:uid="{00000000-0005-0000-0000-000083050000}"/>
    <cellStyle name="Normal 35" xfId="792" xr:uid="{00000000-0005-0000-0000-000084050000}"/>
    <cellStyle name="Normal 35 2" xfId="1883" xr:uid="{00000000-0005-0000-0000-000085050000}"/>
    <cellStyle name="Normal 36" xfId="793" xr:uid="{00000000-0005-0000-0000-000086050000}"/>
    <cellStyle name="Normal 36 2" xfId="1884" xr:uid="{00000000-0005-0000-0000-000087050000}"/>
    <cellStyle name="Normal 37" xfId="794" xr:uid="{00000000-0005-0000-0000-000088050000}"/>
    <cellStyle name="Normal 37 2" xfId="1885" xr:uid="{00000000-0005-0000-0000-000089050000}"/>
    <cellStyle name="Normal 38" xfId="795" xr:uid="{00000000-0005-0000-0000-00008A050000}"/>
    <cellStyle name="Normal 38 2" xfId="1886" xr:uid="{00000000-0005-0000-0000-00008B050000}"/>
    <cellStyle name="Normal 39" xfId="796" xr:uid="{00000000-0005-0000-0000-00008C050000}"/>
    <cellStyle name="Normal 39 2" xfId="1887" xr:uid="{00000000-0005-0000-0000-00008D050000}"/>
    <cellStyle name="Normal 4" xfId="797" xr:uid="{00000000-0005-0000-0000-00008E050000}"/>
    <cellStyle name="Normal 4 10" xfId="1469" xr:uid="{00000000-0005-0000-0000-00008F050000}"/>
    <cellStyle name="Normal 4 10 2" xfId="2276" xr:uid="{00000000-0005-0000-0000-000090050000}"/>
    <cellStyle name="Normal 4 11" xfId="1468" xr:uid="{00000000-0005-0000-0000-000091050000}"/>
    <cellStyle name="Normal 4 11 2" xfId="2275" xr:uid="{00000000-0005-0000-0000-000092050000}"/>
    <cellStyle name="Normal 4 12" xfId="2432" xr:uid="{00000000-0005-0000-0000-000093050000}"/>
    <cellStyle name="Normal 4 2" xfId="798" xr:uid="{00000000-0005-0000-0000-000094050000}"/>
    <cellStyle name="Normal 4 2 2" xfId="799" xr:uid="{00000000-0005-0000-0000-000095050000}"/>
    <cellStyle name="Normal 4 2 2 2" xfId="800" xr:uid="{00000000-0005-0000-0000-000096050000}"/>
    <cellStyle name="Normal 4 2 2 2 2" xfId="1470" xr:uid="{00000000-0005-0000-0000-000097050000}"/>
    <cellStyle name="Normal 4 2 2 2 3" xfId="1471" xr:uid="{00000000-0005-0000-0000-000098050000}"/>
    <cellStyle name="Normal 4 2 2 3" xfId="801" xr:uid="{00000000-0005-0000-0000-000099050000}"/>
    <cellStyle name="Normal 4 2 2 4" xfId="1473" xr:uid="{00000000-0005-0000-0000-00009A050000}"/>
    <cellStyle name="Normal 4 2 3" xfId="802" xr:uid="{00000000-0005-0000-0000-00009B050000}"/>
    <cellStyle name="Normal 4 2 3 2" xfId="1474" xr:uid="{00000000-0005-0000-0000-00009C050000}"/>
    <cellStyle name="Normal 4 2 3 3" xfId="1475" xr:uid="{00000000-0005-0000-0000-00009D050000}"/>
    <cellStyle name="Normal 4 2 4" xfId="803" xr:uid="{00000000-0005-0000-0000-00009E050000}"/>
    <cellStyle name="Normal 4 2 5" xfId="1476" xr:uid="{00000000-0005-0000-0000-00009F050000}"/>
    <cellStyle name="Normal 4 2_Federal Interest Calculation Su" xfId="804" xr:uid="{00000000-0005-0000-0000-0000A0050000}"/>
    <cellStyle name="Normal 4 3" xfId="805" xr:uid="{00000000-0005-0000-0000-0000A1050000}"/>
    <cellStyle name="Normal 4 3 2" xfId="806" xr:uid="{00000000-0005-0000-0000-0000A2050000}"/>
    <cellStyle name="Normal 4 3 2 2" xfId="1477" xr:uid="{00000000-0005-0000-0000-0000A3050000}"/>
    <cellStyle name="Normal 4 3 2 3" xfId="1478" xr:uid="{00000000-0005-0000-0000-0000A4050000}"/>
    <cellStyle name="Normal 4 3 3" xfId="807" xr:uid="{00000000-0005-0000-0000-0000A5050000}"/>
    <cellStyle name="Normal 4 3 4" xfId="808" xr:uid="{00000000-0005-0000-0000-0000A6050000}"/>
    <cellStyle name="Normal 4 3 5" xfId="1479" xr:uid="{00000000-0005-0000-0000-0000A7050000}"/>
    <cellStyle name="Normal 4 3 6" xfId="1480" xr:uid="{00000000-0005-0000-0000-0000A8050000}"/>
    <cellStyle name="Normal 4 4" xfId="809" xr:uid="{00000000-0005-0000-0000-0000A9050000}"/>
    <cellStyle name="Normal 4 4 2" xfId="810" xr:uid="{00000000-0005-0000-0000-0000AA050000}"/>
    <cellStyle name="Normal 4 4 2 2" xfId="1481" xr:uid="{00000000-0005-0000-0000-0000AB050000}"/>
    <cellStyle name="Normal 4 4 2 3" xfId="1482" xr:uid="{00000000-0005-0000-0000-0000AC050000}"/>
    <cellStyle name="Normal 4 4 3" xfId="811" xr:uid="{00000000-0005-0000-0000-0000AD050000}"/>
    <cellStyle name="Normal 4 4 3 2" xfId="1888" xr:uid="{00000000-0005-0000-0000-0000AE050000}"/>
    <cellStyle name="Normal 4 4 4" xfId="1483" xr:uid="{00000000-0005-0000-0000-0000AF050000}"/>
    <cellStyle name="Normal 4 5" xfId="812" xr:uid="{00000000-0005-0000-0000-0000B0050000}"/>
    <cellStyle name="Normal 4 5 2" xfId="1889" xr:uid="{00000000-0005-0000-0000-0000B1050000}"/>
    <cellStyle name="Normal 4 6" xfId="813" xr:uid="{00000000-0005-0000-0000-0000B2050000}"/>
    <cellStyle name="Normal 4 6 2" xfId="814" xr:uid="{00000000-0005-0000-0000-0000B3050000}"/>
    <cellStyle name="Normal 4 6 3" xfId="1890" xr:uid="{00000000-0005-0000-0000-0000B4050000}"/>
    <cellStyle name="Normal 4 7" xfId="815" xr:uid="{00000000-0005-0000-0000-0000B5050000}"/>
    <cellStyle name="Normal 4 8" xfId="1484" xr:uid="{00000000-0005-0000-0000-0000B6050000}"/>
    <cellStyle name="Normal 4 8 2" xfId="2277" xr:uid="{00000000-0005-0000-0000-0000B7050000}"/>
    <cellStyle name="Normal 4 9" xfId="1485" xr:uid="{00000000-0005-0000-0000-0000B8050000}"/>
    <cellStyle name="Normal 4 9 2" xfId="2278" xr:uid="{00000000-0005-0000-0000-0000B9050000}"/>
    <cellStyle name="Normal 4_710 CFS; full sustain + full expand (static-like)" xfId="816" xr:uid="{00000000-0005-0000-0000-0000BA050000}"/>
    <cellStyle name="Normal 40" xfId="817" xr:uid="{00000000-0005-0000-0000-0000BB050000}"/>
    <cellStyle name="Normal 40 2" xfId="1891" xr:uid="{00000000-0005-0000-0000-0000BC050000}"/>
    <cellStyle name="Normal 409" xfId="2406" xr:uid="{00000000-0005-0000-0000-0000BD050000}"/>
    <cellStyle name="Normal 41" xfId="818" xr:uid="{00000000-0005-0000-0000-0000BE050000}"/>
    <cellStyle name="Normal 41 2" xfId="1892" xr:uid="{00000000-0005-0000-0000-0000BF050000}"/>
    <cellStyle name="Normal 419" xfId="2433" xr:uid="{00000000-0005-0000-0000-0000C0050000}"/>
    <cellStyle name="Normal 42" xfId="819" xr:uid="{00000000-0005-0000-0000-0000C1050000}"/>
    <cellStyle name="Normal 42 2" xfId="1893" xr:uid="{00000000-0005-0000-0000-0000C2050000}"/>
    <cellStyle name="Normal 43" xfId="820" xr:uid="{00000000-0005-0000-0000-0000C3050000}"/>
    <cellStyle name="Normal 43 2" xfId="1894" xr:uid="{00000000-0005-0000-0000-0000C4050000}"/>
    <cellStyle name="Normal 44" xfId="821" xr:uid="{00000000-0005-0000-0000-0000C5050000}"/>
    <cellStyle name="Normal 44 2" xfId="1895" xr:uid="{00000000-0005-0000-0000-0000C6050000}"/>
    <cellStyle name="Normal 45" xfId="822" xr:uid="{00000000-0005-0000-0000-0000C7050000}"/>
    <cellStyle name="Normal 45 2" xfId="1896" xr:uid="{00000000-0005-0000-0000-0000C8050000}"/>
    <cellStyle name="Normal 46" xfId="823" xr:uid="{00000000-0005-0000-0000-0000C9050000}"/>
    <cellStyle name="Normal 46 2" xfId="1897" xr:uid="{00000000-0005-0000-0000-0000CA050000}"/>
    <cellStyle name="Normal 47" xfId="824" xr:uid="{00000000-0005-0000-0000-0000CB050000}"/>
    <cellStyle name="Normal 47 2" xfId="1898" xr:uid="{00000000-0005-0000-0000-0000CC050000}"/>
    <cellStyle name="Normal 48" xfId="825" xr:uid="{00000000-0005-0000-0000-0000CD050000}"/>
    <cellStyle name="Normal 48 2" xfId="1899" xr:uid="{00000000-0005-0000-0000-0000CE050000}"/>
    <cellStyle name="Normal 49" xfId="826" xr:uid="{00000000-0005-0000-0000-0000CF050000}"/>
    <cellStyle name="Normal 49 2" xfId="827" xr:uid="{00000000-0005-0000-0000-0000D0050000}"/>
    <cellStyle name="Normal 49 3" xfId="828" xr:uid="{00000000-0005-0000-0000-0000D1050000}"/>
    <cellStyle name="Normal 49 3 2" xfId="1488" xr:uid="{00000000-0005-0000-0000-0000D2050000}"/>
    <cellStyle name="Normal 49 3 3" xfId="1489" xr:uid="{00000000-0005-0000-0000-0000D3050000}"/>
    <cellStyle name="Normal 49 4" xfId="829" xr:uid="{00000000-0005-0000-0000-0000D4050000}"/>
    <cellStyle name="Normal 5" xfId="830" xr:uid="{00000000-0005-0000-0000-0000D5050000}"/>
    <cellStyle name="Normal 5 2" xfId="831" xr:uid="{00000000-0005-0000-0000-0000D6050000}"/>
    <cellStyle name="Normal 5 2 2" xfId="832" xr:uid="{00000000-0005-0000-0000-0000D7050000}"/>
    <cellStyle name="Normal 5 2 2 2" xfId="1490" xr:uid="{00000000-0005-0000-0000-0000D8050000}"/>
    <cellStyle name="Normal 5 2 2 3" xfId="1901" xr:uid="{00000000-0005-0000-0000-0000D9050000}"/>
    <cellStyle name="Normal 5 2 3" xfId="1491" xr:uid="{00000000-0005-0000-0000-0000DA050000}"/>
    <cellStyle name="Normal 5 3" xfId="833" xr:uid="{00000000-0005-0000-0000-0000DB050000}"/>
    <cellStyle name="Normal 5 3 2" xfId="1902" xr:uid="{00000000-0005-0000-0000-0000DC050000}"/>
    <cellStyle name="Normal 5 4" xfId="834" xr:uid="{00000000-0005-0000-0000-0000DD050000}"/>
    <cellStyle name="Normal 5 5" xfId="1900" xr:uid="{00000000-0005-0000-0000-0000DE050000}"/>
    <cellStyle name="Normal 50" xfId="835" xr:uid="{00000000-0005-0000-0000-0000DF050000}"/>
    <cellStyle name="Normal 50 2" xfId="836" xr:uid="{00000000-0005-0000-0000-0000E0050000}"/>
    <cellStyle name="Normal 50 2 2" xfId="1904" xr:uid="{00000000-0005-0000-0000-0000E1050000}"/>
    <cellStyle name="Normal 50 3" xfId="837" xr:uid="{00000000-0005-0000-0000-0000E2050000}"/>
    <cellStyle name="Normal 50 3 2" xfId="1905" xr:uid="{00000000-0005-0000-0000-0000E3050000}"/>
    <cellStyle name="Normal 50 4" xfId="1903" xr:uid="{00000000-0005-0000-0000-0000E4050000}"/>
    <cellStyle name="Normal 51" xfId="838" xr:uid="{00000000-0005-0000-0000-0000E5050000}"/>
    <cellStyle name="Normal 51 2" xfId="839" xr:uid="{00000000-0005-0000-0000-0000E6050000}"/>
    <cellStyle name="Normal 51 2 2" xfId="1907" xr:uid="{00000000-0005-0000-0000-0000E7050000}"/>
    <cellStyle name="Normal 51 3" xfId="840" xr:uid="{00000000-0005-0000-0000-0000E8050000}"/>
    <cellStyle name="Normal 51 4" xfId="1906" xr:uid="{00000000-0005-0000-0000-0000E9050000}"/>
    <cellStyle name="Normal 52" xfId="841" xr:uid="{00000000-0005-0000-0000-0000EA050000}"/>
    <cellStyle name="Normal 52 2" xfId="842" xr:uid="{00000000-0005-0000-0000-0000EB050000}"/>
    <cellStyle name="Normal 52 2 2" xfId="1909" xr:uid="{00000000-0005-0000-0000-0000EC050000}"/>
    <cellStyle name="Normal 52 3" xfId="843" xr:uid="{00000000-0005-0000-0000-0000ED050000}"/>
    <cellStyle name="Normal 52 4" xfId="1908" xr:uid="{00000000-0005-0000-0000-0000EE050000}"/>
    <cellStyle name="Normal 53" xfId="844" xr:uid="{00000000-0005-0000-0000-0000EF050000}"/>
    <cellStyle name="Normal 53 2" xfId="845" xr:uid="{00000000-0005-0000-0000-0000F0050000}"/>
    <cellStyle name="Normal 53 2 2" xfId="1911" xr:uid="{00000000-0005-0000-0000-0000F1050000}"/>
    <cellStyle name="Normal 53 3" xfId="1910" xr:uid="{00000000-0005-0000-0000-0000F2050000}"/>
    <cellStyle name="Normal 54" xfId="846" xr:uid="{00000000-0005-0000-0000-0000F3050000}"/>
    <cellStyle name="Normal 54 2" xfId="1912" xr:uid="{00000000-0005-0000-0000-0000F4050000}"/>
    <cellStyle name="Normal 55" xfId="847" xr:uid="{00000000-0005-0000-0000-0000F5050000}"/>
    <cellStyle name="Normal 55 2" xfId="848" xr:uid="{00000000-0005-0000-0000-0000F6050000}"/>
    <cellStyle name="Normal 55 2 2" xfId="1914" xr:uid="{00000000-0005-0000-0000-0000F7050000}"/>
    <cellStyle name="Normal 55 3" xfId="1913" xr:uid="{00000000-0005-0000-0000-0000F8050000}"/>
    <cellStyle name="Normal 56" xfId="849" xr:uid="{00000000-0005-0000-0000-0000F9050000}"/>
    <cellStyle name="Normal 56 2" xfId="1915" xr:uid="{00000000-0005-0000-0000-0000FA050000}"/>
    <cellStyle name="Normal 57" xfId="850" xr:uid="{00000000-0005-0000-0000-0000FB050000}"/>
    <cellStyle name="Normal 57 2" xfId="1916" xr:uid="{00000000-0005-0000-0000-0000FC050000}"/>
    <cellStyle name="Normal 58" xfId="851" xr:uid="{00000000-0005-0000-0000-0000FD050000}"/>
    <cellStyle name="Normal 58 2" xfId="1917" xr:uid="{00000000-0005-0000-0000-0000FE050000}"/>
    <cellStyle name="Normal 59" xfId="852" xr:uid="{00000000-0005-0000-0000-0000FF050000}"/>
    <cellStyle name="Normal 59 2" xfId="1918" xr:uid="{00000000-0005-0000-0000-000000060000}"/>
    <cellStyle name="Normal 6" xfId="853" xr:uid="{00000000-0005-0000-0000-000001060000}"/>
    <cellStyle name="Normal 6 2" xfId="854" xr:uid="{00000000-0005-0000-0000-000002060000}"/>
    <cellStyle name="Normal 6 2 2" xfId="1492" xr:uid="{00000000-0005-0000-0000-000003060000}"/>
    <cellStyle name="Normal 6 2 3" xfId="1493" xr:uid="{00000000-0005-0000-0000-000004060000}"/>
    <cellStyle name="Normal 6 3" xfId="855" xr:uid="{00000000-0005-0000-0000-000005060000}"/>
    <cellStyle name="Normal 6 3 2" xfId="1920" xr:uid="{00000000-0005-0000-0000-000006060000}"/>
    <cellStyle name="Normal 6 4" xfId="856" xr:uid="{00000000-0005-0000-0000-000007060000}"/>
    <cellStyle name="Normal 6 5" xfId="1919" xr:uid="{00000000-0005-0000-0000-000008060000}"/>
    <cellStyle name="Normal 60" xfId="857" xr:uid="{00000000-0005-0000-0000-000009060000}"/>
    <cellStyle name="Normal 60 2" xfId="858" xr:uid="{00000000-0005-0000-0000-00000A060000}"/>
    <cellStyle name="Normal 60 2 2" xfId="1922" xr:uid="{00000000-0005-0000-0000-00000B060000}"/>
    <cellStyle name="Normal 60 3" xfId="1921" xr:uid="{00000000-0005-0000-0000-00000C060000}"/>
    <cellStyle name="Normal 61" xfId="859" xr:uid="{00000000-0005-0000-0000-00000D060000}"/>
    <cellStyle name="Normal 61 2" xfId="1923" xr:uid="{00000000-0005-0000-0000-00000E060000}"/>
    <cellStyle name="Normal 62" xfId="860" xr:uid="{00000000-0005-0000-0000-00000F060000}"/>
    <cellStyle name="Normal 62 2" xfId="1924" xr:uid="{00000000-0005-0000-0000-000010060000}"/>
    <cellStyle name="Normal 63" xfId="861" xr:uid="{00000000-0005-0000-0000-000011060000}"/>
    <cellStyle name="Normal 63 2" xfId="1925" xr:uid="{00000000-0005-0000-0000-000012060000}"/>
    <cellStyle name="Normal 64" xfId="862" xr:uid="{00000000-0005-0000-0000-000013060000}"/>
    <cellStyle name="Normal 64 2" xfId="1926" xr:uid="{00000000-0005-0000-0000-000014060000}"/>
    <cellStyle name="Normal 65" xfId="863" xr:uid="{00000000-0005-0000-0000-000015060000}"/>
    <cellStyle name="Normal 65 2" xfId="1927" xr:uid="{00000000-0005-0000-0000-000016060000}"/>
    <cellStyle name="Normal 66" xfId="864" xr:uid="{00000000-0005-0000-0000-000017060000}"/>
    <cellStyle name="Normal 66 2" xfId="1928" xr:uid="{00000000-0005-0000-0000-000018060000}"/>
    <cellStyle name="Normal 67" xfId="865" xr:uid="{00000000-0005-0000-0000-000019060000}"/>
    <cellStyle name="Normal 67 2" xfId="1929" xr:uid="{00000000-0005-0000-0000-00001A060000}"/>
    <cellStyle name="Normal 68" xfId="866" xr:uid="{00000000-0005-0000-0000-00001B060000}"/>
    <cellStyle name="Normal 68 2" xfId="1930" xr:uid="{00000000-0005-0000-0000-00001C060000}"/>
    <cellStyle name="Normal 69" xfId="867" xr:uid="{00000000-0005-0000-0000-00001D060000}"/>
    <cellStyle name="Normal 69 2" xfId="1931" xr:uid="{00000000-0005-0000-0000-00001E060000}"/>
    <cellStyle name="Normal 7" xfId="868" xr:uid="{00000000-0005-0000-0000-00001F060000}"/>
    <cellStyle name="Normal 7 2" xfId="869" xr:uid="{00000000-0005-0000-0000-000020060000}"/>
    <cellStyle name="Normal 7 2 2" xfId="1494" xr:uid="{00000000-0005-0000-0000-000021060000}"/>
    <cellStyle name="Normal 7 2 3" xfId="1495" xr:uid="{00000000-0005-0000-0000-000022060000}"/>
    <cellStyle name="Normal 7 3" xfId="870" xr:uid="{00000000-0005-0000-0000-000023060000}"/>
    <cellStyle name="Normal 7 3 2" xfId="1933" xr:uid="{00000000-0005-0000-0000-000024060000}"/>
    <cellStyle name="Normal 7 4" xfId="871" xr:uid="{00000000-0005-0000-0000-000025060000}"/>
    <cellStyle name="Normal 7 5" xfId="1932" xr:uid="{00000000-0005-0000-0000-000026060000}"/>
    <cellStyle name="Normal 70" xfId="872" xr:uid="{00000000-0005-0000-0000-000027060000}"/>
    <cellStyle name="Normal 70 2" xfId="1934" xr:uid="{00000000-0005-0000-0000-000028060000}"/>
    <cellStyle name="Normal 71" xfId="873" xr:uid="{00000000-0005-0000-0000-000029060000}"/>
    <cellStyle name="Normal 71 2" xfId="1935" xr:uid="{00000000-0005-0000-0000-00002A060000}"/>
    <cellStyle name="Normal 72" xfId="874" xr:uid="{00000000-0005-0000-0000-00002B060000}"/>
    <cellStyle name="Normal 72 2" xfId="1936" xr:uid="{00000000-0005-0000-0000-00002C060000}"/>
    <cellStyle name="Normal 73" xfId="875" xr:uid="{00000000-0005-0000-0000-00002D060000}"/>
    <cellStyle name="Normal 73 2" xfId="876" xr:uid="{00000000-0005-0000-0000-00002E060000}"/>
    <cellStyle name="Normal 73 2 2" xfId="1938" xr:uid="{00000000-0005-0000-0000-00002F060000}"/>
    <cellStyle name="Normal 73 3" xfId="1937" xr:uid="{00000000-0005-0000-0000-000030060000}"/>
    <cellStyle name="Normal 74" xfId="877" xr:uid="{00000000-0005-0000-0000-000031060000}"/>
    <cellStyle name="Normal 74 2" xfId="878" xr:uid="{00000000-0005-0000-0000-000032060000}"/>
    <cellStyle name="Normal 74 2 2" xfId="1940" xr:uid="{00000000-0005-0000-0000-000033060000}"/>
    <cellStyle name="Normal 74 3" xfId="1939" xr:uid="{00000000-0005-0000-0000-000034060000}"/>
    <cellStyle name="Normal 75" xfId="879" xr:uid="{00000000-0005-0000-0000-000035060000}"/>
    <cellStyle name="Normal 75 2" xfId="880" xr:uid="{00000000-0005-0000-0000-000036060000}"/>
    <cellStyle name="Normal 75 2 2" xfId="1942" xr:uid="{00000000-0005-0000-0000-000037060000}"/>
    <cellStyle name="Normal 75 3" xfId="881" xr:uid="{00000000-0005-0000-0000-000038060000}"/>
    <cellStyle name="Normal 75 3 2" xfId="1943" xr:uid="{00000000-0005-0000-0000-000039060000}"/>
    <cellStyle name="Normal 75 4" xfId="1941" xr:uid="{00000000-0005-0000-0000-00003A060000}"/>
    <cellStyle name="Normal 76" xfId="882" xr:uid="{00000000-0005-0000-0000-00003B060000}"/>
    <cellStyle name="Normal 76 2" xfId="883" xr:uid="{00000000-0005-0000-0000-00003C060000}"/>
    <cellStyle name="Normal 76 2 2" xfId="1945" xr:uid="{00000000-0005-0000-0000-00003D060000}"/>
    <cellStyle name="Normal 76 3" xfId="884" xr:uid="{00000000-0005-0000-0000-00003E060000}"/>
    <cellStyle name="Normal 76 3 2" xfId="1946" xr:uid="{00000000-0005-0000-0000-00003F060000}"/>
    <cellStyle name="Normal 76 4" xfId="1944" xr:uid="{00000000-0005-0000-0000-000040060000}"/>
    <cellStyle name="Normal 77" xfId="885" xr:uid="{00000000-0005-0000-0000-000041060000}"/>
    <cellStyle name="Normal 77 2" xfId="886" xr:uid="{00000000-0005-0000-0000-000042060000}"/>
    <cellStyle name="Normal 77 2 2" xfId="1948" xr:uid="{00000000-0005-0000-0000-000043060000}"/>
    <cellStyle name="Normal 77 3" xfId="887" xr:uid="{00000000-0005-0000-0000-000044060000}"/>
    <cellStyle name="Normal 77 3 2" xfId="1949" xr:uid="{00000000-0005-0000-0000-000045060000}"/>
    <cellStyle name="Normal 77 4" xfId="1947" xr:uid="{00000000-0005-0000-0000-000046060000}"/>
    <cellStyle name="Normal 78" xfId="888" xr:uid="{00000000-0005-0000-0000-000047060000}"/>
    <cellStyle name="Normal 78 2" xfId="889" xr:uid="{00000000-0005-0000-0000-000048060000}"/>
    <cellStyle name="Normal 78 2 2" xfId="1951" xr:uid="{00000000-0005-0000-0000-000049060000}"/>
    <cellStyle name="Normal 78 3" xfId="1950" xr:uid="{00000000-0005-0000-0000-00004A060000}"/>
    <cellStyle name="Normal 79" xfId="890" xr:uid="{00000000-0005-0000-0000-00004B060000}"/>
    <cellStyle name="Normal 79 2" xfId="1952" xr:uid="{00000000-0005-0000-0000-00004C060000}"/>
    <cellStyle name="Normal 8" xfId="891" xr:uid="{00000000-0005-0000-0000-00004D060000}"/>
    <cellStyle name="Normal 8 2" xfId="892" xr:uid="{00000000-0005-0000-0000-00004E060000}"/>
    <cellStyle name="Normal 8 2 2" xfId="1496" xr:uid="{00000000-0005-0000-0000-00004F060000}"/>
    <cellStyle name="Normal 8 2 3" xfId="1497" xr:uid="{00000000-0005-0000-0000-000050060000}"/>
    <cellStyle name="Normal 8 3" xfId="893" xr:uid="{00000000-0005-0000-0000-000051060000}"/>
    <cellStyle name="Normal 8 3 2" xfId="1954" xr:uid="{00000000-0005-0000-0000-000052060000}"/>
    <cellStyle name="Normal 8 4" xfId="894" xr:uid="{00000000-0005-0000-0000-000053060000}"/>
    <cellStyle name="Normal 8 5" xfId="1953" xr:uid="{00000000-0005-0000-0000-000054060000}"/>
    <cellStyle name="Normal 80" xfId="895" xr:uid="{00000000-0005-0000-0000-000055060000}"/>
    <cellStyle name="Normal 80 2" xfId="1955" xr:uid="{00000000-0005-0000-0000-000056060000}"/>
    <cellStyle name="Normal 81" xfId="896" xr:uid="{00000000-0005-0000-0000-000057060000}"/>
    <cellStyle name="Normal 81 2" xfId="1956" xr:uid="{00000000-0005-0000-0000-000058060000}"/>
    <cellStyle name="Normal 82" xfId="897" xr:uid="{00000000-0005-0000-0000-000059060000}"/>
    <cellStyle name="Normal 82 2" xfId="1957" xr:uid="{00000000-0005-0000-0000-00005A060000}"/>
    <cellStyle name="Normal 83" xfId="898" xr:uid="{00000000-0005-0000-0000-00005B060000}"/>
    <cellStyle name="Normal 83 2" xfId="1958" xr:uid="{00000000-0005-0000-0000-00005C060000}"/>
    <cellStyle name="Normal 84" xfId="899" xr:uid="{00000000-0005-0000-0000-00005D060000}"/>
    <cellStyle name="Normal 84 2" xfId="1959" xr:uid="{00000000-0005-0000-0000-00005E060000}"/>
    <cellStyle name="Normal 85" xfId="900" xr:uid="{00000000-0005-0000-0000-00005F060000}"/>
    <cellStyle name="Normal 85 2" xfId="1960" xr:uid="{00000000-0005-0000-0000-000060060000}"/>
    <cellStyle name="Normal 86" xfId="901" xr:uid="{00000000-0005-0000-0000-000061060000}"/>
    <cellStyle name="Normal 86 2" xfId="1961" xr:uid="{00000000-0005-0000-0000-000062060000}"/>
    <cellStyle name="Normal 87" xfId="902" xr:uid="{00000000-0005-0000-0000-000063060000}"/>
    <cellStyle name="Normal 87 2" xfId="1962" xr:uid="{00000000-0005-0000-0000-000064060000}"/>
    <cellStyle name="Normal 88" xfId="903" xr:uid="{00000000-0005-0000-0000-000065060000}"/>
    <cellStyle name="Normal 88 2" xfId="1963" xr:uid="{00000000-0005-0000-0000-000066060000}"/>
    <cellStyle name="Normal 89" xfId="904" xr:uid="{00000000-0005-0000-0000-000067060000}"/>
    <cellStyle name="Normal 89 2" xfId="1964" xr:uid="{00000000-0005-0000-0000-000068060000}"/>
    <cellStyle name="Normal 9" xfId="905" xr:uid="{00000000-0005-0000-0000-000069060000}"/>
    <cellStyle name="Normal 9 2" xfId="906" xr:uid="{00000000-0005-0000-0000-00006A060000}"/>
    <cellStyle name="Normal 9 2 2" xfId="1966" xr:uid="{00000000-0005-0000-0000-00006B060000}"/>
    <cellStyle name="Normal 9 3" xfId="907" xr:uid="{00000000-0005-0000-0000-00006C060000}"/>
    <cellStyle name="Normal 9 4" xfId="1965" xr:uid="{00000000-0005-0000-0000-00006D060000}"/>
    <cellStyle name="Normal 90" xfId="908" xr:uid="{00000000-0005-0000-0000-00006E060000}"/>
    <cellStyle name="Normal 90 2" xfId="1967" xr:uid="{00000000-0005-0000-0000-00006F060000}"/>
    <cellStyle name="Normal 91" xfId="909" xr:uid="{00000000-0005-0000-0000-000070060000}"/>
    <cellStyle name="Normal 91 2" xfId="1968" xr:uid="{00000000-0005-0000-0000-000071060000}"/>
    <cellStyle name="Normal 92" xfId="910" xr:uid="{00000000-0005-0000-0000-000072060000}"/>
    <cellStyle name="Normal 92 2" xfId="1969" xr:uid="{00000000-0005-0000-0000-000073060000}"/>
    <cellStyle name="Normal 93" xfId="911" xr:uid="{00000000-0005-0000-0000-000074060000}"/>
    <cellStyle name="Normal 93 2" xfId="1970" xr:uid="{00000000-0005-0000-0000-000075060000}"/>
    <cellStyle name="Normal 94" xfId="912" xr:uid="{00000000-0005-0000-0000-000076060000}"/>
    <cellStyle name="Normal 94 2" xfId="1971" xr:uid="{00000000-0005-0000-0000-000077060000}"/>
    <cellStyle name="Normal 95" xfId="913" xr:uid="{00000000-0005-0000-0000-000078060000}"/>
    <cellStyle name="Normal 95 2" xfId="1972" xr:uid="{00000000-0005-0000-0000-000079060000}"/>
    <cellStyle name="Normal 96" xfId="914" xr:uid="{00000000-0005-0000-0000-00007A060000}"/>
    <cellStyle name="Normal 96 2" xfId="1973" xr:uid="{00000000-0005-0000-0000-00007B060000}"/>
    <cellStyle name="Normal 97" xfId="915" xr:uid="{00000000-0005-0000-0000-00007C060000}"/>
    <cellStyle name="Normal 97 2" xfId="1974" xr:uid="{00000000-0005-0000-0000-00007D060000}"/>
    <cellStyle name="Normal 98" xfId="916" xr:uid="{00000000-0005-0000-0000-00007E060000}"/>
    <cellStyle name="Normal 98 2" xfId="1975" xr:uid="{00000000-0005-0000-0000-00007F060000}"/>
    <cellStyle name="Normal 99" xfId="917" xr:uid="{00000000-0005-0000-0000-000080060000}"/>
    <cellStyle name="Normal 99 2" xfId="1976" xr:uid="{00000000-0005-0000-0000-000081060000}"/>
    <cellStyle name="Normal_BW_Inf051305_FY2005Q3" xfId="2421" xr:uid="{00000000-0005-0000-0000-000082060000}"/>
    <cellStyle name="Normal_BW051605_FY2005Q3a" xfId="2405" xr:uid="{00000000-0005-0000-0000-000083060000}"/>
    <cellStyle name="Note 2" xfId="918" xr:uid="{00000000-0005-0000-0000-000084060000}"/>
    <cellStyle name="Note 2 2" xfId="919" xr:uid="{00000000-0005-0000-0000-000085060000}"/>
    <cellStyle name="Note 2 2 2" xfId="1978" xr:uid="{00000000-0005-0000-0000-000086060000}"/>
    <cellStyle name="Note 2 3" xfId="920" xr:uid="{00000000-0005-0000-0000-000087060000}"/>
    <cellStyle name="Note 2 3 2" xfId="1979" xr:uid="{00000000-0005-0000-0000-000088060000}"/>
    <cellStyle name="Note 2 4" xfId="921" xr:uid="{00000000-0005-0000-0000-000089060000}"/>
    <cellStyle name="Note 2 4 2" xfId="1980" xr:uid="{00000000-0005-0000-0000-00008A060000}"/>
    <cellStyle name="Note 2 5" xfId="1977" xr:uid="{00000000-0005-0000-0000-00008B060000}"/>
    <cellStyle name="Note 2_QC" xfId="922" xr:uid="{00000000-0005-0000-0000-00008C060000}"/>
    <cellStyle name="Note 3" xfId="923" xr:uid="{00000000-0005-0000-0000-00008D060000}"/>
    <cellStyle name="Note 3 2" xfId="924" xr:uid="{00000000-0005-0000-0000-00008E060000}"/>
    <cellStyle name="Note 3 2 2" xfId="1498" xr:uid="{00000000-0005-0000-0000-00008F060000}"/>
    <cellStyle name="Note 3 2 3" xfId="1499" xr:uid="{00000000-0005-0000-0000-000090060000}"/>
    <cellStyle name="Note 3 3" xfId="1981" xr:uid="{00000000-0005-0000-0000-000091060000}"/>
    <cellStyle name="Note 4" xfId="1500" xr:uid="{00000000-0005-0000-0000-000092060000}"/>
    <cellStyle name="Note 4 2" xfId="2279" xr:uid="{00000000-0005-0000-0000-000093060000}"/>
    <cellStyle name="Output 2" xfId="925" xr:uid="{00000000-0005-0000-0000-000094060000}"/>
    <cellStyle name="Output 2 2" xfId="926" xr:uid="{00000000-0005-0000-0000-000095060000}"/>
    <cellStyle name="Output 2 2 2" xfId="927" xr:uid="{00000000-0005-0000-0000-000096060000}"/>
    <cellStyle name="Output 2 2 3" xfId="928" xr:uid="{00000000-0005-0000-0000-000097060000}"/>
    <cellStyle name="Output 2 2 4" xfId="929" xr:uid="{00000000-0005-0000-0000-000098060000}"/>
    <cellStyle name="Output 2 3" xfId="930" xr:uid="{00000000-0005-0000-0000-000099060000}"/>
    <cellStyle name="Output 2 4" xfId="931" xr:uid="{00000000-0005-0000-0000-00009A060000}"/>
    <cellStyle name="Output 2 5" xfId="932" xr:uid="{00000000-0005-0000-0000-00009B060000}"/>
    <cellStyle name="Output 2_QC" xfId="933" xr:uid="{00000000-0005-0000-0000-00009C060000}"/>
    <cellStyle name="Output 3" xfId="934" xr:uid="{00000000-0005-0000-0000-00009D060000}"/>
    <cellStyle name="Output 4" xfId="1501" xr:uid="{00000000-0005-0000-0000-00009E060000}"/>
    <cellStyle name="Page Number" xfId="935" xr:uid="{00000000-0005-0000-0000-00009F060000}"/>
    <cellStyle name="Percen - Style2" xfId="936" xr:uid="{00000000-0005-0000-0000-0000A0060000}"/>
    <cellStyle name="Percent" xfId="1582" builtinId="5"/>
    <cellStyle name="Percent [2]" xfId="938" xr:uid="{00000000-0005-0000-0000-0000A2060000}"/>
    <cellStyle name="Percent [2] 2" xfId="1982" xr:uid="{00000000-0005-0000-0000-0000A3060000}"/>
    <cellStyle name="Percent 10" xfId="939" xr:uid="{00000000-0005-0000-0000-0000A4060000}"/>
    <cellStyle name="Percent 10 2" xfId="940" xr:uid="{00000000-0005-0000-0000-0000A5060000}"/>
    <cellStyle name="Percent 10 2 2" xfId="1984" xr:uid="{00000000-0005-0000-0000-0000A6060000}"/>
    <cellStyle name="Percent 10 3" xfId="941" xr:uid="{00000000-0005-0000-0000-0000A7060000}"/>
    <cellStyle name="Percent 10 3 2" xfId="1985" xr:uid="{00000000-0005-0000-0000-0000A8060000}"/>
    <cellStyle name="Percent 10 4" xfId="1983" xr:uid="{00000000-0005-0000-0000-0000A9060000}"/>
    <cellStyle name="Percent 100" xfId="942" xr:uid="{00000000-0005-0000-0000-0000AA060000}"/>
    <cellStyle name="Percent 100 2" xfId="943" xr:uid="{00000000-0005-0000-0000-0000AB060000}"/>
    <cellStyle name="Percent 100 2 2" xfId="1987" xr:uid="{00000000-0005-0000-0000-0000AC060000}"/>
    <cellStyle name="Percent 100 3" xfId="1986" xr:uid="{00000000-0005-0000-0000-0000AD060000}"/>
    <cellStyle name="Percent 101" xfId="944" xr:uid="{00000000-0005-0000-0000-0000AE060000}"/>
    <cellStyle name="Percent 101 2" xfId="945" xr:uid="{00000000-0005-0000-0000-0000AF060000}"/>
    <cellStyle name="Percent 101 2 2" xfId="1989" xr:uid="{00000000-0005-0000-0000-0000B0060000}"/>
    <cellStyle name="Percent 101 3" xfId="1988" xr:uid="{00000000-0005-0000-0000-0000B1060000}"/>
    <cellStyle name="Percent 102" xfId="946" xr:uid="{00000000-0005-0000-0000-0000B2060000}"/>
    <cellStyle name="Percent 102 2" xfId="947" xr:uid="{00000000-0005-0000-0000-0000B3060000}"/>
    <cellStyle name="Percent 102 2 2" xfId="1991" xr:uid="{00000000-0005-0000-0000-0000B4060000}"/>
    <cellStyle name="Percent 102 3" xfId="1990" xr:uid="{00000000-0005-0000-0000-0000B5060000}"/>
    <cellStyle name="Percent 103" xfId="948" xr:uid="{00000000-0005-0000-0000-0000B6060000}"/>
    <cellStyle name="Percent 103 2" xfId="949" xr:uid="{00000000-0005-0000-0000-0000B7060000}"/>
    <cellStyle name="Percent 103 2 2" xfId="1993" xr:uid="{00000000-0005-0000-0000-0000B8060000}"/>
    <cellStyle name="Percent 103 3" xfId="1992" xr:uid="{00000000-0005-0000-0000-0000B9060000}"/>
    <cellStyle name="Percent 104" xfId="950" xr:uid="{00000000-0005-0000-0000-0000BA060000}"/>
    <cellStyle name="Percent 104 2" xfId="951" xr:uid="{00000000-0005-0000-0000-0000BB060000}"/>
    <cellStyle name="Percent 104 2 2" xfId="1995" xr:uid="{00000000-0005-0000-0000-0000BC060000}"/>
    <cellStyle name="Percent 104 3" xfId="1994" xr:uid="{00000000-0005-0000-0000-0000BD060000}"/>
    <cellStyle name="Percent 105" xfId="952" xr:uid="{00000000-0005-0000-0000-0000BE060000}"/>
    <cellStyle name="Percent 105 2" xfId="953" xr:uid="{00000000-0005-0000-0000-0000BF060000}"/>
    <cellStyle name="Percent 105 2 2" xfId="1997" xr:uid="{00000000-0005-0000-0000-0000C0060000}"/>
    <cellStyle name="Percent 105 3" xfId="1996" xr:uid="{00000000-0005-0000-0000-0000C1060000}"/>
    <cellStyle name="Percent 106" xfId="954" xr:uid="{00000000-0005-0000-0000-0000C2060000}"/>
    <cellStyle name="Percent 106 2" xfId="1998" xr:uid="{00000000-0005-0000-0000-0000C3060000}"/>
    <cellStyle name="Percent 107" xfId="955" xr:uid="{00000000-0005-0000-0000-0000C4060000}"/>
    <cellStyle name="Percent 107 2" xfId="1999" xr:uid="{00000000-0005-0000-0000-0000C5060000}"/>
    <cellStyle name="Percent 108" xfId="956" xr:uid="{00000000-0005-0000-0000-0000C6060000}"/>
    <cellStyle name="Percent 108 2" xfId="2000" xr:uid="{00000000-0005-0000-0000-0000C7060000}"/>
    <cellStyle name="Percent 109" xfId="957" xr:uid="{00000000-0005-0000-0000-0000C8060000}"/>
    <cellStyle name="Percent 109 2" xfId="2001" xr:uid="{00000000-0005-0000-0000-0000C9060000}"/>
    <cellStyle name="Percent 11" xfId="958" xr:uid="{00000000-0005-0000-0000-0000CA060000}"/>
    <cellStyle name="Percent 11 2" xfId="959" xr:uid="{00000000-0005-0000-0000-0000CB060000}"/>
    <cellStyle name="Percent 11 2 2" xfId="2003" xr:uid="{00000000-0005-0000-0000-0000CC060000}"/>
    <cellStyle name="Percent 11 3" xfId="960" xr:uid="{00000000-0005-0000-0000-0000CD060000}"/>
    <cellStyle name="Percent 11 3 2" xfId="2004" xr:uid="{00000000-0005-0000-0000-0000CE060000}"/>
    <cellStyle name="Percent 11 4" xfId="2002" xr:uid="{00000000-0005-0000-0000-0000CF060000}"/>
    <cellStyle name="Percent 110" xfId="961" xr:uid="{00000000-0005-0000-0000-0000D0060000}"/>
    <cellStyle name="Percent 110 2" xfId="2005" xr:uid="{00000000-0005-0000-0000-0000D1060000}"/>
    <cellStyle name="Percent 111" xfId="962" xr:uid="{00000000-0005-0000-0000-0000D2060000}"/>
    <cellStyle name="Percent 111 2" xfId="2006" xr:uid="{00000000-0005-0000-0000-0000D3060000}"/>
    <cellStyle name="Percent 112" xfId="963" xr:uid="{00000000-0005-0000-0000-0000D4060000}"/>
    <cellStyle name="Percent 112 2" xfId="2007" xr:uid="{00000000-0005-0000-0000-0000D5060000}"/>
    <cellStyle name="Percent 113" xfId="964" xr:uid="{00000000-0005-0000-0000-0000D6060000}"/>
    <cellStyle name="Percent 113 2" xfId="2008" xr:uid="{00000000-0005-0000-0000-0000D7060000}"/>
    <cellStyle name="Percent 114" xfId="965" xr:uid="{00000000-0005-0000-0000-0000D8060000}"/>
    <cellStyle name="Percent 115" xfId="966" xr:uid="{00000000-0005-0000-0000-0000D9060000}"/>
    <cellStyle name="Percent 116" xfId="967" xr:uid="{00000000-0005-0000-0000-0000DA060000}"/>
    <cellStyle name="Percent 116 2" xfId="2009" xr:uid="{00000000-0005-0000-0000-0000DB060000}"/>
    <cellStyle name="Percent 117" xfId="968" xr:uid="{00000000-0005-0000-0000-0000DC060000}"/>
    <cellStyle name="Percent 117 2" xfId="2010" xr:uid="{00000000-0005-0000-0000-0000DD060000}"/>
    <cellStyle name="Percent 118" xfId="969" xr:uid="{00000000-0005-0000-0000-0000DE060000}"/>
    <cellStyle name="Percent 118 2" xfId="2011" xr:uid="{00000000-0005-0000-0000-0000DF060000}"/>
    <cellStyle name="Percent 119" xfId="970" xr:uid="{00000000-0005-0000-0000-0000E0060000}"/>
    <cellStyle name="Percent 119 2" xfId="2012" xr:uid="{00000000-0005-0000-0000-0000E1060000}"/>
    <cellStyle name="Percent 12" xfId="971" xr:uid="{00000000-0005-0000-0000-0000E2060000}"/>
    <cellStyle name="Percent 12 2" xfId="2013" xr:uid="{00000000-0005-0000-0000-0000E3060000}"/>
    <cellStyle name="Percent 120" xfId="972" xr:uid="{00000000-0005-0000-0000-0000E4060000}"/>
    <cellStyle name="Percent 120 2" xfId="2014" xr:uid="{00000000-0005-0000-0000-0000E5060000}"/>
    <cellStyle name="Percent 121" xfId="973" xr:uid="{00000000-0005-0000-0000-0000E6060000}"/>
    <cellStyle name="Percent 121 2" xfId="2015" xr:uid="{00000000-0005-0000-0000-0000E7060000}"/>
    <cellStyle name="Percent 122" xfId="974" xr:uid="{00000000-0005-0000-0000-0000E8060000}"/>
    <cellStyle name="Percent 122 2" xfId="2016" xr:uid="{00000000-0005-0000-0000-0000E9060000}"/>
    <cellStyle name="Percent 123" xfId="975" xr:uid="{00000000-0005-0000-0000-0000EA060000}"/>
    <cellStyle name="Percent 123 2" xfId="2017" xr:uid="{00000000-0005-0000-0000-0000EB060000}"/>
    <cellStyle name="Percent 124" xfId="976" xr:uid="{00000000-0005-0000-0000-0000EC060000}"/>
    <cellStyle name="Percent 124 2" xfId="2018" xr:uid="{00000000-0005-0000-0000-0000ED060000}"/>
    <cellStyle name="Percent 125" xfId="977" xr:uid="{00000000-0005-0000-0000-0000EE060000}"/>
    <cellStyle name="Percent 125 2" xfId="2019" xr:uid="{00000000-0005-0000-0000-0000EF060000}"/>
    <cellStyle name="Percent 126" xfId="978" xr:uid="{00000000-0005-0000-0000-0000F0060000}"/>
    <cellStyle name="Percent 126 2" xfId="2020" xr:uid="{00000000-0005-0000-0000-0000F1060000}"/>
    <cellStyle name="Percent 127" xfId="979" xr:uid="{00000000-0005-0000-0000-0000F2060000}"/>
    <cellStyle name="Percent 127 2" xfId="2021" xr:uid="{00000000-0005-0000-0000-0000F3060000}"/>
    <cellStyle name="Percent 128" xfId="980" xr:uid="{00000000-0005-0000-0000-0000F4060000}"/>
    <cellStyle name="Percent 128 2" xfId="2022" xr:uid="{00000000-0005-0000-0000-0000F5060000}"/>
    <cellStyle name="Percent 129" xfId="981" xr:uid="{00000000-0005-0000-0000-0000F6060000}"/>
    <cellStyle name="Percent 129 2" xfId="2023" xr:uid="{00000000-0005-0000-0000-0000F7060000}"/>
    <cellStyle name="Percent 13" xfId="982" xr:uid="{00000000-0005-0000-0000-0000F8060000}"/>
    <cellStyle name="Percent 13 2" xfId="983" xr:uid="{00000000-0005-0000-0000-0000F9060000}"/>
    <cellStyle name="Percent 13 2 2" xfId="2025" xr:uid="{00000000-0005-0000-0000-0000FA060000}"/>
    <cellStyle name="Percent 13 3" xfId="2024" xr:uid="{00000000-0005-0000-0000-0000FB060000}"/>
    <cellStyle name="Percent 130" xfId="984" xr:uid="{00000000-0005-0000-0000-0000FC060000}"/>
    <cellStyle name="Percent 130 2" xfId="2026" xr:uid="{00000000-0005-0000-0000-0000FD060000}"/>
    <cellStyle name="Percent 131" xfId="985" xr:uid="{00000000-0005-0000-0000-0000FE060000}"/>
    <cellStyle name="Percent 131 2" xfId="2027" xr:uid="{00000000-0005-0000-0000-0000FF060000}"/>
    <cellStyle name="Percent 132" xfId="986" xr:uid="{00000000-0005-0000-0000-000000070000}"/>
    <cellStyle name="Percent 132 2" xfId="987" xr:uid="{00000000-0005-0000-0000-000001070000}"/>
    <cellStyle name="Percent 132 2 2" xfId="2029" xr:uid="{00000000-0005-0000-0000-000002070000}"/>
    <cellStyle name="Percent 132 3" xfId="2028" xr:uid="{00000000-0005-0000-0000-000003070000}"/>
    <cellStyle name="Percent 133" xfId="988" xr:uid="{00000000-0005-0000-0000-000004070000}"/>
    <cellStyle name="Percent 133 2" xfId="989" xr:uid="{00000000-0005-0000-0000-000005070000}"/>
    <cellStyle name="Percent 133 2 2" xfId="2031" xr:uid="{00000000-0005-0000-0000-000006070000}"/>
    <cellStyle name="Percent 133 3" xfId="2030" xr:uid="{00000000-0005-0000-0000-000007070000}"/>
    <cellStyle name="Percent 134" xfId="990" xr:uid="{00000000-0005-0000-0000-000008070000}"/>
    <cellStyle name="Percent 134 2" xfId="991" xr:uid="{00000000-0005-0000-0000-000009070000}"/>
    <cellStyle name="Percent 134 2 2" xfId="2033" xr:uid="{00000000-0005-0000-0000-00000A070000}"/>
    <cellStyle name="Percent 134 3" xfId="2032" xr:uid="{00000000-0005-0000-0000-00000B070000}"/>
    <cellStyle name="Percent 135" xfId="992" xr:uid="{00000000-0005-0000-0000-00000C070000}"/>
    <cellStyle name="Percent 135 2" xfId="993" xr:uid="{00000000-0005-0000-0000-00000D070000}"/>
    <cellStyle name="Percent 135 3" xfId="994" xr:uid="{00000000-0005-0000-0000-00000E070000}"/>
    <cellStyle name="Percent 135 3 2" xfId="1504" xr:uid="{00000000-0005-0000-0000-00000F070000}"/>
    <cellStyle name="Percent 135 3 3" xfId="1505" xr:uid="{00000000-0005-0000-0000-000010070000}"/>
    <cellStyle name="Percent 136" xfId="995" xr:uid="{00000000-0005-0000-0000-000011070000}"/>
    <cellStyle name="Percent 136 2" xfId="2034" xr:uid="{00000000-0005-0000-0000-000012070000}"/>
    <cellStyle name="Percent 137" xfId="996" xr:uid="{00000000-0005-0000-0000-000013070000}"/>
    <cellStyle name="Percent 137 2" xfId="2035" xr:uid="{00000000-0005-0000-0000-000014070000}"/>
    <cellStyle name="Percent 138" xfId="997" xr:uid="{00000000-0005-0000-0000-000015070000}"/>
    <cellStyle name="Percent 138 2" xfId="2036" xr:uid="{00000000-0005-0000-0000-000016070000}"/>
    <cellStyle name="Percent 139" xfId="998" xr:uid="{00000000-0005-0000-0000-000017070000}"/>
    <cellStyle name="Percent 139 2" xfId="2037" xr:uid="{00000000-0005-0000-0000-000018070000}"/>
    <cellStyle name="Percent 14" xfId="999" xr:uid="{00000000-0005-0000-0000-000019070000}"/>
    <cellStyle name="Percent 14 2" xfId="2038" xr:uid="{00000000-0005-0000-0000-00001A070000}"/>
    <cellStyle name="Percent 140" xfId="1000" xr:uid="{00000000-0005-0000-0000-00001B070000}"/>
    <cellStyle name="Percent 140 2" xfId="2039" xr:uid="{00000000-0005-0000-0000-00001C070000}"/>
    <cellStyle name="Percent 141" xfId="1001" xr:uid="{00000000-0005-0000-0000-00001D070000}"/>
    <cellStyle name="Percent 141 2" xfId="2040" xr:uid="{00000000-0005-0000-0000-00001E070000}"/>
    <cellStyle name="Percent 142" xfId="1002" xr:uid="{00000000-0005-0000-0000-00001F070000}"/>
    <cellStyle name="Percent 143" xfId="1003" xr:uid="{00000000-0005-0000-0000-000020070000}"/>
    <cellStyle name="Percent 144" xfId="1004" xr:uid="{00000000-0005-0000-0000-000021070000}"/>
    <cellStyle name="Percent 145" xfId="1005" xr:uid="{00000000-0005-0000-0000-000022070000}"/>
    <cellStyle name="Percent 145 2" xfId="1006" xr:uid="{00000000-0005-0000-0000-000023070000}"/>
    <cellStyle name="Percent 145 2 2" xfId="1007" xr:uid="{00000000-0005-0000-0000-000024070000}"/>
    <cellStyle name="Percent 145 3" xfId="1008" xr:uid="{00000000-0005-0000-0000-000025070000}"/>
    <cellStyle name="Percent 145 3 2" xfId="2042" xr:uid="{00000000-0005-0000-0000-000026070000}"/>
    <cellStyle name="Percent 145 4" xfId="1009" xr:uid="{00000000-0005-0000-0000-000027070000}"/>
    <cellStyle name="Percent 145 4 2" xfId="1506" xr:uid="{00000000-0005-0000-0000-000028070000}"/>
    <cellStyle name="Percent 145 4 3" xfId="1507" xr:uid="{00000000-0005-0000-0000-000029070000}"/>
    <cellStyle name="Percent 145 5" xfId="2041" xr:uid="{00000000-0005-0000-0000-00002A070000}"/>
    <cellStyle name="Percent 146" xfId="1010" xr:uid="{00000000-0005-0000-0000-00002B070000}"/>
    <cellStyle name="Percent 146 2" xfId="2043" xr:uid="{00000000-0005-0000-0000-00002C070000}"/>
    <cellStyle name="Percent 147" xfId="1011" xr:uid="{00000000-0005-0000-0000-00002D070000}"/>
    <cellStyle name="Percent 147 2" xfId="1012" xr:uid="{00000000-0005-0000-0000-00002E070000}"/>
    <cellStyle name="Percent 148" xfId="1013" xr:uid="{00000000-0005-0000-0000-00002F070000}"/>
    <cellStyle name="Percent 148 2" xfId="1014" xr:uid="{00000000-0005-0000-0000-000030070000}"/>
    <cellStyle name="Percent 149" xfId="1015" xr:uid="{00000000-0005-0000-0000-000031070000}"/>
    <cellStyle name="Percent 149 2" xfId="1016" xr:uid="{00000000-0005-0000-0000-000032070000}"/>
    <cellStyle name="Percent 15" xfId="1017" xr:uid="{00000000-0005-0000-0000-000033070000}"/>
    <cellStyle name="Percent 15 2" xfId="2044" xr:uid="{00000000-0005-0000-0000-000034070000}"/>
    <cellStyle name="Percent 150" xfId="1018" xr:uid="{00000000-0005-0000-0000-000035070000}"/>
    <cellStyle name="Percent 150 2" xfId="1019" xr:uid="{00000000-0005-0000-0000-000036070000}"/>
    <cellStyle name="Percent 151" xfId="1020" xr:uid="{00000000-0005-0000-0000-000037070000}"/>
    <cellStyle name="Percent 151 2" xfId="2045" xr:uid="{00000000-0005-0000-0000-000038070000}"/>
    <cellStyle name="Percent 152" xfId="1021" xr:uid="{00000000-0005-0000-0000-000039070000}"/>
    <cellStyle name="Percent 152 2" xfId="2046" xr:uid="{00000000-0005-0000-0000-00003A070000}"/>
    <cellStyle name="Percent 153" xfId="1022" xr:uid="{00000000-0005-0000-0000-00003B070000}"/>
    <cellStyle name="Percent 153 2" xfId="2047" xr:uid="{00000000-0005-0000-0000-00003C070000}"/>
    <cellStyle name="Percent 154" xfId="1023" xr:uid="{00000000-0005-0000-0000-00003D070000}"/>
    <cellStyle name="Percent 154 2" xfId="2048" xr:uid="{00000000-0005-0000-0000-00003E070000}"/>
    <cellStyle name="Percent 155" xfId="1024" xr:uid="{00000000-0005-0000-0000-00003F070000}"/>
    <cellStyle name="Percent 155 2" xfId="2049" xr:uid="{00000000-0005-0000-0000-000040070000}"/>
    <cellStyle name="Percent 156" xfId="1025" xr:uid="{00000000-0005-0000-0000-000041070000}"/>
    <cellStyle name="Percent 156 2" xfId="2050" xr:uid="{00000000-0005-0000-0000-000042070000}"/>
    <cellStyle name="Percent 157" xfId="1026" xr:uid="{00000000-0005-0000-0000-000043070000}"/>
    <cellStyle name="Percent 157 2" xfId="2051" xr:uid="{00000000-0005-0000-0000-000044070000}"/>
    <cellStyle name="Percent 158" xfId="1027" xr:uid="{00000000-0005-0000-0000-000045070000}"/>
    <cellStyle name="Percent 158 2" xfId="2052" xr:uid="{00000000-0005-0000-0000-000046070000}"/>
    <cellStyle name="Percent 159" xfId="1028" xr:uid="{00000000-0005-0000-0000-000047070000}"/>
    <cellStyle name="Percent 159 2" xfId="2053" xr:uid="{00000000-0005-0000-0000-000048070000}"/>
    <cellStyle name="Percent 16" xfId="1029" xr:uid="{00000000-0005-0000-0000-000049070000}"/>
    <cellStyle name="Percent 16 2" xfId="2054" xr:uid="{00000000-0005-0000-0000-00004A070000}"/>
    <cellStyle name="Percent 160" xfId="1030" xr:uid="{00000000-0005-0000-0000-00004B070000}"/>
    <cellStyle name="Percent 160 2" xfId="2055" xr:uid="{00000000-0005-0000-0000-00004C070000}"/>
    <cellStyle name="Percent 161" xfId="1031" xr:uid="{00000000-0005-0000-0000-00004D070000}"/>
    <cellStyle name="Percent 161 2" xfId="2056" xr:uid="{00000000-0005-0000-0000-00004E070000}"/>
    <cellStyle name="Percent 162" xfId="1032" xr:uid="{00000000-0005-0000-0000-00004F070000}"/>
    <cellStyle name="Percent 162 2" xfId="2057" xr:uid="{00000000-0005-0000-0000-000050070000}"/>
    <cellStyle name="Percent 163" xfId="1033" xr:uid="{00000000-0005-0000-0000-000051070000}"/>
    <cellStyle name="Percent 164" xfId="1034" xr:uid="{00000000-0005-0000-0000-000052070000}"/>
    <cellStyle name="Percent 164 2" xfId="2058" xr:uid="{00000000-0005-0000-0000-000053070000}"/>
    <cellStyle name="Percent 165" xfId="1035" xr:uid="{00000000-0005-0000-0000-000054070000}"/>
    <cellStyle name="Percent 166" xfId="1036" xr:uid="{00000000-0005-0000-0000-000055070000}"/>
    <cellStyle name="Percent 166 2" xfId="1508" xr:uid="{00000000-0005-0000-0000-000056070000}"/>
    <cellStyle name="Percent 166 2 2" xfId="2280" xr:uid="{00000000-0005-0000-0000-000057070000}"/>
    <cellStyle name="Percent 166 3" xfId="2059" xr:uid="{00000000-0005-0000-0000-000058070000}"/>
    <cellStyle name="Percent 167" xfId="1037" xr:uid="{00000000-0005-0000-0000-000059070000}"/>
    <cellStyle name="Percent 167 2" xfId="2060" xr:uid="{00000000-0005-0000-0000-00005A070000}"/>
    <cellStyle name="Percent 168" xfId="1038" xr:uid="{00000000-0005-0000-0000-00005B070000}"/>
    <cellStyle name="Percent 168 2" xfId="1509" xr:uid="{00000000-0005-0000-0000-00005C070000}"/>
    <cellStyle name="Percent 168 2 2" xfId="2281" xr:uid="{00000000-0005-0000-0000-00005D070000}"/>
    <cellStyle name="Percent 168 3" xfId="2061" xr:uid="{00000000-0005-0000-0000-00005E070000}"/>
    <cellStyle name="Percent 169" xfId="1039" xr:uid="{00000000-0005-0000-0000-00005F070000}"/>
    <cellStyle name="Percent 169 2" xfId="1510" xr:uid="{00000000-0005-0000-0000-000060070000}"/>
    <cellStyle name="Percent 169 2 2" xfId="2282" xr:uid="{00000000-0005-0000-0000-000061070000}"/>
    <cellStyle name="Percent 169 3" xfId="2062" xr:uid="{00000000-0005-0000-0000-000062070000}"/>
    <cellStyle name="Percent 17" xfId="1040" xr:uid="{00000000-0005-0000-0000-000063070000}"/>
    <cellStyle name="Percent 17 2" xfId="2063" xr:uid="{00000000-0005-0000-0000-000064070000}"/>
    <cellStyle name="Percent 170" xfId="1041" xr:uid="{00000000-0005-0000-0000-000065070000}"/>
    <cellStyle name="Percent 170 2" xfId="2064" xr:uid="{00000000-0005-0000-0000-000066070000}"/>
    <cellStyle name="Percent 171" xfId="1042" xr:uid="{00000000-0005-0000-0000-000067070000}"/>
    <cellStyle name="Percent 171 2" xfId="2065" xr:uid="{00000000-0005-0000-0000-000068070000}"/>
    <cellStyle name="Percent 172" xfId="1043" xr:uid="{00000000-0005-0000-0000-000069070000}"/>
    <cellStyle name="Percent 172 2" xfId="2066" xr:uid="{00000000-0005-0000-0000-00006A070000}"/>
    <cellStyle name="Percent 173" xfId="1044" xr:uid="{00000000-0005-0000-0000-00006B070000}"/>
    <cellStyle name="Percent 173 2" xfId="2067" xr:uid="{00000000-0005-0000-0000-00006C070000}"/>
    <cellStyle name="Percent 174" xfId="1045" xr:uid="{00000000-0005-0000-0000-00006D070000}"/>
    <cellStyle name="Percent 174 2" xfId="2068" xr:uid="{00000000-0005-0000-0000-00006E070000}"/>
    <cellStyle name="Percent 175" xfId="1046" xr:uid="{00000000-0005-0000-0000-00006F070000}"/>
    <cellStyle name="Percent 175 2" xfId="2069" xr:uid="{00000000-0005-0000-0000-000070070000}"/>
    <cellStyle name="Percent 176" xfId="1047" xr:uid="{00000000-0005-0000-0000-000071070000}"/>
    <cellStyle name="Percent 176 2" xfId="2070" xr:uid="{00000000-0005-0000-0000-000072070000}"/>
    <cellStyle name="Percent 177" xfId="1048" xr:uid="{00000000-0005-0000-0000-000073070000}"/>
    <cellStyle name="Percent 177 2" xfId="2071" xr:uid="{00000000-0005-0000-0000-000074070000}"/>
    <cellStyle name="Percent 178" xfId="937" xr:uid="{00000000-0005-0000-0000-000075070000}"/>
    <cellStyle name="Percent 178 2" xfId="1512" xr:uid="{00000000-0005-0000-0000-000076070000}"/>
    <cellStyle name="Percent 178 2 2" xfId="2283" xr:uid="{00000000-0005-0000-0000-000077070000}"/>
    <cellStyle name="Percent 179" xfId="1472" xr:uid="{00000000-0005-0000-0000-000078070000}"/>
    <cellStyle name="Percent 179 2" xfId="1513" xr:uid="{00000000-0005-0000-0000-000079070000}"/>
    <cellStyle name="Percent 179 2 2" xfId="2284" xr:uid="{00000000-0005-0000-0000-00007A070000}"/>
    <cellStyle name="Percent 18" xfId="1049" xr:uid="{00000000-0005-0000-0000-00007B070000}"/>
    <cellStyle name="Percent 18 2" xfId="1050" xr:uid="{00000000-0005-0000-0000-00007C070000}"/>
    <cellStyle name="Percent 18 3" xfId="1051" xr:uid="{00000000-0005-0000-0000-00007D070000}"/>
    <cellStyle name="Percent 18 3 2" xfId="1052" xr:uid="{00000000-0005-0000-0000-00007E070000}"/>
    <cellStyle name="Percent 18 3 3" xfId="1053" xr:uid="{00000000-0005-0000-0000-00007F070000}"/>
    <cellStyle name="Percent 18 3 3 2" xfId="1514" xr:uid="{00000000-0005-0000-0000-000080070000}"/>
    <cellStyle name="Percent 18 3 3 3" xfId="1515" xr:uid="{00000000-0005-0000-0000-000081070000}"/>
    <cellStyle name="Percent 18 4" xfId="1054" xr:uid="{00000000-0005-0000-0000-000082070000}"/>
    <cellStyle name="Percent 180" xfId="1310" xr:uid="{00000000-0005-0000-0000-000083070000}"/>
    <cellStyle name="Percent 180 2" xfId="1516" xr:uid="{00000000-0005-0000-0000-000084070000}"/>
    <cellStyle name="Percent 180 2 2" xfId="2285" xr:uid="{00000000-0005-0000-0000-000085070000}"/>
    <cellStyle name="Percent 181" xfId="1517" xr:uid="{00000000-0005-0000-0000-000086070000}"/>
    <cellStyle name="Percent 181 2" xfId="2286" xr:uid="{00000000-0005-0000-0000-000087070000}"/>
    <cellStyle name="Percent 182" xfId="1518" xr:uid="{00000000-0005-0000-0000-000088070000}"/>
    <cellStyle name="Percent 182 2" xfId="2287" xr:uid="{00000000-0005-0000-0000-000089070000}"/>
    <cellStyle name="Percent 183" xfId="1519" xr:uid="{00000000-0005-0000-0000-00008A070000}"/>
    <cellStyle name="Percent 184" xfId="1520" xr:uid="{00000000-0005-0000-0000-00008B070000}"/>
    <cellStyle name="Percent 184 2" xfId="2288" xr:uid="{00000000-0005-0000-0000-00008C070000}"/>
    <cellStyle name="Percent 185" xfId="1521" xr:uid="{00000000-0005-0000-0000-00008D070000}"/>
    <cellStyle name="Percent 185 2" xfId="2289" xr:uid="{00000000-0005-0000-0000-00008E070000}"/>
    <cellStyle name="Percent 186" xfId="1522" xr:uid="{00000000-0005-0000-0000-00008F070000}"/>
    <cellStyle name="Percent 186 2" xfId="2290" xr:uid="{00000000-0005-0000-0000-000090070000}"/>
    <cellStyle name="Percent 187" xfId="1523" xr:uid="{00000000-0005-0000-0000-000091070000}"/>
    <cellStyle name="Percent 187 2" xfId="2291" xr:uid="{00000000-0005-0000-0000-000092070000}"/>
    <cellStyle name="Percent 188" xfId="1524" xr:uid="{00000000-0005-0000-0000-000093070000}"/>
    <cellStyle name="Percent 188 2" xfId="2292" xr:uid="{00000000-0005-0000-0000-000094070000}"/>
    <cellStyle name="Percent 189" xfId="1525" xr:uid="{00000000-0005-0000-0000-000095070000}"/>
    <cellStyle name="Percent 189 2" xfId="2293" xr:uid="{00000000-0005-0000-0000-000096070000}"/>
    <cellStyle name="Percent 19" xfId="1055" xr:uid="{00000000-0005-0000-0000-000097070000}"/>
    <cellStyle name="Percent 19 2" xfId="2072" xr:uid="{00000000-0005-0000-0000-000098070000}"/>
    <cellStyle name="Percent 190" xfId="1526" xr:uid="{00000000-0005-0000-0000-000099070000}"/>
    <cellStyle name="Percent 190 2" xfId="2294" xr:uid="{00000000-0005-0000-0000-00009A070000}"/>
    <cellStyle name="Percent 191" xfId="1527" xr:uid="{00000000-0005-0000-0000-00009B070000}"/>
    <cellStyle name="Percent 191 2" xfId="2295" xr:uid="{00000000-0005-0000-0000-00009C070000}"/>
    <cellStyle name="Percent 192" xfId="1528" xr:uid="{00000000-0005-0000-0000-00009D070000}"/>
    <cellStyle name="Percent 192 2" xfId="2296" xr:uid="{00000000-0005-0000-0000-00009E070000}"/>
    <cellStyle name="Percent 193" xfId="1547" xr:uid="{00000000-0005-0000-0000-00009F070000}"/>
    <cellStyle name="Percent 193 2" xfId="2297" xr:uid="{00000000-0005-0000-0000-0000A0070000}"/>
    <cellStyle name="Percent 194" xfId="1331" xr:uid="{00000000-0005-0000-0000-0000A1070000}"/>
    <cellStyle name="Percent 194 2" xfId="2207" xr:uid="{00000000-0005-0000-0000-0000A2070000}"/>
    <cellStyle name="Percent 195" xfId="1551" xr:uid="{00000000-0005-0000-0000-0000A3070000}"/>
    <cellStyle name="Percent 195 2" xfId="2300" xr:uid="{00000000-0005-0000-0000-0000A4070000}"/>
    <cellStyle name="Percent 196" xfId="1569" xr:uid="{00000000-0005-0000-0000-0000A5070000}"/>
    <cellStyle name="Percent 197" xfId="1566" xr:uid="{00000000-0005-0000-0000-0000A6070000}"/>
    <cellStyle name="Percent 198" xfId="1570" xr:uid="{00000000-0005-0000-0000-0000A7070000}"/>
    <cellStyle name="Percent 198 2" xfId="2305" xr:uid="{00000000-0005-0000-0000-0000A8070000}"/>
    <cellStyle name="Percent 199" xfId="1565" xr:uid="{00000000-0005-0000-0000-0000A9070000}"/>
    <cellStyle name="Percent 199 2" xfId="2302" xr:uid="{00000000-0005-0000-0000-0000AA070000}"/>
    <cellStyle name="Percent 2" xfId="1056" xr:uid="{00000000-0005-0000-0000-0000AB070000}"/>
    <cellStyle name="Percent 2 2" xfId="1057" xr:uid="{00000000-0005-0000-0000-0000AC070000}"/>
    <cellStyle name="Percent 2 2 2" xfId="1058" xr:uid="{00000000-0005-0000-0000-0000AD070000}"/>
    <cellStyle name="Percent 2 2 2 2" xfId="1059" xr:uid="{00000000-0005-0000-0000-0000AE070000}"/>
    <cellStyle name="Percent 2 2 2 2 2" xfId="1060" xr:uid="{00000000-0005-0000-0000-0000AF070000}"/>
    <cellStyle name="Percent 2 2 2 2 3" xfId="1061" xr:uid="{00000000-0005-0000-0000-0000B0070000}"/>
    <cellStyle name="Percent 2 2 2 2 3 2" xfId="1529" xr:uid="{00000000-0005-0000-0000-0000B1070000}"/>
    <cellStyle name="Percent 2 2 2 2 3 3" xfId="1530" xr:uid="{00000000-0005-0000-0000-0000B2070000}"/>
    <cellStyle name="Percent 2 2 2 3" xfId="1062" xr:uid="{00000000-0005-0000-0000-0000B3070000}"/>
    <cellStyle name="Percent 2 2 2 4" xfId="1063" xr:uid="{00000000-0005-0000-0000-0000B4070000}"/>
    <cellStyle name="Percent 2 2 2 4 2" xfId="1531" xr:uid="{00000000-0005-0000-0000-0000B5070000}"/>
    <cellStyle name="Percent 2 2 2 4 3" xfId="1532" xr:uid="{00000000-0005-0000-0000-0000B6070000}"/>
    <cellStyle name="Percent 2 2 2 5" xfId="1064" xr:uid="{00000000-0005-0000-0000-0000B7070000}"/>
    <cellStyle name="Percent 2 2 2 5 2" xfId="1533" xr:uid="{00000000-0005-0000-0000-0000B8070000}"/>
    <cellStyle name="Percent 2 2 3" xfId="1065" xr:uid="{00000000-0005-0000-0000-0000B9070000}"/>
    <cellStyle name="Percent 2 2 3 2" xfId="1066" xr:uid="{00000000-0005-0000-0000-0000BA070000}"/>
    <cellStyle name="Percent 2 2 4" xfId="1067" xr:uid="{00000000-0005-0000-0000-0000BB070000}"/>
    <cellStyle name="Percent 2 2 4 2" xfId="1068" xr:uid="{00000000-0005-0000-0000-0000BC070000}"/>
    <cellStyle name="Percent 2 2 5" xfId="1069" xr:uid="{00000000-0005-0000-0000-0000BD070000}"/>
    <cellStyle name="Percent 2 2 5 2" xfId="1070" xr:uid="{00000000-0005-0000-0000-0000BE070000}"/>
    <cellStyle name="Percent 2 2 5 3" xfId="1071" xr:uid="{00000000-0005-0000-0000-0000BF070000}"/>
    <cellStyle name="Percent 2 2 5 3 2" xfId="1534" xr:uid="{00000000-0005-0000-0000-0000C0070000}"/>
    <cellStyle name="Percent 2 2 5 3 3" xfId="1535" xr:uid="{00000000-0005-0000-0000-0000C1070000}"/>
    <cellStyle name="Percent 2 2 6" xfId="1072" xr:uid="{00000000-0005-0000-0000-0000C2070000}"/>
    <cellStyle name="Percent 2 2 7" xfId="2382" xr:uid="{00000000-0005-0000-0000-0000C3070000}"/>
    <cellStyle name="Percent 2 3" xfId="1073" xr:uid="{00000000-0005-0000-0000-0000C4070000}"/>
    <cellStyle name="Percent 2 3 2" xfId="2074" xr:uid="{00000000-0005-0000-0000-0000C5070000}"/>
    <cellStyle name="Percent 2 4" xfId="2073" xr:uid="{00000000-0005-0000-0000-0000C6070000}"/>
    <cellStyle name="Percent 2 5" xfId="2434" xr:uid="{00000000-0005-0000-0000-0000C7070000}"/>
    <cellStyle name="Percent 2 6" xfId="2435" xr:uid="{00000000-0005-0000-0000-0000C8070000}"/>
    <cellStyle name="Percent 2 6 2" xfId="2436" xr:uid="{00000000-0005-0000-0000-0000C9070000}"/>
    <cellStyle name="Percent 20" xfId="1074" xr:uid="{00000000-0005-0000-0000-0000CA070000}"/>
    <cellStyle name="Percent 20 2" xfId="1075" xr:uid="{00000000-0005-0000-0000-0000CB070000}"/>
    <cellStyle name="Percent 20 3" xfId="1076" xr:uid="{00000000-0005-0000-0000-0000CC070000}"/>
    <cellStyle name="Percent 20 3 2" xfId="1077" xr:uid="{00000000-0005-0000-0000-0000CD070000}"/>
    <cellStyle name="Percent 20 3 3" xfId="1078" xr:uid="{00000000-0005-0000-0000-0000CE070000}"/>
    <cellStyle name="Percent 20 3 3 2" xfId="1536" xr:uid="{00000000-0005-0000-0000-0000CF070000}"/>
    <cellStyle name="Percent 20 3 3 3" xfId="1537" xr:uid="{00000000-0005-0000-0000-0000D0070000}"/>
    <cellStyle name="Percent 20 4" xfId="1079" xr:uid="{00000000-0005-0000-0000-0000D1070000}"/>
    <cellStyle name="Percent 200" xfId="1571" xr:uid="{00000000-0005-0000-0000-0000D2070000}"/>
    <cellStyle name="Percent 200 2" xfId="2306" xr:uid="{00000000-0005-0000-0000-0000D3070000}"/>
    <cellStyle name="Percent 201" xfId="1564" xr:uid="{00000000-0005-0000-0000-0000D4070000}"/>
    <cellStyle name="Percent 201 2" xfId="2301" xr:uid="{00000000-0005-0000-0000-0000D5070000}"/>
    <cellStyle name="Percent 202" xfId="1572" xr:uid="{00000000-0005-0000-0000-0000D6070000}"/>
    <cellStyle name="Percent 202 2" xfId="2307" xr:uid="{00000000-0005-0000-0000-0000D7070000}"/>
    <cellStyle name="Percent 203" xfId="1568" xr:uid="{00000000-0005-0000-0000-0000D8070000}"/>
    <cellStyle name="Percent 203 2" xfId="2304" xr:uid="{00000000-0005-0000-0000-0000D9070000}"/>
    <cellStyle name="Percent 204" xfId="1573" xr:uid="{00000000-0005-0000-0000-0000DA070000}"/>
    <cellStyle name="Percent 204 2" xfId="2308" xr:uid="{00000000-0005-0000-0000-0000DB070000}"/>
    <cellStyle name="Percent 205" xfId="1567" xr:uid="{00000000-0005-0000-0000-0000DC070000}"/>
    <cellStyle name="Percent 205 2" xfId="2303" xr:uid="{00000000-0005-0000-0000-0000DD070000}"/>
    <cellStyle name="Percent 206" xfId="1598" xr:uid="{00000000-0005-0000-0000-0000DE070000}"/>
    <cellStyle name="Percent 207" xfId="1585" xr:uid="{00000000-0005-0000-0000-0000DF070000}"/>
    <cellStyle name="Percent 208" xfId="1591" xr:uid="{00000000-0005-0000-0000-0000E0070000}"/>
    <cellStyle name="Percent 208 2" xfId="2315" xr:uid="{00000000-0005-0000-0000-0000E1070000}"/>
    <cellStyle name="Percent 209" xfId="1584" xr:uid="{00000000-0005-0000-0000-0000E2070000}"/>
    <cellStyle name="Percent 209 2" xfId="2309" xr:uid="{00000000-0005-0000-0000-0000E3070000}"/>
    <cellStyle name="Percent 21" xfId="1080" xr:uid="{00000000-0005-0000-0000-0000E4070000}"/>
    <cellStyle name="Percent 21 2" xfId="2075" xr:uid="{00000000-0005-0000-0000-0000E5070000}"/>
    <cellStyle name="Percent 210" xfId="1592" xr:uid="{00000000-0005-0000-0000-0000E6070000}"/>
    <cellStyle name="Percent 210 2" xfId="2316" xr:uid="{00000000-0005-0000-0000-0000E7070000}"/>
    <cellStyle name="Percent 211" xfId="1586" xr:uid="{00000000-0005-0000-0000-0000E8070000}"/>
    <cellStyle name="Percent 211 2" xfId="2310" xr:uid="{00000000-0005-0000-0000-0000E9070000}"/>
    <cellStyle name="Percent 212" xfId="1593" xr:uid="{00000000-0005-0000-0000-0000EA070000}"/>
    <cellStyle name="Percent 212 2" xfId="2317" xr:uid="{00000000-0005-0000-0000-0000EB070000}"/>
    <cellStyle name="Percent 213" xfId="1589" xr:uid="{00000000-0005-0000-0000-0000EC070000}"/>
    <cellStyle name="Percent 213 2" xfId="2313" xr:uid="{00000000-0005-0000-0000-0000ED070000}"/>
    <cellStyle name="Percent 214" xfId="1594" xr:uid="{00000000-0005-0000-0000-0000EE070000}"/>
    <cellStyle name="Percent 214 2" xfId="2318" xr:uid="{00000000-0005-0000-0000-0000EF070000}"/>
    <cellStyle name="Percent 215" xfId="1590" xr:uid="{00000000-0005-0000-0000-0000F0070000}"/>
    <cellStyle name="Percent 215 2" xfId="2314" xr:uid="{00000000-0005-0000-0000-0000F1070000}"/>
    <cellStyle name="Percent 216" xfId="1595" xr:uid="{00000000-0005-0000-0000-0000F2070000}"/>
    <cellStyle name="Percent 216 2" xfId="2319" xr:uid="{00000000-0005-0000-0000-0000F3070000}"/>
    <cellStyle name="Percent 217" xfId="1588" xr:uid="{00000000-0005-0000-0000-0000F4070000}"/>
    <cellStyle name="Percent 217 2" xfId="2312" xr:uid="{00000000-0005-0000-0000-0000F5070000}"/>
    <cellStyle name="Percent 218" xfId="1596" xr:uid="{00000000-0005-0000-0000-0000F6070000}"/>
    <cellStyle name="Percent 218 2" xfId="2320" xr:uid="{00000000-0005-0000-0000-0000F7070000}"/>
    <cellStyle name="Percent 219" xfId="1587" xr:uid="{00000000-0005-0000-0000-0000F8070000}"/>
    <cellStyle name="Percent 219 2" xfId="2311" xr:uid="{00000000-0005-0000-0000-0000F9070000}"/>
    <cellStyle name="Percent 22" xfId="1081" xr:uid="{00000000-0005-0000-0000-0000FA070000}"/>
    <cellStyle name="Percent 22 2" xfId="2076" xr:uid="{00000000-0005-0000-0000-0000FB070000}"/>
    <cellStyle name="Percent 220" xfId="1597" xr:uid="{00000000-0005-0000-0000-0000FC070000}"/>
    <cellStyle name="Percent 220 2" xfId="2321" xr:uid="{00000000-0005-0000-0000-0000FD070000}"/>
    <cellStyle name="Percent 221" xfId="1614" xr:uid="{00000000-0005-0000-0000-0000FE070000}"/>
    <cellStyle name="Percent 221 2" xfId="2324" xr:uid="{00000000-0005-0000-0000-0000FF070000}"/>
    <cellStyle name="Percent 222" xfId="1616" xr:uid="{00000000-0005-0000-0000-000000080000}"/>
    <cellStyle name="Percent 223" xfId="1618" xr:uid="{00000000-0005-0000-0000-000001080000}"/>
    <cellStyle name="Percent 224" xfId="1620" xr:uid="{00000000-0005-0000-0000-000002080000}"/>
    <cellStyle name="Percent 225" xfId="1622" xr:uid="{00000000-0005-0000-0000-000003080000}"/>
    <cellStyle name="Percent 226" xfId="1624" xr:uid="{00000000-0005-0000-0000-000004080000}"/>
    <cellStyle name="Percent 227" xfId="1626" xr:uid="{00000000-0005-0000-0000-000005080000}"/>
    <cellStyle name="Percent 228" xfId="1629" xr:uid="{00000000-0005-0000-0000-000006080000}"/>
    <cellStyle name="Percent 229" xfId="1630" xr:uid="{00000000-0005-0000-0000-000007080000}"/>
    <cellStyle name="Percent 23" xfId="1082" xr:uid="{00000000-0005-0000-0000-000008080000}"/>
    <cellStyle name="Percent 23 2" xfId="2077" xr:uid="{00000000-0005-0000-0000-000009080000}"/>
    <cellStyle name="Percent 230" xfId="1632" xr:uid="{00000000-0005-0000-0000-00000A080000}"/>
    <cellStyle name="Percent 231" xfId="2344" xr:uid="{00000000-0005-0000-0000-00000B080000}"/>
    <cellStyle name="Percent 232" xfId="2345" xr:uid="{00000000-0005-0000-0000-00000C080000}"/>
    <cellStyle name="Percent 24" xfId="1083" xr:uid="{00000000-0005-0000-0000-00000D080000}"/>
    <cellStyle name="Percent 24 2" xfId="2078" xr:uid="{00000000-0005-0000-0000-00000E080000}"/>
    <cellStyle name="Percent 25" xfId="1084" xr:uid="{00000000-0005-0000-0000-00000F080000}"/>
    <cellStyle name="Percent 25 2" xfId="2079" xr:uid="{00000000-0005-0000-0000-000010080000}"/>
    <cellStyle name="Percent 26" xfId="1085" xr:uid="{00000000-0005-0000-0000-000011080000}"/>
    <cellStyle name="Percent 26 2" xfId="2080" xr:uid="{00000000-0005-0000-0000-000012080000}"/>
    <cellStyle name="Percent 27" xfId="1086" xr:uid="{00000000-0005-0000-0000-000013080000}"/>
    <cellStyle name="Percent 27 2" xfId="2081" xr:uid="{00000000-0005-0000-0000-000014080000}"/>
    <cellStyle name="Percent 28" xfId="1087" xr:uid="{00000000-0005-0000-0000-000015080000}"/>
    <cellStyle name="Percent 28 2" xfId="2082" xr:uid="{00000000-0005-0000-0000-000016080000}"/>
    <cellStyle name="Percent 29" xfId="1088" xr:uid="{00000000-0005-0000-0000-000017080000}"/>
    <cellStyle name="Percent 29 2" xfId="2083" xr:uid="{00000000-0005-0000-0000-000018080000}"/>
    <cellStyle name="Percent 3" xfId="1089" xr:uid="{00000000-0005-0000-0000-000019080000}"/>
    <cellStyle name="Percent 3 2" xfId="1090" xr:uid="{00000000-0005-0000-0000-00001A080000}"/>
    <cellStyle name="Percent 3 2 2" xfId="1091" xr:uid="{00000000-0005-0000-0000-00001B080000}"/>
    <cellStyle name="Percent 3 2 2 2" xfId="2086" xr:uid="{00000000-0005-0000-0000-00001C080000}"/>
    <cellStyle name="Percent 3 2 3" xfId="1092" xr:uid="{00000000-0005-0000-0000-00001D080000}"/>
    <cellStyle name="Percent 3 2 3 2" xfId="2087" xr:uid="{00000000-0005-0000-0000-00001E080000}"/>
    <cellStyle name="Percent 3 2 4" xfId="1093" xr:uid="{00000000-0005-0000-0000-00001F080000}"/>
    <cellStyle name="Percent 3 2 4 2" xfId="1094" xr:uid="{00000000-0005-0000-0000-000020080000}"/>
    <cellStyle name="Percent 3 2 4 3" xfId="1095" xr:uid="{00000000-0005-0000-0000-000021080000}"/>
    <cellStyle name="Percent 3 2 5" xfId="1096" xr:uid="{00000000-0005-0000-0000-000022080000}"/>
    <cellStyle name="Percent 3 2 6" xfId="2085" xr:uid="{00000000-0005-0000-0000-000023080000}"/>
    <cellStyle name="Percent 3 3" xfId="1097" xr:uid="{00000000-0005-0000-0000-000024080000}"/>
    <cellStyle name="Percent 3 4" xfId="2084" xr:uid="{00000000-0005-0000-0000-000025080000}"/>
    <cellStyle name="Percent 30" xfId="1098" xr:uid="{00000000-0005-0000-0000-000026080000}"/>
    <cellStyle name="Percent 30 2" xfId="1099" xr:uid="{00000000-0005-0000-0000-000027080000}"/>
    <cellStyle name="Percent 30 2 2" xfId="2089" xr:uid="{00000000-0005-0000-0000-000028080000}"/>
    <cellStyle name="Percent 30 3" xfId="2088" xr:uid="{00000000-0005-0000-0000-000029080000}"/>
    <cellStyle name="Percent 31" xfId="1100" xr:uid="{00000000-0005-0000-0000-00002A080000}"/>
    <cellStyle name="Percent 31 2" xfId="1101" xr:uid="{00000000-0005-0000-0000-00002B080000}"/>
    <cellStyle name="Percent 31 2 2" xfId="2091" xr:uid="{00000000-0005-0000-0000-00002C080000}"/>
    <cellStyle name="Percent 31 3" xfId="2090" xr:uid="{00000000-0005-0000-0000-00002D080000}"/>
    <cellStyle name="Percent 32" xfId="1102" xr:uid="{00000000-0005-0000-0000-00002E080000}"/>
    <cellStyle name="Percent 32 2" xfId="1103" xr:uid="{00000000-0005-0000-0000-00002F080000}"/>
    <cellStyle name="Percent 32 2 2" xfId="2093" xr:uid="{00000000-0005-0000-0000-000030080000}"/>
    <cellStyle name="Percent 32 3" xfId="2092" xr:uid="{00000000-0005-0000-0000-000031080000}"/>
    <cellStyle name="Percent 33" xfId="1104" xr:uid="{00000000-0005-0000-0000-000032080000}"/>
    <cellStyle name="Percent 33 2" xfId="1105" xr:uid="{00000000-0005-0000-0000-000033080000}"/>
    <cellStyle name="Percent 33 2 2" xfId="2095" xr:uid="{00000000-0005-0000-0000-000034080000}"/>
    <cellStyle name="Percent 33 3" xfId="2094" xr:uid="{00000000-0005-0000-0000-000035080000}"/>
    <cellStyle name="Percent 34" xfId="1106" xr:uid="{00000000-0005-0000-0000-000036080000}"/>
    <cellStyle name="Percent 34 2" xfId="2096" xr:uid="{00000000-0005-0000-0000-000037080000}"/>
    <cellStyle name="Percent 35" xfId="1107" xr:uid="{00000000-0005-0000-0000-000038080000}"/>
    <cellStyle name="Percent 35 2" xfId="1108" xr:uid="{00000000-0005-0000-0000-000039080000}"/>
    <cellStyle name="Percent 35 2 2" xfId="2098" xr:uid="{00000000-0005-0000-0000-00003A080000}"/>
    <cellStyle name="Percent 35 3" xfId="1109" xr:uid="{00000000-0005-0000-0000-00003B080000}"/>
    <cellStyle name="Percent 35 3 2" xfId="2099" xr:uid="{00000000-0005-0000-0000-00003C080000}"/>
    <cellStyle name="Percent 35 4" xfId="2097" xr:uid="{00000000-0005-0000-0000-00003D080000}"/>
    <cellStyle name="Percent 36" xfId="1110" xr:uid="{00000000-0005-0000-0000-00003E080000}"/>
    <cellStyle name="Percent 36 2" xfId="1111" xr:uid="{00000000-0005-0000-0000-00003F080000}"/>
    <cellStyle name="Percent 36 2 2" xfId="2101" xr:uid="{00000000-0005-0000-0000-000040080000}"/>
    <cellStyle name="Percent 36 3" xfId="1112" xr:uid="{00000000-0005-0000-0000-000041080000}"/>
    <cellStyle name="Percent 36 3 2" xfId="2102" xr:uid="{00000000-0005-0000-0000-000042080000}"/>
    <cellStyle name="Percent 36 4" xfId="2100" xr:uid="{00000000-0005-0000-0000-000043080000}"/>
    <cellStyle name="Percent 37" xfId="1113" xr:uid="{00000000-0005-0000-0000-000044080000}"/>
    <cellStyle name="Percent 37 2" xfId="1114" xr:uid="{00000000-0005-0000-0000-000045080000}"/>
    <cellStyle name="Percent 37 2 2" xfId="2104" xr:uid="{00000000-0005-0000-0000-000046080000}"/>
    <cellStyle name="Percent 37 3" xfId="2103" xr:uid="{00000000-0005-0000-0000-000047080000}"/>
    <cellStyle name="Percent 38" xfId="1115" xr:uid="{00000000-0005-0000-0000-000048080000}"/>
    <cellStyle name="Percent 38 2" xfId="2105" xr:uid="{00000000-0005-0000-0000-000049080000}"/>
    <cellStyle name="Percent 39" xfId="1116" xr:uid="{00000000-0005-0000-0000-00004A080000}"/>
    <cellStyle name="Percent 39 2" xfId="2106" xr:uid="{00000000-0005-0000-0000-00004B080000}"/>
    <cellStyle name="Percent 4" xfId="1117" xr:uid="{00000000-0005-0000-0000-00004C080000}"/>
    <cellStyle name="Percent 4 2" xfId="1118" xr:uid="{00000000-0005-0000-0000-00004D080000}"/>
    <cellStyle name="Percent 4 3" xfId="2107" xr:uid="{00000000-0005-0000-0000-00004E080000}"/>
    <cellStyle name="Percent 4 4" xfId="2335" xr:uid="{00000000-0005-0000-0000-00004F080000}"/>
    <cellStyle name="Percent 4 5" xfId="2326" xr:uid="{00000000-0005-0000-0000-000050080000}"/>
    <cellStyle name="Percent 40" xfId="1119" xr:uid="{00000000-0005-0000-0000-000051080000}"/>
    <cellStyle name="Percent 40 2" xfId="1120" xr:uid="{00000000-0005-0000-0000-000052080000}"/>
    <cellStyle name="Percent 40 2 2" xfId="2109" xr:uid="{00000000-0005-0000-0000-000053080000}"/>
    <cellStyle name="Percent 40 3" xfId="2108" xr:uid="{00000000-0005-0000-0000-000054080000}"/>
    <cellStyle name="Percent 41" xfId="1121" xr:uid="{00000000-0005-0000-0000-000055080000}"/>
    <cellStyle name="Percent 41 2" xfId="2110" xr:uid="{00000000-0005-0000-0000-000056080000}"/>
    <cellStyle name="Percent 42" xfId="1122" xr:uid="{00000000-0005-0000-0000-000057080000}"/>
    <cellStyle name="Percent 42 2" xfId="2111" xr:uid="{00000000-0005-0000-0000-000058080000}"/>
    <cellStyle name="Percent 43" xfId="1123" xr:uid="{00000000-0005-0000-0000-000059080000}"/>
    <cellStyle name="Percent 43 2" xfId="2112" xr:uid="{00000000-0005-0000-0000-00005A080000}"/>
    <cellStyle name="Percent 44" xfId="1124" xr:uid="{00000000-0005-0000-0000-00005B080000}"/>
    <cellStyle name="Percent 44 2" xfId="2113" xr:uid="{00000000-0005-0000-0000-00005C080000}"/>
    <cellStyle name="Percent 45" xfId="1125" xr:uid="{00000000-0005-0000-0000-00005D080000}"/>
    <cellStyle name="Percent 45 2" xfId="1126" xr:uid="{00000000-0005-0000-0000-00005E080000}"/>
    <cellStyle name="Percent 45 2 2" xfId="2115" xr:uid="{00000000-0005-0000-0000-00005F080000}"/>
    <cellStyle name="Percent 45 3" xfId="2114" xr:uid="{00000000-0005-0000-0000-000060080000}"/>
    <cellStyle name="Percent 46" xfId="1127" xr:uid="{00000000-0005-0000-0000-000061080000}"/>
    <cellStyle name="Percent 46 2" xfId="2116" xr:uid="{00000000-0005-0000-0000-000062080000}"/>
    <cellStyle name="Percent 47" xfId="1128" xr:uid="{00000000-0005-0000-0000-000063080000}"/>
    <cellStyle name="Percent 47 2" xfId="2117" xr:uid="{00000000-0005-0000-0000-000064080000}"/>
    <cellStyle name="Percent 48" xfId="1129" xr:uid="{00000000-0005-0000-0000-000065080000}"/>
    <cellStyle name="Percent 48 2" xfId="2118" xr:uid="{00000000-0005-0000-0000-000066080000}"/>
    <cellStyle name="Percent 49" xfId="1130" xr:uid="{00000000-0005-0000-0000-000067080000}"/>
    <cellStyle name="Percent 49 2" xfId="2119" xr:uid="{00000000-0005-0000-0000-000068080000}"/>
    <cellStyle name="Percent 5" xfId="1131" xr:uid="{00000000-0005-0000-0000-000069080000}"/>
    <cellStyle name="Percent 5 2" xfId="2120" xr:uid="{00000000-0005-0000-0000-00006A080000}"/>
    <cellStyle name="Percent 50" xfId="1132" xr:uid="{00000000-0005-0000-0000-00006B080000}"/>
    <cellStyle name="Percent 50 2" xfId="2121" xr:uid="{00000000-0005-0000-0000-00006C080000}"/>
    <cellStyle name="Percent 51" xfId="1133" xr:uid="{00000000-0005-0000-0000-00006D080000}"/>
    <cellStyle name="Percent 51 2" xfId="2122" xr:uid="{00000000-0005-0000-0000-00006E080000}"/>
    <cellStyle name="Percent 52" xfId="1134" xr:uid="{00000000-0005-0000-0000-00006F080000}"/>
    <cellStyle name="Percent 52 2" xfId="1135" xr:uid="{00000000-0005-0000-0000-000070080000}"/>
    <cellStyle name="Percent 52 2 2" xfId="2124" xr:uid="{00000000-0005-0000-0000-000071080000}"/>
    <cellStyle name="Percent 52 3" xfId="2123" xr:uid="{00000000-0005-0000-0000-000072080000}"/>
    <cellStyle name="Percent 53" xfId="1136" xr:uid="{00000000-0005-0000-0000-000073080000}"/>
    <cellStyle name="Percent 53 2" xfId="1137" xr:uid="{00000000-0005-0000-0000-000074080000}"/>
    <cellStyle name="Percent 53 2 2" xfId="2126" xr:uid="{00000000-0005-0000-0000-000075080000}"/>
    <cellStyle name="Percent 53 3" xfId="2125" xr:uid="{00000000-0005-0000-0000-000076080000}"/>
    <cellStyle name="Percent 54" xfId="1138" xr:uid="{00000000-0005-0000-0000-000077080000}"/>
    <cellStyle name="Percent 54 2" xfId="1139" xr:uid="{00000000-0005-0000-0000-000078080000}"/>
    <cellStyle name="Percent 54 2 2" xfId="2128" xr:uid="{00000000-0005-0000-0000-000079080000}"/>
    <cellStyle name="Percent 54 3" xfId="2127" xr:uid="{00000000-0005-0000-0000-00007A080000}"/>
    <cellStyle name="Percent 55" xfId="1140" xr:uid="{00000000-0005-0000-0000-00007B080000}"/>
    <cellStyle name="Percent 55 2" xfId="1141" xr:uid="{00000000-0005-0000-0000-00007C080000}"/>
    <cellStyle name="Percent 55 2 2" xfId="2130" xr:uid="{00000000-0005-0000-0000-00007D080000}"/>
    <cellStyle name="Percent 55 3" xfId="2129" xr:uid="{00000000-0005-0000-0000-00007E080000}"/>
    <cellStyle name="Percent 56" xfId="1142" xr:uid="{00000000-0005-0000-0000-00007F080000}"/>
    <cellStyle name="Percent 56 2" xfId="2131" xr:uid="{00000000-0005-0000-0000-000080080000}"/>
    <cellStyle name="Percent 57" xfId="1143" xr:uid="{00000000-0005-0000-0000-000081080000}"/>
    <cellStyle name="Percent 57 2" xfId="2132" xr:uid="{00000000-0005-0000-0000-000082080000}"/>
    <cellStyle name="Percent 58" xfId="1144" xr:uid="{00000000-0005-0000-0000-000083080000}"/>
    <cellStyle name="Percent 58 2" xfId="2133" xr:uid="{00000000-0005-0000-0000-000084080000}"/>
    <cellStyle name="Percent 59" xfId="1145" xr:uid="{00000000-0005-0000-0000-000085080000}"/>
    <cellStyle name="Percent 59 2" xfId="2134" xr:uid="{00000000-0005-0000-0000-000086080000}"/>
    <cellStyle name="Percent 6" xfId="1146" xr:uid="{00000000-0005-0000-0000-000087080000}"/>
    <cellStyle name="Percent 6 2" xfId="2135" xr:uid="{00000000-0005-0000-0000-000088080000}"/>
    <cellStyle name="Percent 60" xfId="1147" xr:uid="{00000000-0005-0000-0000-000089080000}"/>
    <cellStyle name="Percent 60 2" xfId="2136" xr:uid="{00000000-0005-0000-0000-00008A080000}"/>
    <cellStyle name="Percent 61" xfId="1148" xr:uid="{00000000-0005-0000-0000-00008B080000}"/>
    <cellStyle name="Percent 61 2" xfId="2137" xr:uid="{00000000-0005-0000-0000-00008C080000}"/>
    <cellStyle name="Percent 62" xfId="1149" xr:uid="{00000000-0005-0000-0000-00008D080000}"/>
    <cellStyle name="Percent 62 2" xfId="2138" xr:uid="{00000000-0005-0000-0000-00008E080000}"/>
    <cellStyle name="Percent 63" xfId="1150" xr:uid="{00000000-0005-0000-0000-00008F080000}"/>
    <cellStyle name="Percent 63 2" xfId="2139" xr:uid="{00000000-0005-0000-0000-000090080000}"/>
    <cellStyle name="Percent 64" xfId="1151" xr:uid="{00000000-0005-0000-0000-000091080000}"/>
    <cellStyle name="Percent 64 2" xfId="2140" xr:uid="{00000000-0005-0000-0000-000092080000}"/>
    <cellStyle name="Percent 65" xfId="1152" xr:uid="{00000000-0005-0000-0000-000093080000}"/>
    <cellStyle name="Percent 65 2" xfId="2141" xr:uid="{00000000-0005-0000-0000-000094080000}"/>
    <cellStyle name="Percent 66" xfId="1153" xr:uid="{00000000-0005-0000-0000-000095080000}"/>
    <cellStyle name="Percent 66 2" xfId="2142" xr:uid="{00000000-0005-0000-0000-000096080000}"/>
    <cellStyle name="Percent 67" xfId="1154" xr:uid="{00000000-0005-0000-0000-000097080000}"/>
    <cellStyle name="Percent 67 2" xfId="2143" xr:uid="{00000000-0005-0000-0000-000098080000}"/>
    <cellStyle name="Percent 68" xfId="1155" xr:uid="{00000000-0005-0000-0000-000099080000}"/>
    <cellStyle name="Percent 68 2" xfId="2144" xr:uid="{00000000-0005-0000-0000-00009A080000}"/>
    <cellStyle name="Percent 69" xfId="1156" xr:uid="{00000000-0005-0000-0000-00009B080000}"/>
    <cellStyle name="Percent 69 2" xfId="2145" xr:uid="{00000000-0005-0000-0000-00009C080000}"/>
    <cellStyle name="Percent 7" xfId="1157" xr:uid="{00000000-0005-0000-0000-00009D080000}"/>
    <cellStyle name="Percent 7 2" xfId="2146" xr:uid="{00000000-0005-0000-0000-00009E080000}"/>
    <cellStyle name="Percent 70" xfId="1158" xr:uid="{00000000-0005-0000-0000-00009F080000}"/>
    <cellStyle name="Percent 70 2" xfId="2147" xr:uid="{00000000-0005-0000-0000-0000A0080000}"/>
    <cellStyle name="Percent 71" xfId="1159" xr:uid="{00000000-0005-0000-0000-0000A1080000}"/>
    <cellStyle name="Percent 71 2" xfId="2148" xr:uid="{00000000-0005-0000-0000-0000A2080000}"/>
    <cellStyle name="Percent 72" xfId="1160" xr:uid="{00000000-0005-0000-0000-0000A3080000}"/>
    <cellStyle name="Percent 72 2" xfId="1161" xr:uid="{00000000-0005-0000-0000-0000A4080000}"/>
    <cellStyle name="Percent 72 2 2" xfId="2150" xr:uid="{00000000-0005-0000-0000-0000A5080000}"/>
    <cellStyle name="Percent 72 3" xfId="2149" xr:uid="{00000000-0005-0000-0000-0000A6080000}"/>
    <cellStyle name="Percent 73" xfId="1162" xr:uid="{00000000-0005-0000-0000-0000A7080000}"/>
    <cellStyle name="Percent 73 2" xfId="1163" xr:uid="{00000000-0005-0000-0000-0000A8080000}"/>
    <cellStyle name="Percent 73 2 2" xfId="2152" xr:uid="{00000000-0005-0000-0000-0000A9080000}"/>
    <cellStyle name="Percent 73 3" xfId="2151" xr:uid="{00000000-0005-0000-0000-0000AA080000}"/>
    <cellStyle name="Percent 74" xfId="1164" xr:uid="{00000000-0005-0000-0000-0000AB080000}"/>
    <cellStyle name="Percent 74 2" xfId="1165" xr:uid="{00000000-0005-0000-0000-0000AC080000}"/>
    <cellStyle name="Percent 74 2 2" xfId="2154" xr:uid="{00000000-0005-0000-0000-0000AD080000}"/>
    <cellStyle name="Percent 74 3" xfId="2153" xr:uid="{00000000-0005-0000-0000-0000AE080000}"/>
    <cellStyle name="Percent 75" xfId="1166" xr:uid="{00000000-0005-0000-0000-0000AF080000}"/>
    <cellStyle name="Percent 75 2" xfId="1167" xr:uid="{00000000-0005-0000-0000-0000B0080000}"/>
    <cellStyle name="Percent 75 2 2" xfId="2156" xr:uid="{00000000-0005-0000-0000-0000B1080000}"/>
    <cellStyle name="Percent 75 3" xfId="2155" xr:uid="{00000000-0005-0000-0000-0000B2080000}"/>
    <cellStyle name="Percent 76" xfId="1168" xr:uid="{00000000-0005-0000-0000-0000B3080000}"/>
    <cellStyle name="Percent 76 2" xfId="1169" xr:uid="{00000000-0005-0000-0000-0000B4080000}"/>
    <cellStyle name="Percent 76 2 2" xfId="2158" xr:uid="{00000000-0005-0000-0000-0000B5080000}"/>
    <cellStyle name="Percent 76 3" xfId="2157" xr:uid="{00000000-0005-0000-0000-0000B6080000}"/>
    <cellStyle name="Percent 77" xfId="1170" xr:uid="{00000000-0005-0000-0000-0000B7080000}"/>
    <cellStyle name="Percent 77 2" xfId="1171" xr:uid="{00000000-0005-0000-0000-0000B8080000}"/>
    <cellStyle name="Percent 77 2 2" xfId="2160" xr:uid="{00000000-0005-0000-0000-0000B9080000}"/>
    <cellStyle name="Percent 77 3" xfId="2159" xr:uid="{00000000-0005-0000-0000-0000BA080000}"/>
    <cellStyle name="Percent 78" xfId="1172" xr:uid="{00000000-0005-0000-0000-0000BB080000}"/>
    <cellStyle name="Percent 78 2" xfId="1173" xr:uid="{00000000-0005-0000-0000-0000BC080000}"/>
    <cellStyle name="Percent 78 2 2" xfId="2162" xr:uid="{00000000-0005-0000-0000-0000BD080000}"/>
    <cellStyle name="Percent 78 3" xfId="2161" xr:uid="{00000000-0005-0000-0000-0000BE080000}"/>
    <cellStyle name="Percent 79" xfId="1174" xr:uid="{00000000-0005-0000-0000-0000BF080000}"/>
    <cellStyle name="Percent 79 2" xfId="2163" xr:uid="{00000000-0005-0000-0000-0000C0080000}"/>
    <cellStyle name="Percent 8" xfId="1175" xr:uid="{00000000-0005-0000-0000-0000C1080000}"/>
    <cellStyle name="Percent 8 2" xfId="2164" xr:uid="{00000000-0005-0000-0000-0000C2080000}"/>
    <cellStyle name="Percent 80" xfId="1176" xr:uid="{00000000-0005-0000-0000-0000C3080000}"/>
    <cellStyle name="Percent 80 2" xfId="2165" xr:uid="{00000000-0005-0000-0000-0000C4080000}"/>
    <cellStyle name="Percent 81" xfId="1177" xr:uid="{00000000-0005-0000-0000-0000C5080000}"/>
    <cellStyle name="Percent 81 2" xfId="2166" xr:uid="{00000000-0005-0000-0000-0000C6080000}"/>
    <cellStyle name="Percent 82" xfId="1178" xr:uid="{00000000-0005-0000-0000-0000C7080000}"/>
    <cellStyle name="Percent 82 2" xfId="2167" xr:uid="{00000000-0005-0000-0000-0000C8080000}"/>
    <cellStyle name="Percent 83" xfId="1179" xr:uid="{00000000-0005-0000-0000-0000C9080000}"/>
    <cellStyle name="Percent 83 2" xfId="2168" xr:uid="{00000000-0005-0000-0000-0000CA080000}"/>
    <cellStyle name="Percent 84" xfId="1180" xr:uid="{00000000-0005-0000-0000-0000CB080000}"/>
    <cellStyle name="Percent 84 2" xfId="2169" xr:uid="{00000000-0005-0000-0000-0000CC080000}"/>
    <cellStyle name="Percent 85" xfId="1181" xr:uid="{00000000-0005-0000-0000-0000CD080000}"/>
    <cellStyle name="Percent 85 2" xfId="2170" xr:uid="{00000000-0005-0000-0000-0000CE080000}"/>
    <cellStyle name="Percent 86" xfId="1182" xr:uid="{00000000-0005-0000-0000-0000CF080000}"/>
    <cellStyle name="Percent 86 2" xfId="2171" xr:uid="{00000000-0005-0000-0000-0000D0080000}"/>
    <cellStyle name="Percent 87" xfId="1183" xr:uid="{00000000-0005-0000-0000-0000D1080000}"/>
    <cellStyle name="Percent 87 2" xfId="2172" xr:uid="{00000000-0005-0000-0000-0000D2080000}"/>
    <cellStyle name="Percent 88" xfId="1184" xr:uid="{00000000-0005-0000-0000-0000D3080000}"/>
    <cellStyle name="Percent 88 2" xfId="2173" xr:uid="{00000000-0005-0000-0000-0000D4080000}"/>
    <cellStyle name="Percent 89" xfId="1185" xr:uid="{00000000-0005-0000-0000-0000D5080000}"/>
    <cellStyle name="Percent 89 2" xfId="2174" xr:uid="{00000000-0005-0000-0000-0000D6080000}"/>
    <cellStyle name="Percent 9" xfId="1186" xr:uid="{00000000-0005-0000-0000-0000D7080000}"/>
    <cellStyle name="Percent 9 2" xfId="1187" xr:uid="{00000000-0005-0000-0000-0000D8080000}"/>
    <cellStyle name="Percent 9 2 2" xfId="2176" xr:uid="{00000000-0005-0000-0000-0000D9080000}"/>
    <cellStyle name="Percent 9 3" xfId="1188" xr:uid="{00000000-0005-0000-0000-0000DA080000}"/>
    <cellStyle name="Percent 9 3 2" xfId="2177" xr:uid="{00000000-0005-0000-0000-0000DB080000}"/>
    <cellStyle name="Percent 9 4" xfId="2175" xr:uid="{00000000-0005-0000-0000-0000DC080000}"/>
    <cellStyle name="Percent 90" xfId="1189" xr:uid="{00000000-0005-0000-0000-0000DD080000}"/>
    <cellStyle name="Percent 90 2" xfId="2178" xr:uid="{00000000-0005-0000-0000-0000DE080000}"/>
    <cellStyle name="Percent 91" xfId="1190" xr:uid="{00000000-0005-0000-0000-0000DF080000}"/>
    <cellStyle name="Percent 91 2" xfId="2179" xr:uid="{00000000-0005-0000-0000-0000E0080000}"/>
    <cellStyle name="Percent 92" xfId="1191" xr:uid="{00000000-0005-0000-0000-0000E1080000}"/>
    <cellStyle name="Percent 92 2" xfId="2180" xr:uid="{00000000-0005-0000-0000-0000E2080000}"/>
    <cellStyle name="Percent 93" xfId="1192" xr:uid="{00000000-0005-0000-0000-0000E3080000}"/>
    <cellStyle name="Percent 93 2" xfId="2181" xr:uid="{00000000-0005-0000-0000-0000E4080000}"/>
    <cellStyle name="Percent 94" xfId="1193" xr:uid="{00000000-0005-0000-0000-0000E5080000}"/>
    <cellStyle name="Percent 94 2" xfId="1194" xr:uid="{00000000-0005-0000-0000-0000E6080000}"/>
    <cellStyle name="Percent 94 2 2" xfId="2183" xr:uid="{00000000-0005-0000-0000-0000E7080000}"/>
    <cellStyle name="Percent 94 3" xfId="2182" xr:uid="{00000000-0005-0000-0000-0000E8080000}"/>
    <cellStyle name="Percent 95" xfId="1195" xr:uid="{00000000-0005-0000-0000-0000E9080000}"/>
    <cellStyle name="Percent 95 2" xfId="1196" xr:uid="{00000000-0005-0000-0000-0000EA080000}"/>
    <cellStyle name="Percent 95 2 2" xfId="2185" xr:uid="{00000000-0005-0000-0000-0000EB080000}"/>
    <cellStyle name="Percent 95 3" xfId="2184" xr:uid="{00000000-0005-0000-0000-0000EC080000}"/>
    <cellStyle name="Percent 96" xfId="1197" xr:uid="{00000000-0005-0000-0000-0000ED080000}"/>
    <cellStyle name="Percent 96 2" xfId="1198" xr:uid="{00000000-0005-0000-0000-0000EE080000}"/>
    <cellStyle name="Percent 96 2 2" xfId="2187" xr:uid="{00000000-0005-0000-0000-0000EF080000}"/>
    <cellStyle name="Percent 96 3" xfId="2186" xr:uid="{00000000-0005-0000-0000-0000F0080000}"/>
    <cellStyle name="Percent 97" xfId="1199" xr:uid="{00000000-0005-0000-0000-0000F1080000}"/>
    <cellStyle name="Percent 97 2" xfId="1200" xr:uid="{00000000-0005-0000-0000-0000F2080000}"/>
    <cellStyle name="Percent 97 2 2" xfId="2189" xr:uid="{00000000-0005-0000-0000-0000F3080000}"/>
    <cellStyle name="Percent 97 3" xfId="2188" xr:uid="{00000000-0005-0000-0000-0000F4080000}"/>
    <cellStyle name="Percent 98" xfId="1201" xr:uid="{00000000-0005-0000-0000-0000F5080000}"/>
    <cellStyle name="Percent 98 2" xfId="1202" xr:uid="{00000000-0005-0000-0000-0000F6080000}"/>
    <cellStyle name="Percent 98 2 2" xfId="2191" xr:uid="{00000000-0005-0000-0000-0000F7080000}"/>
    <cellStyle name="Percent 98 3" xfId="2190" xr:uid="{00000000-0005-0000-0000-0000F8080000}"/>
    <cellStyle name="Percent 99" xfId="1203" xr:uid="{00000000-0005-0000-0000-0000F9080000}"/>
    <cellStyle name="Percent 99 2" xfId="1204" xr:uid="{00000000-0005-0000-0000-0000FA080000}"/>
    <cellStyle name="Percent 99 2 2" xfId="2193" xr:uid="{00000000-0005-0000-0000-0000FB080000}"/>
    <cellStyle name="Percent 99 3" xfId="2192" xr:uid="{00000000-0005-0000-0000-0000FC080000}"/>
    <cellStyle name="phx-col-head" xfId="2408" xr:uid="{00000000-0005-0000-0000-0000FD080000}"/>
    <cellStyle name="phx-col-head-last" xfId="2409" xr:uid="{00000000-0005-0000-0000-0000FE080000}"/>
    <cellStyle name="phx-header" xfId="2410" xr:uid="{00000000-0005-0000-0000-0000FF080000}"/>
    <cellStyle name="phx-HL-cell" xfId="2411" xr:uid="{00000000-0005-0000-0000-000000090000}"/>
    <cellStyle name="phx-HL-row" xfId="2412" xr:uid="{00000000-0005-0000-0000-000001090000}"/>
    <cellStyle name="phx-level1" xfId="2413" xr:uid="{00000000-0005-0000-0000-000002090000}"/>
    <cellStyle name="phx-level2" xfId="2414" xr:uid="{00000000-0005-0000-0000-000003090000}"/>
    <cellStyle name="phx-level3" xfId="2415" xr:uid="{00000000-0005-0000-0000-000004090000}"/>
    <cellStyle name="phx-level4" xfId="2416" xr:uid="{00000000-0005-0000-0000-000005090000}"/>
    <cellStyle name="phx-note" xfId="2417" xr:uid="{00000000-0005-0000-0000-000006090000}"/>
    <cellStyle name="phx-source" xfId="2418" xr:uid="{00000000-0005-0000-0000-000007090000}"/>
    <cellStyle name="phx-subhead" xfId="2419" xr:uid="{00000000-0005-0000-0000-000008090000}"/>
    <cellStyle name="phx-total-row" xfId="2420" xr:uid="{00000000-0005-0000-0000-000009090000}"/>
    <cellStyle name="PSChar" xfId="1205" xr:uid="{00000000-0005-0000-0000-00000A090000}"/>
    <cellStyle name="PSChar 2" xfId="1206" xr:uid="{00000000-0005-0000-0000-00000B090000}"/>
    <cellStyle name="PSChar 3" xfId="1207" xr:uid="{00000000-0005-0000-0000-00000C090000}"/>
    <cellStyle name="PSDate" xfId="1208" xr:uid="{00000000-0005-0000-0000-00000D090000}"/>
    <cellStyle name="PSDate 2" xfId="1209" xr:uid="{00000000-0005-0000-0000-00000E090000}"/>
    <cellStyle name="PSDate 3" xfId="1210" xr:uid="{00000000-0005-0000-0000-00000F090000}"/>
    <cellStyle name="PSDec" xfId="1211" xr:uid="{00000000-0005-0000-0000-000010090000}"/>
    <cellStyle name="PSDec 2" xfId="1212" xr:uid="{00000000-0005-0000-0000-000011090000}"/>
    <cellStyle name="PSDec 3" xfId="1213" xr:uid="{00000000-0005-0000-0000-000012090000}"/>
    <cellStyle name="PSHeading" xfId="1214" xr:uid="{00000000-0005-0000-0000-000013090000}"/>
    <cellStyle name="PSHeading 2" xfId="1215" xr:uid="{00000000-0005-0000-0000-000014090000}"/>
    <cellStyle name="PSHeading 2 2" xfId="1216" xr:uid="{00000000-0005-0000-0000-000015090000}"/>
    <cellStyle name="PSHeading 3" xfId="1217" xr:uid="{00000000-0005-0000-0000-000016090000}"/>
    <cellStyle name="PSHeading 3 2" xfId="1218" xr:uid="{00000000-0005-0000-0000-000017090000}"/>
    <cellStyle name="PSHeading 4" xfId="1219" xr:uid="{00000000-0005-0000-0000-000018090000}"/>
    <cellStyle name="PSHeading_BP-14 Preliminary Capital Forecast NonBudget System_5 2 13" xfId="1220" xr:uid="{00000000-0005-0000-0000-000019090000}"/>
    <cellStyle name="PSInt" xfId="1221" xr:uid="{00000000-0005-0000-0000-00001A090000}"/>
    <cellStyle name="PSInt 2" xfId="1222" xr:uid="{00000000-0005-0000-0000-00001B090000}"/>
    <cellStyle name="PSInt 3" xfId="1223" xr:uid="{00000000-0005-0000-0000-00001C090000}"/>
    <cellStyle name="PSSpacer" xfId="1224" xr:uid="{00000000-0005-0000-0000-00001D090000}"/>
    <cellStyle name="PSSpacer 2" xfId="1225" xr:uid="{00000000-0005-0000-0000-00001E090000}"/>
    <cellStyle name="PSSpacer 3" xfId="1226" xr:uid="{00000000-0005-0000-0000-00001F090000}"/>
    <cellStyle name="Rate" xfId="1227" xr:uid="{00000000-0005-0000-0000-000020090000}"/>
    <cellStyle name="Reference" xfId="1228" xr:uid="{00000000-0005-0000-0000-000021090000}"/>
    <cellStyle name="RevList" xfId="1229" xr:uid="{00000000-0005-0000-0000-000022090000}"/>
    <cellStyle name="round100" xfId="1230" xr:uid="{00000000-0005-0000-0000-000023090000}"/>
    <cellStyle name="round100 2" xfId="2194" xr:uid="{00000000-0005-0000-0000-000024090000}"/>
    <cellStyle name="SectionBreak" xfId="1231" xr:uid="{00000000-0005-0000-0000-000025090000}"/>
    <cellStyle name="shade" xfId="1232" xr:uid="{00000000-0005-0000-0000-000026090000}"/>
    <cellStyle name="shade 2" xfId="2195" xr:uid="{00000000-0005-0000-0000-000027090000}"/>
    <cellStyle name="StmtTtl1" xfId="1233" xr:uid="{00000000-0005-0000-0000-000028090000}"/>
    <cellStyle name="StmtTtl1 2" xfId="1234" xr:uid="{00000000-0005-0000-0000-000029090000}"/>
    <cellStyle name="StmtTtl2" xfId="1235" xr:uid="{00000000-0005-0000-0000-00002A090000}"/>
    <cellStyle name="STYL1 - Style1" xfId="1236" xr:uid="{00000000-0005-0000-0000-00002B090000}"/>
    <cellStyle name="Style 1" xfId="1237" xr:uid="{00000000-0005-0000-0000-00002C090000}"/>
    <cellStyle name="Style 1 2" xfId="2196" xr:uid="{00000000-0005-0000-0000-00002D090000}"/>
    <cellStyle name="Style 21" xfId="2351" xr:uid="{00000000-0005-0000-0000-00002E090000}"/>
    <cellStyle name="Style 21 2" xfId="2352" xr:uid="{00000000-0005-0000-0000-00002F090000}"/>
    <cellStyle name="Style 21 2 2" xfId="2383" xr:uid="{00000000-0005-0000-0000-000030090000}"/>
    <cellStyle name="Style 22" xfId="2353" xr:uid="{00000000-0005-0000-0000-000031090000}"/>
    <cellStyle name="Style 22 2" xfId="2354" xr:uid="{00000000-0005-0000-0000-000032090000}"/>
    <cellStyle name="Style 22 2 2" xfId="2384" xr:uid="{00000000-0005-0000-0000-000033090000}"/>
    <cellStyle name="Style 23" xfId="2355" xr:uid="{00000000-0005-0000-0000-000034090000}"/>
    <cellStyle name="Style 23 2" xfId="2356" xr:uid="{00000000-0005-0000-0000-000035090000}"/>
    <cellStyle name="Style 23 2 2" xfId="2385" xr:uid="{00000000-0005-0000-0000-000036090000}"/>
    <cellStyle name="Style 24" xfId="2357" xr:uid="{00000000-0005-0000-0000-000037090000}"/>
    <cellStyle name="Style 24 2" xfId="2358" xr:uid="{00000000-0005-0000-0000-000038090000}"/>
    <cellStyle name="Style 24 2 2" xfId="2386" xr:uid="{00000000-0005-0000-0000-000039090000}"/>
    <cellStyle name="Style 25" xfId="2359" xr:uid="{00000000-0005-0000-0000-00003A090000}"/>
    <cellStyle name="Style 25 2" xfId="2360" xr:uid="{00000000-0005-0000-0000-00003B090000}"/>
    <cellStyle name="Style 25 2 2" xfId="2387" xr:uid="{00000000-0005-0000-0000-00003C090000}"/>
    <cellStyle name="Style 26" xfId="2361" xr:uid="{00000000-0005-0000-0000-00003D090000}"/>
    <cellStyle name="Style 26 2" xfId="2362" xr:uid="{00000000-0005-0000-0000-00003E090000}"/>
    <cellStyle name="Style 26 2 2" xfId="2388" xr:uid="{00000000-0005-0000-0000-00003F090000}"/>
    <cellStyle name="styleColumnTitles" xfId="2363" xr:uid="{00000000-0005-0000-0000-000040090000}"/>
    <cellStyle name="styleColumnTitles 2" xfId="2364" xr:uid="{00000000-0005-0000-0000-000041090000}"/>
    <cellStyle name="styleColumnTitles 2 2" xfId="2389" xr:uid="{00000000-0005-0000-0000-000042090000}"/>
    <cellStyle name="styleDateRange" xfId="2365" xr:uid="{00000000-0005-0000-0000-000043090000}"/>
    <cellStyle name="styleDateRange 2" xfId="2366" xr:uid="{00000000-0005-0000-0000-000044090000}"/>
    <cellStyle name="styleDateRange 2 2" xfId="2390" xr:uid="{00000000-0005-0000-0000-000045090000}"/>
    <cellStyle name="styleHidden" xfId="2367" xr:uid="{00000000-0005-0000-0000-000046090000}"/>
    <cellStyle name="styleHidden 2" xfId="2368" xr:uid="{00000000-0005-0000-0000-000047090000}"/>
    <cellStyle name="styleHidden 2 2" xfId="2391" xr:uid="{00000000-0005-0000-0000-000048090000}"/>
    <cellStyle name="styleNormal" xfId="2369" xr:uid="{00000000-0005-0000-0000-000049090000}"/>
    <cellStyle name="styleNormal 2" xfId="2370" xr:uid="{00000000-0005-0000-0000-00004A090000}"/>
    <cellStyle name="styleNormal 2 2" xfId="2392" xr:uid="{00000000-0005-0000-0000-00004B090000}"/>
    <cellStyle name="styleSeriesAttributes" xfId="2371" xr:uid="{00000000-0005-0000-0000-00004C090000}"/>
    <cellStyle name="styleSeriesAttributes 2" xfId="2372" xr:uid="{00000000-0005-0000-0000-00004D090000}"/>
    <cellStyle name="styleSeriesAttributes 2 2" xfId="2393" xr:uid="{00000000-0005-0000-0000-00004E090000}"/>
    <cellStyle name="styleSeriesData" xfId="2373" xr:uid="{00000000-0005-0000-0000-00004F090000}"/>
    <cellStyle name="styleSeriesData 2" xfId="2374" xr:uid="{00000000-0005-0000-0000-000050090000}"/>
    <cellStyle name="styleSeriesData 2 2" xfId="2394" xr:uid="{00000000-0005-0000-0000-000051090000}"/>
    <cellStyle name="styleSeriesDataForecast" xfId="2375" xr:uid="{00000000-0005-0000-0000-000052090000}"/>
    <cellStyle name="styleSeriesDataForecast 2" xfId="2376" xr:uid="{00000000-0005-0000-0000-000053090000}"/>
    <cellStyle name="styleSeriesDataForecast 2 2" xfId="2395" xr:uid="{00000000-0005-0000-0000-000054090000}"/>
    <cellStyle name="styleSeriesDataForecastNA" xfId="2377" xr:uid="{00000000-0005-0000-0000-000055090000}"/>
    <cellStyle name="styleSeriesDataForecastNA 2" xfId="2378" xr:uid="{00000000-0005-0000-0000-000056090000}"/>
    <cellStyle name="styleSeriesDataForecastNA 2 2" xfId="2396" xr:uid="{00000000-0005-0000-0000-000057090000}"/>
    <cellStyle name="styleSeriesDataNA" xfId="2379" xr:uid="{00000000-0005-0000-0000-000058090000}"/>
    <cellStyle name="styleSeriesDataNA 2" xfId="2380" xr:uid="{00000000-0005-0000-0000-000059090000}"/>
    <cellStyle name="styleSeriesDataNA 2 2" xfId="2397" xr:uid="{00000000-0005-0000-0000-00005A090000}"/>
    <cellStyle name="Subtotal" xfId="1238" xr:uid="{00000000-0005-0000-0000-00005B090000}"/>
    <cellStyle name="Table Head" xfId="1239" xr:uid="{00000000-0005-0000-0000-00005C090000}"/>
    <cellStyle name="Table Head Aligned" xfId="1240" xr:uid="{00000000-0005-0000-0000-00005D090000}"/>
    <cellStyle name="Table Head Blue" xfId="1241" xr:uid="{00000000-0005-0000-0000-00005E090000}"/>
    <cellStyle name="Table Head Green" xfId="1242" xr:uid="{00000000-0005-0000-0000-00005F090000}"/>
    <cellStyle name="Table Heading" xfId="1243" xr:uid="{00000000-0005-0000-0000-000060090000}"/>
    <cellStyle name="Table Title" xfId="1244" xr:uid="{00000000-0005-0000-0000-000061090000}"/>
    <cellStyle name="Table Units" xfId="1245" xr:uid="{00000000-0005-0000-0000-000062090000}"/>
    <cellStyle name="Title 2" xfId="1246" xr:uid="{00000000-0005-0000-0000-000063090000}"/>
    <cellStyle name="Title 2 2" xfId="1247" xr:uid="{00000000-0005-0000-0000-000064090000}"/>
    <cellStyle name="Title 2 2 2" xfId="1248" xr:uid="{00000000-0005-0000-0000-000065090000}"/>
    <cellStyle name="Title 2 2 3" xfId="1249" xr:uid="{00000000-0005-0000-0000-000066090000}"/>
    <cellStyle name="Title 2 2 4" xfId="1250" xr:uid="{00000000-0005-0000-0000-000067090000}"/>
    <cellStyle name="Title 2 3" xfId="1251" xr:uid="{00000000-0005-0000-0000-000068090000}"/>
    <cellStyle name="Title 2 4" xfId="1252" xr:uid="{00000000-0005-0000-0000-000069090000}"/>
    <cellStyle name="Title 2 5" xfId="1253" xr:uid="{00000000-0005-0000-0000-00006A090000}"/>
    <cellStyle name="Title 2 6" xfId="1254" xr:uid="{00000000-0005-0000-0000-00006B090000}"/>
    <cellStyle name="Title 3" xfId="1255" xr:uid="{00000000-0005-0000-0000-00006C090000}"/>
    <cellStyle name="Title 4" xfId="1544" xr:uid="{00000000-0005-0000-0000-00006D090000}"/>
    <cellStyle name="Title: Minor" xfId="1256" xr:uid="{00000000-0005-0000-0000-00006E090000}"/>
    <cellStyle name="Title: Worksheet" xfId="1257" xr:uid="{00000000-0005-0000-0000-00006F090000}"/>
    <cellStyle name="Total 2" xfId="1258" xr:uid="{00000000-0005-0000-0000-000070090000}"/>
    <cellStyle name="Total 2 2" xfId="1259" xr:uid="{00000000-0005-0000-0000-000071090000}"/>
    <cellStyle name="Total 2 2 2" xfId="1260" xr:uid="{00000000-0005-0000-0000-000072090000}"/>
    <cellStyle name="Total 2 2 3" xfId="1261" xr:uid="{00000000-0005-0000-0000-000073090000}"/>
    <cellStyle name="Total 2 2 4" xfId="1262" xr:uid="{00000000-0005-0000-0000-000074090000}"/>
    <cellStyle name="Total 2 3" xfId="1263" xr:uid="{00000000-0005-0000-0000-000075090000}"/>
    <cellStyle name="Total 2 4" xfId="1264" xr:uid="{00000000-0005-0000-0000-000076090000}"/>
    <cellStyle name="Total 2 5" xfId="1265" xr:uid="{00000000-0005-0000-0000-000077090000}"/>
    <cellStyle name="Total 2 6" xfId="1266" xr:uid="{00000000-0005-0000-0000-000078090000}"/>
    <cellStyle name="Total 2_QC" xfId="1267" xr:uid="{00000000-0005-0000-0000-000079090000}"/>
    <cellStyle name="Total 3" xfId="1268" xr:uid="{00000000-0005-0000-0000-00007A090000}"/>
    <cellStyle name="Total 4" xfId="1545" xr:uid="{00000000-0005-0000-0000-00007B090000}"/>
    <cellStyle name="v" xfId="1269" xr:uid="{00000000-0005-0000-0000-00007C090000}"/>
    <cellStyle name="v 2" xfId="2197" xr:uid="{00000000-0005-0000-0000-00007D090000}"/>
    <cellStyle name="Warning Text 2" xfId="1270" xr:uid="{00000000-0005-0000-0000-00007E090000}"/>
    <cellStyle name="Warning Text 2 2" xfId="1271" xr:uid="{00000000-0005-0000-0000-00007F090000}"/>
    <cellStyle name="Warning Text 2 2 2" xfId="1272" xr:uid="{00000000-0005-0000-0000-000080090000}"/>
    <cellStyle name="Warning Text 2 3" xfId="1273" xr:uid="{00000000-0005-0000-0000-000081090000}"/>
    <cellStyle name="Warning Text 2 4" xfId="1274" xr:uid="{00000000-0005-0000-0000-000082090000}"/>
    <cellStyle name="Warning Text 2 5" xfId="1275" xr:uid="{00000000-0005-0000-0000-000083090000}"/>
    <cellStyle name="Warning Text 2 6" xfId="1276" xr:uid="{00000000-0005-0000-0000-000084090000}"/>
    <cellStyle name="Warning Text 3" xfId="1277" xr:uid="{00000000-0005-0000-0000-000085090000}"/>
    <cellStyle name="Warning Text 4" xfId="1546" xr:uid="{00000000-0005-0000-0000-000086090000}"/>
  </cellStyles>
  <dxfs count="1">
    <dxf>
      <font>
        <color rgb="FF9C0006"/>
      </font>
      <fill>
        <patternFill>
          <bgColor rgb="FFFFC7CE"/>
        </patternFill>
      </fill>
    </dxf>
  </dxfs>
  <tableStyles count="0" defaultTableStyle="TableStyleMedium2" defaultPivotStyle="PivotStyleLight16"/>
  <colors>
    <mruColors>
      <color rgb="FFCC00FF"/>
      <color rgb="FFFF00FF"/>
      <color rgb="FFFF3399"/>
      <color rgb="FF00FF99"/>
      <color rgb="FF0000FF"/>
      <color rgb="FFCCFFCC"/>
      <color rgb="FF000000"/>
      <color rgb="FFF3EE1D"/>
      <color rgb="FFFF7C80"/>
      <color rgb="FFCC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ustomXml" Target="../customXml/item1.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haredStrings" Target="sharedStrings.xml"/><Relationship Id="rId40"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theme" Target="theme/theme1.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calcChain" Target="calcChain.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a:t>Revenue Requirement</a:t>
            </a:r>
            <a:r>
              <a:rPr lang="en-US" sz="1400" baseline="0"/>
              <a:t> </a:t>
            </a:r>
            <a:r>
              <a:rPr lang="en-US" sz="1400"/>
              <a:t>Changes</a:t>
            </a:r>
            <a:r>
              <a:rPr lang="en-US" sz="1400" baseline="0"/>
              <a:t> Initial Proposal to Final Proposal</a:t>
            </a:r>
          </a:p>
          <a:p>
            <a:pPr>
              <a:defRPr sz="1400"/>
            </a:pPr>
            <a:r>
              <a:rPr lang="en-US" sz="1100" baseline="0"/>
              <a:t>($000s)</a:t>
            </a:r>
            <a:endParaRPr lang="en-US" sz="1100"/>
          </a:p>
        </c:rich>
      </c:tx>
      <c:overlay val="0"/>
    </c:title>
    <c:autoTitleDeleted val="0"/>
    <c:plotArea>
      <c:layout/>
      <c:barChart>
        <c:barDir val="col"/>
        <c:grouping val="stacked"/>
        <c:varyColors val="0"/>
        <c:ser>
          <c:idx val="1"/>
          <c:order val="0"/>
          <c:tx>
            <c:strRef>
              <c:f>Graphs!$A$8</c:f>
              <c:strCache>
                <c:ptCount val="1"/>
                <c:pt idx="0">
                  <c:v>Transmission Operations</c:v>
                </c:pt>
              </c:strCache>
            </c:strRef>
          </c:tx>
          <c:invertIfNegative val="0"/>
          <c:cat>
            <c:numRef>
              <c:f>Graphs!$B$7:$O$7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Graphs!$B$8:$O$8</c:f>
              <c:numCache>
                <c:formatCode>_(* #,##0_);_(* \(#,##0\);_(* "-"??_);_(@_)</c:formatCode>
                <c:ptCount val="14"/>
              </c:numCache>
            </c:numRef>
          </c:val>
          <c:extLst>
            <c:ext xmlns:c16="http://schemas.microsoft.com/office/drawing/2014/chart" uri="{C3380CC4-5D6E-409C-BE32-E72D297353CC}">
              <c16:uniqueId val="{00000000-66E5-48F9-9CCF-0F0FEBA2B70A}"/>
            </c:ext>
          </c:extLst>
        </c:ser>
        <c:ser>
          <c:idx val="2"/>
          <c:order val="1"/>
          <c:tx>
            <c:strRef>
              <c:f>Graphs!$A$9</c:f>
              <c:strCache>
                <c:ptCount val="1"/>
                <c:pt idx="0">
                  <c:v>Transmission Engineering</c:v>
                </c:pt>
              </c:strCache>
            </c:strRef>
          </c:tx>
          <c:invertIfNegative val="0"/>
          <c:cat>
            <c:numRef>
              <c:f>Graphs!$B$7:$O$7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Graphs!$B$9:$O$9</c:f>
              <c:numCache>
                <c:formatCode>_(* #,##0_);_(* \(#,##0\);_(* "-"??_);_(@_)</c:formatCode>
                <c:ptCount val="14"/>
              </c:numCache>
            </c:numRef>
          </c:val>
          <c:extLst>
            <c:ext xmlns:c16="http://schemas.microsoft.com/office/drawing/2014/chart" uri="{C3380CC4-5D6E-409C-BE32-E72D297353CC}">
              <c16:uniqueId val="{00000001-66E5-48F9-9CCF-0F0FEBA2B70A}"/>
            </c:ext>
          </c:extLst>
        </c:ser>
        <c:ser>
          <c:idx val="3"/>
          <c:order val="2"/>
          <c:tx>
            <c:strRef>
              <c:f>Graphs!$A$10</c:f>
              <c:strCache>
                <c:ptCount val="1"/>
                <c:pt idx="0">
                  <c:v>Transmission Maintenance</c:v>
                </c:pt>
              </c:strCache>
            </c:strRef>
          </c:tx>
          <c:invertIfNegative val="0"/>
          <c:cat>
            <c:numRef>
              <c:f>Graphs!$B$7:$O$7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Graphs!$B$10:$O$10</c:f>
              <c:numCache>
                <c:formatCode>_(* #,##0_);_(* \(#,##0\);_(* "-"??_);_(@_)</c:formatCode>
                <c:ptCount val="14"/>
              </c:numCache>
            </c:numRef>
          </c:val>
          <c:extLst>
            <c:ext xmlns:c16="http://schemas.microsoft.com/office/drawing/2014/chart" uri="{C3380CC4-5D6E-409C-BE32-E72D297353CC}">
              <c16:uniqueId val="{00000002-66E5-48F9-9CCF-0F0FEBA2B70A}"/>
            </c:ext>
          </c:extLst>
        </c:ser>
        <c:ser>
          <c:idx val="4"/>
          <c:order val="3"/>
          <c:tx>
            <c:strRef>
              <c:f>Graphs!$A$11</c:f>
              <c:strCache>
                <c:ptCount val="1"/>
                <c:pt idx="0">
                  <c:v>Transmission Acq &amp; Ancillary Services</c:v>
                </c:pt>
              </c:strCache>
            </c:strRef>
          </c:tx>
          <c:invertIfNegative val="0"/>
          <c:cat>
            <c:numRef>
              <c:f>Graphs!$B$7:$O$7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Graphs!$B$11:$O$11</c:f>
              <c:numCache>
                <c:formatCode>_(* #,##0_);_(* \(#,##0\);_(* "-"??_);_(@_)</c:formatCode>
                <c:ptCount val="14"/>
              </c:numCache>
            </c:numRef>
          </c:val>
          <c:extLst>
            <c:ext xmlns:c16="http://schemas.microsoft.com/office/drawing/2014/chart" uri="{C3380CC4-5D6E-409C-BE32-E72D297353CC}">
              <c16:uniqueId val="{00000003-66E5-48F9-9CCF-0F0FEBA2B70A}"/>
            </c:ext>
          </c:extLst>
        </c:ser>
        <c:ser>
          <c:idx val="5"/>
          <c:order val="4"/>
          <c:tx>
            <c:strRef>
              <c:f>Graphs!$A$12</c:f>
              <c:strCache>
                <c:ptCount val="1"/>
                <c:pt idx="0">
                  <c:v>BPA Internal Support</c:v>
                </c:pt>
              </c:strCache>
            </c:strRef>
          </c:tx>
          <c:invertIfNegative val="0"/>
          <c:cat>
            <c:numRef>
              <c:f>Graphs!$B$7:$O$7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Graphs!$B$12:$O$12</c:f>
              <c:numCache>
                <c:formatCode>_(* #,##0_);_(* \(#,##0\);_(* "-"??_);_(@_)</c:formatCode>
                <c:ptCount val="14"/>
              </c:numCache>
            </c:numRef>
          </c:val>
          <c:extLst>
            <c:ext xmlns:c16="http://schemas.microsoft.com/office/drawing/2014/chart" uri="{C3380CC4-5D6E-409C-BE32-E72D297353CC}">
              <c16:uniqueId val="{00000004-66E5-48F9-9CCF-0F0FEBA2B70A}"/>
            </c:ext>
          </c:extLst>
        </c:ser>
        <c:ser>
          <c:idx val="6"/>
          <c:order val="5"/>
          <c:tx>
            <c:strRef>
              <c:f>Graphs!$A$13</c:f>
              <c:strCache>
                <c:ptCount val="1"/>
                <c:pt idx="0">
                  <c:v>Other Income, Expenses, &amp; Adjustments</c:v>
                </c:pt>
              </c:strCache>
            </c:strRef>
          </c:tx>
          <c:invertIfNegative val="0"/>
          <c:cat>
            <c:numRef>
              <c:f>Graphs!$B$7:$O$7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Graphs!$B$13:$O$13</c:f>
              <c:numCache>
                <c:formatCode>_(* #,##0_);_(* \(#,##0\);_(* "-"??_);_(@_)</c:formatCode>
                <c:ptCount val="14"/>
              </c:numCache>
            </c:numRef>
          </c:val>
          <c:extLst>
            <c:ext xmlns:c16="http://schemas.microsoft.com/office/drawing/2014/chart" uri="{C3380CC4-5D6E-409C-BE32-E72D297353CC}">
              <c16:uniqueId val="{00000005-66E5-48F9-9CCF-0F0FEBA2B70A}"/>
            </c:ext>
          </c:extLst>
        </c:ser>
        <c:ser>
          <c:idx val="7"/>
          <c:order val="6"/>
          <c:tx>
            <c:strRef>
              <c:f>Graphs!$A$14</c:f>
              <c:strCache>
                <c:ptCount val="1"/>
                <c:pt idx="0">
                  <c:v>Capital Related Costs</c:v>
                </c:pt>
              </c:strCache>
            </c:strRef>
          </c:tx>
          <c:invertIfNegative val="0"/>
          <c:cat>
            <c:numRef>
              <c:f>Graphs!$B$7:$O$7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Graphs!$B$14:$O$14</c:f>
              <c:numCache>
                <c:formatCode>_(* #,##0_);_(* \(#,##0\);_(* "-"??_);_(@_)</c:formatCode>
                <c:ptCount val="14"/>
              </c:numCache>
            </c:numRef>
          </c:val>
          <c:extLst>
            <c:ext xmlns:c16="http://schemas.microsoft.com/office/drawing/2014/chart" uri="{C3380CC4-5D6E-409C-BE32-E72D297353CC}">
              <c16:uniqueId val="{00000006-66E5-48F9-9CCF-0F0FEBA2B70A}"/>
            </c:ext>
          </c:extLst>
        </c:ser>
        <c:dLbls>
          <c:showLegendKey val="0"/>
          <c:showVal val="0"/>
          <c:showCatName val="0"/>
          <c:showSerName val="0"/>
          <c:showPercent val="0"/>
          <c:showBubbleSize val="0"/>
        </c:dLbls>
        <c:gapWidth val="75"/>
        <c:overlap val="100"/>
        <c:axId val="263687168"/>
        <c:axId val="263693056"/>
      </c:barChart>
      <c:catAx>
        <c:axId val="263687168"/>
        <c:scaling>
          <c:orientation val="minMax"/>
        </c:scaling>
        <c:delete val="0"/>
        <c:axPos val="b"/>
        <c:numFmt formatCode="General" sourceLinked="1"/>
        <c:majorTickMark val="none"/>
        <c:minorTickMark val="none"/>
        <c:tickLblPos val="nextTo"/>
        <c:crossAx val="263693056"/>
        <c:crosses val="autoZero"/>
        <c:auto val="1"/>
        <c:lblAlgn val="ctr"/>
        <c:lblOffset val="100"/>
        <c:noMultiLvlLbl val="0"/>
      </c:catAx>
      <c:valAx>
        <c:axId val="263693056"/>
        <c:scaling>
          <c:orientation val="minMax"/>
        </c:scaling>
        <c:delete val="0"/>
        <c:axPos val="l"/>
        <c:majorGridlines/>
        <c:numFmt formatCode="_(* #,##0_);_(* \(#,##0\);_(* &quot;-&quot;??_);_(@_)" sourceLinked="1"/>
        <c:majorTickMark val="none"/>
        <c:minorTickMark val="none"/>
        <c:tickLblPos val="nextTo"/>
        <c:spPr>
          <a:ln w="9525">
            <a:noFill/>
          </a:ln>
        </c:spPr>
        <c:crossAx val="263687168"/>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baseline="0"/>
              <a:t>Capital Related Cost </a:t>
            </a:r>
            <a:r>
              <a:rPr lang="en-US" sz="1400"/>
              <a:t>Changes</a:t>
            </a:r>
            <a:r>
              <a:rPr lang="en-US" sz="1400" baseline="0"/>
              <a:t> from Initial Proposal to Final Proposal</a:t>
            </a:r>
          </a:p>
          <a:p>
            <a:pPr>
              <a:defRPr sz="1400"/>
            </a:pPr>
            <a:r>
              <a:rPr lang="en-US" sz="1100" baseline="0"/>
              <a:t>($000s)</a:t>
            </a:r>
            <a:endParaRPr lang="en-US" sz="1400" baseline="0"/>
          </a:p>
        </c:rich>
      </c:tx>
      <c:overlay val="0"/>
    </c:title>
    <c:autoTitleDeleted val="0"/>
    <c:plotArea>
      <c:layout/>
      <c:barChart>
        <c:barDir val="col"/>
        <c:grouping val="stacked"/>
        <c:varyColors val="0"/>
        <c:ser>
          <c:idx val="2"/>
          <c:order val="0"/>
          <c:tx>
            <c:strRef>
              <c:f>Graphs!$A$18</c:f>
              <c:strCache>
                <c:ptCount val="1"/>
                <c:pt idx="0">
                  <c:v>Depreciation &amp; Amortization</c:v>
                </c:pt>
              </c:strCache>
            </c:strRef>
          </c:tx>
          <c:invertIfNegative val="0"/>
          <c:cat>
            <c:numRef>
              <c:f>Graphs!$B$17:$O$17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Graphs!$B$18:$O$18</c:f>
              <c:numCache>
                <c:formatCode>_(* #,##0_);_(* \(#,##0\);_(* "-"??_);_(@_)</c:formatCode>
                <c:ptCount val="14"/>
              </c:numCache>
            </c:numRef>
          </c:val>
          <c:extLst>
            <c:ext xmlns:c16="http://schemas.microsoft.com/office/drawing/2014/chart" uri="{C3380CC4-5D6E-409C-BE32-E72D297353CC}">
              <c16:uniqueId val="{00000000-0B3E-4ACC-AED2-E99A5C810A22}"/>
            </c:ext>
          </c:extLst>
        </c:ser>
        <c:ser>
          <c:idx val="3"/>
          <c:order val="1"/>
          <c:tx>
            <c:strRef>
              <c:f>Graphs!$A$19</c:f>
              <c:strCache>
                <c:ptCount val="1"/>
                <c:pt idx="0">
                  <c:v>Net Interest Expense</c:v>
                </c:pt>
              </c:strCache>
            </c:strRef>
          </c:tx>
          <c:invertIfNegative val="0"/>
          <c:cat>
            <c:numRef>
              <c:f>Graphs!$B$17:$O$17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Graphs!$B$19:$O$19</c:f>
              <c:numCache>
                <c:formatCode>_(* #,##0_);_(* \(#,##0\);_(* "-"??_);_(@_)</c:formatCode>
                <c:ptCount val="14"/>
              </c:numCache>
            </c:numRef>
          </c:val>
          <c:extLst>
            <c:ext xmlns:c16="http://schemas.microsoft.com/office/drawing/2014/chart" uri="{C3380CC4-5D6E-409C-BE32-E72D297353CC}">
              <c16:uniqueId val="{00000001-0B3E-4ACC-AED2-E99A5C810A22}"/>
            </c:ext>
          </c:extLst>
        </c:ser>
        <c:ser>
          <c:idx val="4"/>
          <c:order val="2"/>
          <c:tx>
            <c:strRef>
              <c:f>Graphs!$A$20</c:f>
              <c:strCache>
                <c:ptCount val="1"/>
                <c:pt idx="0">
                  <c:v>Total Planned Net Revenue</c:v>
                </c:pt>
              </c:strCache>
            </c:strRef>
          </c:tx>
          <c:invertIfNegative val="0"/>
          <c:cat>
            <c:numRef>
              <c:f>Graphs!$B$17:$O$17</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Graphs!$B$20:$O$20</c:f>
              <c:numCache>
                <c:formatCode>_(* #,##0_);_(* \(#,##0\);_(* "-"??_);_(@_)</c:formatCode>
                <c:ptCount val="14"/>
              </c:numCache>
            </c:numRef>
          </c:val>
          <c:extLst>
            <c:ext xmlns:c16="http://schemas.microsoft.com/office/drawing/2014/chart" uri="{C3380CC4-5D6E-409C-BE32-E72D297353CC}">
              <c16:uniqueId val="{00000002-0B3E-4ACC-AED2-E99A5C810A22}"/>
            </c:ext>
          </c:extLst>
        </c:ser>
        <c:dLbls>
          <c:showLegendKey val="0"/>
          <c:showVal val="0"/>
          <c:showCatName val="0"/>
          <c:showSerName val="0"/>
          <c:showPercent val="0"/>
          <c:showBubbleSize val="0"/>
        </c:dLbls>
        <c:gapWidth val="75"/>
        <c:overlap val="100"/>
        <c:axId val="263731456"/>
        <c:axId val="263733248"/>
      </c:barChart>
      <c:catAx>
        <c:axId val="263731456"/>
        <c:scaling>
          <c:orientation val="minMax"/>
        </c:scaling>
        <c:delete val="0"/>
        <c:axPos val="b"/>
        <c:numFmt formatCode="General" sourceLinked="1"/>
        <c:majorTickMark val="none"/>
        <c:minorTickMark val="none"/>
        <c:tickLblPos val="nextTo"/>
        <c:crossAx val="263733248"/>
        <c:crosses val="autoZero"/>
        <c:auto val="1"/>
        <c:lblAlgn val="ctr"/>
        <c:lblOffset val="100"/>
        <c:noMultiLvlLbl val="0"/>
      </c:catAx>
      <c:valAx>
        <c:axId val="263733248"/>
        <c:scaling>
          <c:orientation val="minMax"/>
        </c:scaling>
        <c:delete val="0"/>
        <c:axPos val="l"/>
        <c:majorGridlines/>
        <c:numFmt formatCode="_(* #,##0_);_(* \(#,##0\);_(* &quot;-&quot;??_);_(@_)" sourceLinked="1"/>
        <c:majorTickMark val="none"/>
        <c:minorTickMark val="none"/>
        <c:tickLblPos val="nextTo"/>
        <c:spPr>
          <a:ln w="9525">
            <a:noFill/>
          </a:ln>
        </c:spPr>
        <c:crossAx val="263731456"/>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a:t>Revenue</a:t>
            </a:r>
            <a:r>
              <a:rPr lang="en-US" sz="1400" baseline="0"/>
              <a:t> Requirement Comparison</a:t>
            </a:r>
          </a:p>
          <a:p>
            <a:pPr>
              <a:defRPr sz="1400"/>
            </a:pPr>
            <a:r>
              <a:rPr lang="en-US" sz="1100" baseline="0"/>
              <a:t>($000s)</a:t>
            </a:r>
            <a:endParaRPr lang="en-US" sz="1400" baseline="0"/>
          </a:p>
        </c:rich>
      </c:tx>
      <c:overlay val="0"/>
    </c:title>
    <c:autoTitleDeleted val="0"/>
    <c:plotArea>
      <c:layout/>
      <c:lineChart>
        <c:grouping val="standard"/>
        <c:varyColors val="0"/>
        <c:ser>
          <c:idx val="0"/>
          <c:order val="0"/>
          <c:tx>
            <c:strRef>
              <c:f>Graphs!$A$24</c:f>
              <c:strCache>
                <c:ptCount val="1"/>
                <c:pt idx="0">
                  <c:v>0</c:v>
                </c:pt>
              </c:strCache>
            </c:strRef>
          </c:tx>
          <c:marker>
            <c:symbol val="none"/>
          </c:marker>
          <c:cat>
            <c:numRef>
              <c:f>Graphs!$B$23:$O$23</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Graphs!$B$24:$O$24</c:f>
              <c:numCache>
                <c:formatCode>_(* #,##0_);_(* \(#,##0\);_(* "-"??_);_(@_)</c:formatCode>
                <c:ptCount val="14"/>
              </c:numCache>
            </c:numRef>
          </c:val>
          <c:smooth val="0"/>
          <c:extLst>
            <c:ext xmlns:c16="http://schemas.microsoft.com/office/drawing/2014/chart" uri="{C3380CC4-5D6E-409C-BE32-E72D297353CC}">
              <c16:uniqueId val="{00000000-57F9-412A-93D6-19B1830DB145}"/>
            </c:ext>
          </c:extLst>
        </c:ser>
        <c:ser>
          <c:idx val="1"/>
          <c:order val="1"/>
          <c:tx>
            <c:strRef>
              <c:f>Graphs!$A$25</c:f>
              <c:strCache>
                <c:ptCount val="1"/>
                <c:pt idx="0">
                  <c:v>0</c:v>
                </c:pt>
              </c:strCache>
            </c:strRef>
          </c:tx>
          <c:marker>
            <c:symbol val="none"/>
          </c:marker>
          <c:cat>
            <c:numRef>
              <c:f>Graphs!$B$23:$O$23</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Graphs!$B$25:$O$25</c:f>
              <c:numCache>
                <c:formatCode>_(* #,##0_);_(* \(#,##0\);_(* "-"??_);_(@_)</c:formatCode>
                <c:ptCount val="14"/>
              </c:numCache>
            </c:numRef>
          </c:val>
          <c:smooth val="0"/>
          <c:extLst>
            <c:ext xmlns:c16="http://schemas.microsoft.com/office/drawing/2014/chart" uri="{C3380CC4-5D6E-409C-BE32-E72D297353CC}">
              <c16:uniqueId val="{00000001-57F9-412A-93D6-19B1830DB145}"/>
            </c:ext>
          </c:extLst>
        </c:ser>
        <c:dLbls>
          <c:showLegendKey val="0"/>
          <c:showVal val="0"/>
          <c:showCatName val="0"/>
          <c:showSerName val="0"/>
          <c:showPercent val="0"/>
          <c:showBubbleSize val="0"/>
        </c:dLbls>
        <c:smooth val="0"/>
        <c:axId val="263779072"/>
        <c:axId val="263780608"/>
      </c:lineChart>
      <c:catAx>
        <c:axId val="263779072"/>
        <c:scaling>
          <c:orientation val="minMax"/>
        </c:scaling>
        <c:delete val="0"/>
        <c:axPos val="b"/>
        <c:numFmt formatCode="General" sourceLinked="1"/>
        <c:majorTickMark val="none"/>
        <c:minorTickMark val="none"/>
        <c:tickLblPos val="nextTo"/>
        <c:crossAx val="263780608"/>
        <c:crosses val="autoZero"/>
        <c:auto val="1"/>
        <c:lblAlgn val="ctr"/>
        <c:lblOffset val="100"/>
        <c:noMultiLvlLbl val="0"/>
      </c:catAx>
      <c:valAx>
        <c:axId val="263780608"/>
        <c:scaling>
          <c:orientation val="minMax"/>
          <c:max val="1900000"/>
          <c:min val="1000000"/>
        </c:scaling>
        <c:delete val="0"/>
        <c:axPos val="l"/>
        <c:majorGridlines/>
        <c:numFmt formatCode="_(* #,##0_);_(* \(#,##0\);_(* &quot;-&quot;??_);_(@_)" sourceLinked="1"/>
        <c:majorTickMark val="none"/>
        <c:minorTickMark val="none"/>
        <c:tickLblPos val="nextTo"/>
        <c:spPr>
          <a:ln w="9525">
            <a:noFill/>
          </a:ln>
        </c:spPr>
        <c:crossAx val="263779072"/>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baseline="0"/>
              <a:t>Capital Related Cost Comparison</a:t>
            </a:r>
          </a:p>
          <a:p>
            <a:pPr>
              <a:defRPr sz="1400"/>
            </a:pPr>
            <a:r>
              <a:rPr lang="en-US" sz="1100" baseline="0"/>
              <a:t>($000s)</a:t>
            </a:r>
            <a:endParaRPr lang="en-US" sz="1400"/>
          </a:p>
        </c:rich>
      </c:tx>
      <c:overlay val="0"/>
    </c:title>
    <c:autoTitleDeleted val="0"/>
    <c:plotArea>
      <c:layout/>
      <c:lineChart>
        <c:grouping val="standard"/>
        <c:varyColors val="0"/>
        <c:ser>
          <c:idx val="0"/>
          <c:order val="0"/>
          <c:tx>
            <c:strRef>
              <c:f>Graphs!$A$29</c:f>
              <c:strCache>
                <c:ptCount val="1"/>
                <c:pt idx="0">
                  <c:v>0</c:v>
                </c:pt>
              </c:strCache>
            </c:strRef>
          </c:tx>
          <c:marker>
            <c:symbol val="none"/>
          </c:marker>
          <c:cat>
            <c:numRef>
              <c:f>Graphs!$B$28:$O$28</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Graphs!$B$29:$O$29</c:f>
              <c:numCache>
                <c:formatCode>_(* #,##0_);_(* \(#,##0\);_(* "-"??_);_(@_)</c:formatCode>
                <c:ptCount val="14"/>
              </c:numCache>
            </c:numRef>
          </c:val>
          <c:smooth val="0"/>
          <c:extLst>
            <c:ext xmlns:c16="http://schemas.microsoft.com/office/drawing/2014/chart" uri="{C3380CC4-5D6E-409C-BE32-E72D297353CC}">
              <c16:uniqueId val="{00000000-CB57-43F9-964A-18C6C22220A8}"/>
            </c:ext>
          </c:extLst>
        </c:ser>
        <c:ser>
          <c:idx val="1"/>
          <c:order val="1"/>
          <c:tx>
            <c:strRef>
              <c:f>Graphs!$A$30</c:f>
              <c:strCache>
                <c:ptCount val="1"/>
                <c:pt idx="0">
                  <c:v>0</c:v>
                </c:pt>
              </c:strCache>
            </c:strRef>
          </c:tx>
          <c:marker>
            <c:symbol val="none"/>
          </c:marker>
          <c:cat>
            <c:numRef>
              <c:f>Graphs!$B$28:$O$28</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Graphs!$B$30:$O$30</c:f>
              <c:numCache>
                <c:formatCode>_(* #,##0_);_(* \(#,##0\);_(* "-"??_);_(@_)</c:formatCode>
                <c:ptCount val="14"/>
              </c:numCache>
            </c:numRef>
          </c:val>
          <c:smooth val="0"/>
          <c:extLst>
            <c:ext xmlns:c16="http://schemas.microsoft.com/office/drawing/2014/chart" uri="{C3380CC4-5D6E-409C-BE32-E72D297353CC}">
              <c16:uniqueId val="{00000001-CB57-43F9-964A-18C6C22220A8}"/>
            </c:ext>
          </c:extLst>
        </c:ser>
        <c:dLbls>
          <c:showLegendKey val="0"/>
          <c:showVal val="0"/>
          <c:showCatName val="0"/>
          <c:showSerName val="0"/>
          <c:showPercent val="0"/>
          <c:showBubbleSize val="0"/>
        </c:dLbls>
        <c:smooth val="0"/>
        <c:axId val="264981504"/>
        <c:axId val="264991488"/>
      </c:lineChart>
      <c:catAx>
        <c:axId val="264981504"/>
        <c:scaling>
          <c:orientation val="minMax"/>
        </c:scaling>
        <c:delete val="0"/>
        <c:axPos val="b"/>
        <c:numFmt formatCode="General" sourceLinked="1"/>
        <c:majorTickMark val="none"/>
        <c:minorTickMark val="none"/>
        <c:tickLblPos val="nextTo"/>
        <c:crossAx val="264991488"/>
        <c:crosses val="autoZero"/>
        <c:auto val="1"/>
        <c:lblAlgn val="ctr"/>
        <c:lblOffset val="100"/>
        <c:noMultiLvlLbl val="0"/>
      </c:catAx>
      <c:valAx>
        <c:axId val="264991488"/>
        <c:scaling>
          <c:orientation val="minMax"/>
          <c:min val="400000"/>
        </c:scaling>
        <c:delete val="0"/>
        <c:axPos val="l"/>
        <c:majorGridlines/>
        <c:numFmt formatCode="_(* #,##0_);_(* \(#,##0\);_(* &quot;-&quot;??_);_(@_)" sourceLinked="1"/>
        <c:majorTickMark val="none"/>
        <c:minorTickMark val="none"/>
        <c:tickLblPos val="nextTo"/>
        <c:spPr>
          <a:ln w="9525">
            <a:noFill/>
          </a:ln>
        </c:spPr>
        <c:crossAx val="264981504"/>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a:t>Average Revenue</a:t>
            </a:r>
            <a:r>
              <a:rPr lang="en-US" sz="1400" baseline="0"/>
              <a:t> Requirement Comparison</a:t>
            </a:r>
          </a:p>
          <a:p>
            <a:pPr>
              <a:defRPr sz="1400"/>
            </a:pPr>
            <a:r>
              <a:rPr lang="en-US" sz="1100" baseline="0"/>
              <a:t>($000s)</a:t>
            </a:r>
            <a:endParaRPr lang="en-US" sz="1400"/>
          </a:p>
        </c:rich>
      </c:tx>
      <c:overlay val="0"/>
    </c:title>
    <c:autoTitleDeleted val="0"/>
    <c:plotArea>
      <c:layout/>
      <c:lineChart>
        <c:grouping val="standard"/>
        <c:varyColors val="0"/>
        <c:ser>
          <c:idx val="0"/>
          <c:order val="0"/>
          <c:tx>
            <c:strRef>
              <c:f>Graphs!$A$34</c:f>
              <c:strCache>
                <c:ptCount val="1"/>
                <c:pt idx="0">
                  <c:v>0</c:v>
                </c:pt>
              </c:strCache>
            </c:strRef>
          </c:tx>
          <c:marker>
            <c:symbol val="none"/>
          </c:marker>
          <c:cat>
            <c:strRef>
              <c:f>Graphs!$B$33:$H$33</c:f>
              <c:strCache>
                <c:ptCount val="6"/>
                <c:pt idx="0">
                  <c:v>20/21</c:v>
                </c:pt>
                <c:pt idx="1">
                  <c:v>22/23</c:v>
                </c:pt>
                <c:pt idx="2">
                  <c:v>24/25</c:v>
                </c:pt>
                <c:pt idx="3">
                  <c:v>26/27/28</c:v>
                </c:pt>
                <c:pt idx="4">
                  <c:v>29/30</c:v>
                </c:pt>
                <c:pt idx="5">
                  <c:v>31/32</c:v>
                </c:pt>
              </c:strCache>
            </c:strRef>
          </c:cat>
          <c:val>
            <c:numRef>
              <c:f>Graphs!$B$34:$H$34</c:f>
              <c:numCache>
                <c:formatCode>_(* #,##0_);_(* \(#,##0\);_(* "-"??_);_(@_)</c:formatCode>
                <c:ptCount val="7"/>
              </c:numCache>
            </c:numRef>
          </c:val>
          <c:smooth val="0"/>
          <c:extLst>
            <c:ext xmlns:c16="http://schemas.microsoft.com/office/drawing/2014/chart" uri="{C3380CC4-5D6E-409C-BE32-E72D297353CC}">
              <c16:uniqueId val="{00000000-8426-4DB3-AED8-DC82475A0C76}"/>
            </c:ext>
          </c:extLst>
        </c:ser>
        <c:ser>
          <c:idx val="1"/>
          <c:order val="1"/>
          <c:tx>
            <c:strRef>
              <c:f>Graphs!$A$35</c:f>
              <c:strCache>
                <c:ptCount val="1"/>
                <c:pt idx="0">
                  <c:v>0</c:v>
                </c:pt>
              </c:strCache>
            </c:strRef>
          </c:tx>
          <c:marker>
            <c:symbol val="none"/>
          </c:marker>
          <c:cat>
            <c:strRef>
              <c:f>Graphs!$B$33:$H$33</c:f>
              <c:strCache>
                <c:ptCount val="6"/>
                <c:pt idx="0">
                  <c:v>20/21</c:v>
                </c:pt>
                <c:pt idx="1">
                  <c:v>22/23</c:v>
                </c:pt>
                <c:pt idx="2">
                  <c:v>24/25</c:v>
                </c:pt>
                <c:pt idx="3">
                  <c:v>26/27/28</c:v>
                </c:pt>
                <c:pt idx="4">
                  <c:v>29/30</c:v>
                </c:pt>
                <c:pt idx="5">
                  <c:v>31/32</c:v>
                </c:pt>
              </c:strCache>
            </c:strRef>
          </c:cat>
          <c:val>
            <c:numRef>
              <c:f>Graphs!$B$35:$H$35</c:f>
              <c:numCache>
                <c:formatCode>_(* #,##0_);_(* \(#,##0\);_(* "-"??_);_(@_)</c:formatCode>
                <c:ptCount val="7"/>
              </c:numCache>
            </c:numRef>
          </c:val>
          <c:smooth val="0"/>
          <c:extLst>
            <c:ext xmlns:c16="http://schemas.microsoft.com/office/drawing/2014/chart" uri="{C3380CC4-5D6E-409C-BE32-E72D297353CC}">
              <c16:uniqueId val="{00000001-8426-4DB3-AED8-DC82475A0C76}"/>
            </c:ext>
          </c:extLst>
        </c:ser>
        <c:dLbls>
          <c:showLegendKey val="0"/>
          <c:showVal val="0"/>
          <c:showCatName val="0"/>
          <c:showSerName val="0"/>
          <c:showPercent val="0"/>
          <c:showBubbleSize val="0"/>
        </c:dLbls>
        <c:smooth val="0"/>
        <c:axId val="265016832"/>
        <c:axId val="265018368"/>
      </c:lineChart>
      <c:catAx>
        <c:axId val="265016832"/>
        <c:scaling>
          <c:orientation val="minMax"/>
        </c:scaling>
        <c:delete val="0"/>
        <c:axPos val="b"/>
        <c:numFmt formatCode="General" sourceLinked="1"/>
        <c:majorTickMark val="none"/>
        <c:minorTickMark val="none"/>
        <c:tickLblPos val="nextTo"/>
        <c:crossAx val="265018368"/>
        <c:crosses val="autoZero"/>
        <c:auto val="1"/>
        <c:lblAlgn val="ctr"/>
        <c:lblOffset val="100"/>
        <c:noMultiLvlLbl val="0"/>
      </c:catAx>
      <c:valAx>
        <c:axId val="265018368"/>
        <c:scaling>
          <c:orientation val="minMax"/>
          <c:max val="1900000"/>
          <c:min val="1000000"/>
        </c:scaling>
        <c:delete val="0"/>
        <c:axPos val="l"/>
        <c:majorGridlines/>
        <c:numFmt formatCode="_(* #,##0_);_(* \(#,##0\);_(* &quot;-&quot;??_);_(@_)" sourceLinked="1"/>
        <c:majorTickMark val="none"/>
        <c:minorTickMark val="none"/>
        <c:tickLblPos val="nextTo"/>
        <c:spPr>
          <a:ln w="9525">
            <a:noFill/>
          </a:ln>
        </c:spPr>
        <c:crossAx val="265016832"/>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400"/>
            </a:pPr>
            <a:r>
              <a:rPr lang="en-US" sz="1400" baseline="0"/>
              <a:t>Average Capital Related Cost Comparison</a:t>
            </a:r>
          </a:p>
          <a:p>
            <a:pPr>
              <a:defRPr sz="1400"/>
            </a:pPr>
            <a:r>
              <a:rPr lang="en-US" sz="1100" baseline="0"/>
              <a:t>($000s)</a:t>
            </a:r>
            <a:endParaRPr lang="en-US" sz="1100"/>
          </a:p>
        </c:rich>
      </c:tx>
      <c:overlay val="0"/>
    </c:title>
    <c:autoTitleDeleted val="0"/>
    <c:plotArea>
      <c:layout/>
      <c:lineChart>
        <c:grouping val="standard"/>
        <c:varyColors val="0"/>
        <c:ser>
          <c:idx val="0"/>
          <c:order val="0"/>
          <c:tx>
            <c:strRef>
              <c:f>Graphs!$A$39</c:f>
              <c:strCache>
                <c:ptCount val="1"/>
                <c:pt idx="0">
                  <c:v>0</c:v>
                </c:pt>
              </c:strCache>
            </c:strRef>
          </c:tx>
          <c:marker>
            <c:symbol val="none"/>
          </c:marker>
          <c:cat>
            <c:strRef>
              <c:f>Graphs!$B$38:$H$38</c:f>
              <c:strCache>
                <c:ptCount val="6"/>
                <c:pt idx="0">
                  <c:v>20/21</c:v>
                </c:pt>
                <c:pt idx="1">
                  <c:v>22/23</c:v>
                </c:pt>
                <c:pt idx="2">
                  <c:v>24/25</c:v>
                </c:pt>
                <c:pt idx="3">
                  <c:v>26/27/28</c:v>
                </c:pt>
                <c:pt idx="4">
                  <c:v>29/30</c:v>
                </c:pt>
                <c:pt idx="5">
                  <c:v>31/32</c:v>
                </c:pt>
              </c:strCache>
            </c:strRef>
          </c:cat>
          <c:val>
            <c:numRef>
              <c:f>Graphs!$B$39:$H$39</c:f>
              <c:numCache>
                <c:formatCode>_(* #,##0_);_(* \(#,##0\);_(* "-"??_);_(@_)</c:formatCode>
                <c:ptCount val="7"/>
              </c:numCache>
            </c:numRef>
          </c:val>
          <c:smooth val="0"/>
          <c:extLst>
            <c:ext xmlns:c16="http://schemas.microsoft.com/office/drawing/2014/chart" uri="{C3380CC4-5D6E-409C-BE32-E72D297353CC}">
              <c16:uniqueId val="{00000000-CD10-4186-AA4F-F9CCE8909A02}"/>
            </c:ext>
          </c:extLst>
        </c:ser>
        <c:ser>
          <c:idx val="1"/>
          <c:order val="1"/>
          <c:tx>
            <c:strRef>
              <c:f>Graphs!$A$40</c:f>
              <c:strCache>
                <c:ptCount val="1"/>
                <c:pt idx="0">
                  <c:v>0</c:v>
                </c:pt>
              </c:strCache>
            </c:strRef>
          </c:tx>
          <c:marker>
            <c:symbol val="none"/>
          </c:marker>
          <c:cat>
            <c:strRef>
              <c:f>Graphs!$B$38:$H$38</c:f>
              <c:strCache>
                <c:ptCount val="6"/>
                <c:pt idx="0">
                  <c:v>20/21</c:v>
                </c:pt>
                <c:pt idx="1">
                  <c:v>22/23</c:v>
                </c:pt>
                <c:pt idx="2">
                  <c:v>24/25</c:v>
                </c:pt>
                <c:pt idx="3">
                  <c:v>26/27/28</c:v>
                </c:pt>
                <c:pt idx="4">
                  <c:v>29/30</c:v>
                </c:pt>
                <c:pt idx="5">
                  <c:v>31/32</c:v>
                </c:pt>
              </c:strCache>
            </c:strRef>
          </c:cat>
          <c:val>
            <c:numRef>
              <c:f>Graphs!$B$40:$H$40</c:f>
              <c:numCache>
                <c:formatCode>_(* #,##0_);_(* \(#,##0\);_(* "-"??_);_(@_)</c:formatCode>
                <c:ptCount val="7"/>
              </c:numCache>
            </c:numRef>
          </c:val>
          <c:smooth val="0"/>
          <c:extLst>
            <c:ext xmlns:c16="http://schemas.microsoft.com/office/drawing/2014/chart" uri="{C3380CC4-5D6E-409C-BE32-E72D297353CC}">
              <c16:uniqueId val="{00000001-CD10-4186-AA4F-F9CCE8909A02}"/>
            </c:ext>
          </c:extLst>
        </c:ser>
        <c:dLbls>
          <c:showLegendKey val="0"/>
          <c:showVal val="0"/>
          <c:showCatName val="0"/>
          <c:showSerName val="0"/>
          <c:showPercent val="0"/>
          <c:showBubbleSize val="0"/>
        </c:dLbls>
        <c:smooth val="0"/>
        <c:axId val="265056256"/>
        <c:axId val="265057792"/>
      </c:lineChart>
      <c:catAx>
        <c:axId val="265056256"/>
        <c:scaling>
          <c:orientation val="minMax"/>
        </c:scaling>
        <c:delete val="0"/>
        <c:axPos val="b"/>
        <c:numFmt formatCode="General" sourceLinked="1"/>
        <c:majorTickMark val="none"/>
        <c:minorTickMark val="none"/>
        <c:tickLblPos val="nextTo"/>
        <c:crossAx val="265057792"/>
        <c:crosses val="autoZero"/>
        <c:auto val="1"/>
        <c:lblAlgn val="ctr"/>
        <c:lblOffset val="100"/>
        <c:noMultiLvlLbl val="0"/>
      </c:catAx>
      <c:valAx>
        <c:axId val="265057792"/>
        <c:scaling>
          <c:orientation val="minMax"/>
          <c:min val="400000"/>
        </c:scaling>
        <c:delete val="0"/>
        <c:axPos val="l"/>
        <c:majorGridlines/>
        <c:numFmt formatCode="_(* #,##0_);_(* \(#,##0\);_(* &quot;-&quot;??_);_(@_)" sourceLinked="1"/>
        <c:majorTickMark val="none"/>
        <c:minorTickMark val="none"/>
        <c:tickLblPos val="nextTo"/>
        <c:spPr>
          <a:ln w="9525">
            <a:noFill/>
          </a:ln>
        </c:spPr>
        <c:crossAx val="265056256"/>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BP-18 Final Proposal Capital Related Costs</a:t>
            </a:r>
          </a:p>
          <a:p>
            <a:pPr>
              <a:defRPr/>
            </a:pPr>
            <a:r>
              <a:rPr lang="en-US" sz="1100"/>
              <a:t>($000s)</a:t>
            </a:r>
          </a:p>
        </c:rich>
      </c:tx>
      <c:overlay val="0"/>
    </c:title>
    <c:autoTitleDeleted val="0"/>
    <c:plotArea>
      <c:layout/>
      <c:barChart>
        <c:barDir val="col"/>
        <c:grouping val="stacked"/>
        <c:varyColors val="0"/>
        <c:ser>
          <c:idx val="0"/>
          <c:order val="0"/>
          <c:tx>
            <c:strRef>
              <c:f>Graphs!$A$45</c:f>
              <c:strCache>
                <c:ptCount val="1"/>
                <c:pt idx="0">
                  <c:v>Depreciation &amp; Amortization</c:v>
                </c:pt>
              </c:strCache>
            </c:strRef>
          </c:tx>
          <c:invertIfNegative val="0"/>
          <c:dLbls>
            <c:dLbl>
              <c:idx val="0"/>
              <c:tx>
                <c:strRef>
                  <c:f>Graphs!$B$58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{E270DDBC-0B10-477B-98B3-58559965223A}</c15:txfldGUID>
                      <c15:f>Graphs!$B$58</c15:f>
                      <c15:dlblFieldTableCache>
                        <c:ptCount val="1"/>
                        <c:pt idx="0">
                          <c:v>#DIV/0!</c:v>
                        </c:pt>
                      </c15:dlblFieldTableCache>
                    </c15:dlblFTEntry>
                  </c15:dlblFieldTable>
                  <c15:showDataLabelsRange val="0"/>
                </c:ext>
                <c:ext xmlns:c16="http://schemas.microsoft.com/office/drawing/2014/chart" uri="{C3380CC4-5D6E-409C-BE32-E72D297353CC}">
                  <c16:uniqueId val="{00000000-82EF-4992-93E5-1823197E82B0}"/>
                </c:ext>
              </c:extLst>
            </c:dLbl>
            <c:dLbl>
              <c:idx val="1"/>
              <c:tx>
                <c:strRef>
                  <c:f>Graphs!$C$58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{E9BFF0C9-0E3B-442B-93CD-6E66590D3B3D}</c15:txfldGUID>
                      <c15:f>Graphs!$C$58</c15:f>
                      <c15:dlblFieldTableCache>
                        <c:ptCount val="1"/>
                        <c:pt idx="0">
                          <c:v>#DIV/0!</c:v>
                        </c:pt>
                      </c15:dlblFieldTableCache>
                    </c15:dlblFTEntry>
                  </c15:dlblFieldTable>
                  <c15:showDataLabelsRange val="0"/>
                </c:ext>
                <c:ext xmlns:c16="http://schemas.microsoft.com/office/drawing/2014/chart" uri="{C3380CC4-5D6E-409C-BE32-E72D297353CC}">
                  <c16:uniqueId val="{00000001-82EF-4992-93E5-1823197E82B0}"/>
                </c:ext>
              </c:extLst>
            </c:dLbl>
            <c:dLbl>
              <c:idx val="2"/>
              <c:tx>
                <c:strRef>
                  <c:f>Graphs!$D$58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{A6BFCD86-D01B-4088-BF46-4DC302A1A828}</c15:txfldGUID>
                      <c15:f>Graphs!$D$58</c15:f>
                      <c15:dlblFieldTableCache>
                        <c:ptCount val="1"/>
                        <c:pt idx="0">
                          <c:v>#DIV/0!</c:v>
                        </c:pt>
                      </c15:dlblFieldTableCache>
                    </c15:dlblFTEntry>
                  </c15:dlblFieldTable>
                  <c15:showDataLabelsRange val="0"/>
                </c:ext>
                <c:ext xmlns:c16="http://schemas.microsoft.com/office/drawing/2014/chart" uri="{C3380CC4-5D6E-409C-BE32-E72D297353CC}">
                  <c16:uniqueId val="{00000002-82EF-4992-93E5-1823197E82B0}"/>
                </c:ext>
              </c:extLst>
            </c:dLbl>
            <c:dLbl>
              <c:idx val="3"/>
              <c:tx>
                <c:strRef>
                  <c:f>Graphs!$E$58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{85C74C84-6271-4EA6-8177-87EDBA24250C}</c15:txfldGUID>
                      <c15:f>Graphs!$E$58</c15:f>
                      <c15:dlblFieldTableCache>
                        <c:ptCount val="1"/>
                        <c:pt idx="0">
                          <c:v>#DIV/0!</c:v>
                        </c:pt>
                      </c15:dlblFieldTableCache>
                    </c15:dlblFTEntry>
                  </c15:dlblFieldTable>
                  <c15:showDataLabelsRange val="0"/>
                </c:ext>
                <c:ext xmlns:c16="http://schemas.microsoft.com/office/drawing/2014/chart" uri="{C3380CC4-5D6E-409C-BE32-E72D297353CC}">
                  <c16:uniqueId val="{00000003-82EF-4992-93E5-1823197E82B0}"/>
                </c:ext>
              </c:extLst>
            </c:dLbl>
            <c:dLbl>
              <c:idx val="4"/>
              <c:tx>
                <c:strRef>
                  <c:f>Graphs!$F$58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{C98413F1-0D01-47F9-A5EC-9AC8139A4928}</c15:txfldGUID>
                      <c15:f>Graphs!$F$58</c15:f>
                      <c15:dlblFieldTableCache>
                        <c:ptCount val="1"/>
                        <c:pt idx="0">
                          <c:v>#DIV/0!</c:v>
                        </c:pt>
                      </c15:dlblFieldTableCache>
                    </c15:dlblFTEntry>
                  </c15:dlblFieldTable>
                  <c15:showDataLabelsRange val="0"/>
                </c:ext>
                <c:ext xmlns:c16="http://schemas.microsoft.com/office/drawing/2014/chart" uri="{C3380CC4-5D6E-409C-BE32-E72D297353CC}">
                  <c16:uniqueId val="{00000004-82EF-4992-93E5-1823197E82B0}"/>
                </c:ext>
              </c:extLst>
            </c:dLbl>
            <c:dLbl>
              <c:idx val="5"/>
              <c:tx>
                <c:strRef>
                  <c:f>Graphs!$G$58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{6BECE84E-41C8-4B16-ACAD-26FF6ECEFC3D}</c15:txfldGUID>
                      <c15:f>Graphs!$G$58</c15:f>
                      <c15:dlblFieldTableCache>
                        <c:ptCount val="1"/>
                        <c:pt idx="0">
                          <c:v>#DIV/0!</c:v>
                        </c:pt>
                      </c15:dlblFieldTableCache>
                    </c15:dlblFTEntry>
                  </c15:dlblFieldTable>
                  <c15:showDataLabelsRange val="0"/>
                </c:ext>
                <c:ext xmlns:c16="http://schemas.microsoft.com/office/drawing/2014/chart" uri="{C3380CC4-5D6E-409C-BE32-E72D297353CC}">
                  <c16:uniqueId val="{00000005-82EF-4992-93E5-1823197E82B0}"/>
                </c:ext>
              </c:extLst>
            </c:dLbl>
            <c:dLbl>
              <c:idx val="6"/>
              <c:tx>
                <c:strRef>
                  <c:f>Graphs!$H$58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{C4EDB5FB-5CCC-4D9B-A96B-0DF2FAE7C80A}</c15:txfldGUID>
                      <c15:f>Graphs!$H$58</c15:f>
                      <c15:dlblFieldTableCache>
                        <c:ptCount val="1"/>
                        <c:pt idx="0">
                          <c:v>#DIV/0!</c:v>
                        </c:pt>
                      </c15:dlblFieldTableCache>
                    </c15:dlblFTEntry>
                  </c15:dlblFieldTable>
                  <c15:showDataLabelsRange val="0"/>
                </c:ext>
                <c:ext xmlns:c16="http://schemas.microsoft.com/office/drawing/2014/chart" uri="{C3380CC4-5D6E-409C-BE32-E72D297353CC}">
                  <c16:uniqueId val="{00000006-82EF-4992-93E5-1823197E82B0}"/>
                </c:ext>
              </c:extLst>
            </c:dLbl>
            <c:dLbl>
              <c:idx val="7"/>
              <c:tx>
                <c:strRef>
                  <c:f>Graphs!$I$58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{F308ED34-DE15-437F-B491-B26716C5906A}</c15:txfldGUID>
                      <c15:f>Graphs!$I$58</c15:f>
                      <c15:dlblFieldTableCache>
                        <c:ptCount val="1"/>
                        <c:pt idx="0">
                          <c:v>#DIV/0!</c:v>
                        </c:pt>
                      </c15:dlblFieldTableCache>
                    </c15:dlblFTEntry>
                  </c15:dlblFieldTable>
                  <c15:showDataLabelsRange val="0"/>
                </c:ext>
                <c:ext xmlns:c16="http://schemas.microsoft.com/office/drawing/2014/chart" uri="{C3380CC4-5D6E-409C-BE32-E72D297353CC}">
                  <c16:uniqueId val="{00000007-82EF-4992-93E5-1823197E82B0}"/>
                </c:ext>
              </c:extLst>
            </c:dLbl>
            <c:dLbl>
              <c:idx val="8"/>
              <c:tx>
                <c:strRef>
                  <c:f>Graphs!$J$58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{2BCA14B9-730E-4183-970B-43A828FB7FB7}</c15:txfldGUID>
                      <c15:f>Graphs!$J$58</c15:f>
                      <c15:dlblFieldTableCache>
                        <c:ptCount val="1"/>
                        <c:pt idx="0">
                          <c:v>#DIV/0!</c:v>
                        </c:pt>
                      </c15:dlblFieldTableCache>
                    </c15:dlblFTEntry>
                  </c15:dlblFieldTable>
                  <c15:showDataLabelsRange val="0"/>
                </c:ext>
                <c:ext xmlns:c16="http://schemas.microsoft.com/office/drawing/2014/chart" uri="{C3380CC4-5D6E-409C-BE32-E72D297353CC}">
                  <c16:uniqueId val="{00000008-82EF-4992-93E5-1823197E82B0}"/>
                </c:ext>
              </c:extLst>
            </c:dLbl>
            <c:dLbl>
              <c:idx val="9"/>
              <c:tx>
                <c:strRef>
                  <c:f>Graphs!$K$58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{BBC54F2B-5AC0-4109-A5EA-E294FC4FB7D5}</c15:txfldGUID>
                      <c15:f>Graphs!$K$58</c15:f>
                      <c15:dlblFieldTableCache>
                        <c:ptCount val="1"/>
                        <c:pt idx="0">
                          <c:v>#DIV/0!</c:v>
                        </c:pt>
                      </c15:dlblFieldTableCache>
                    </c15:dlblFTEntry>
                  </c15:dlblFieldTable>
                  <c15:showDataLabelsRange val="0"/>
                </c:ext>
                <c:ext xmlns:c16="http://schemas.microsoft.com/office/drawing/2014/chart" uri="{C3380CC4-5D6E-409C-BE32-E72D297353CC}">
                  <c16:uniqueId val="{00000009-82EF-4992-93E5-1823197E82B0}"/>
                </c:ext>
              </c:extLst>
            </c:dLbl>
            <c:dLbl>
              <c:idx val="10"/>
              <c:tx>
                <c:strRef>
                  <c:f>Graphs!$L$58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{1E19CD02-A7CE-4AFE-BC81-B48D58F4369E}</c15:txfldGUID>
                      <c15:f>Graphs!$L$58</c15:f>
                      <c15:dlblFieldTableCache>
                        <c:ptCount val="1"/>
                        <c:pt idx="0">
                          <c:v>#DIV/0!</c:v>
                        </c:pt>
                      </c15:dlblFieldTableCache>
                    </c15:dlblFTEntry>
                  </c15:dlblFieldTable>
                  <c15:showDataLabelsRange val="0"/>
                </c:ext>
                <c:ext xmlns:c16="http://schemas.microsoft.com/office/drawing/2014/chart" uri="{C3380CC4-5D6E-409C-BE32-E72D297353CC}">
                  <c16:uniqueId val="{0000000A-82EF-4992-93E5-1823197E82B0}"/>
                </c:ext>
              </c:extLst>
            </c:dLbl>
            <c:dLbl>
              <c:idx val="11"/>
              <c:tx>
                <c:strRef>
                  <c:f>Graphs!$M$58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{A636276B-1D06-4290-A597-E3CFD88DA326}</c15:txfldGUID>
                      <c15:f>Graphs!$M$58</c15:f>
                      <c15:dlblFieldTableCache>
                        <c:ptCount val="1"/>
                        <c:pt idx="0">
                          <c:v>#DIV/0!</c:v>
                        </c:pt>
                      </c15:dlblFieldTableCache>
                    </c15:dlblFTEntry>
                  </c15:dlblFieldTable>
                  <c15:showDataLabelsRange val="0"/>
                </c:ext>
                <c:ext xmlns:c16="http://schemas.microsoft.com/office/drawing/2014/chart" uri="{C3380CC4-5D6E-409C-BE32-E72D297353CC}">
                  <c16:uniqueId val="{0000000B-82EF-4992-93E5-1823197E82B0}"/>
                </c:ext>
              </c:extLst>
            </c:dLbl>
            <c:dLbl>
              <c:idx val="12"/>
              <c:tx>
                <c:strRef>
                  <c:f>Graphs!$N$58</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{C5B11D3D-4C69-48E3-8C16-CB82652F96F2}</c15:txfldGUID>
                      <c15:f>Graphs!$N$58</c15:f>
                      <c15:dlblFieldTableCache>
                        <c:ptCount val="1"/>
                        <c:pt idx="0">
                          <c:v>#DIV/0!</c:v>
                        </c:pt>
                      </c15:dlblFieldTableCache>
                    </c15:dlblFTEntry>
                  </c15:dlblFieldTable>
                  <c15:showDataLabelsRange val="0"/>
                </c:ext>
                <c:ext xmlns:c16="http://schemas.microsoft.com/office/drawing/2014/chart" uri="{C3380CC4-5D6E-409C-BE32-E72D297353CC}">
                  <c16:uniqueId val="{0000000C-82EF-4992-93E5-1823197E82B0}"/>
                </c:ext>
              </c:extLst>
            </c:dLbl>
            <c:dLbl>
              <c:idx val="13"/>
              <c:tx>
                <c:strRef>
                  <c:f>Graphs!$O$58</c:f>
                  <c:strCache>
                    <c:ptCount val="1"/>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{3A3EEA14-C58B-4493-8393-8D62360F9E76}</c15:txfldGUID>
                      <c15:f>Graphs!$O$58</c15:f>
                      <c15:dlblFieldTableCache>
                        <c:ptCount val="1"/>
                      </c15:dlblFieldTableCache>
                    </c15:dlblFTEntry>
                  </c15:dlblFieldTable>
                  <c15:showDataLabelsRange val="0"/>
                </c:ext>
                <c:ext xmlns:c16="http://schemas.microsoft.com/office/drawing/2014/chart" uri="{C3380CC4-5D6E-409C-BE32-E72D297353CC}">
                  <c16:uniqueId val="{0000000D-82EF-4992-93E5-1823197E82B0}"/>
                </c:ext>
              </c:extLst>
            </c:dLbl>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Graphs!$B$44:$O$44</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Graphs!$B$45:$O$45</c:f>
              <c:numCache>
                <c:formatCode>_(* #,##0_);_(* \(#,##0\);_(* "-"??_);_(@_)</c:formatCode>
                <c:ptCount val="14"/>
              </c:numCache>
            </c:numRef>
          </c:val>
          <c:extLst>
            <c:ext xmlns:c16="http://schemas.microsoft.com/office/drawing/2014/chart" uri="{C3380CC4-5D6E-409C-BE32-E72D297353CC}">
              <c16:uniqueId val="{0000000E-82EF-4992-93E5-1823197E82B0}"/>
            </c:ext>
          </c:extLst>
        </c:ser>
        <c:ser>
          <c:idx val="1"/>
          <c:order val="1"/>
          <c:tx>
            <c:strRef>
              <c:f>Graphs!$A$46</c:f>
              <c:strCache>
                <c:ptCount val="1"/>
                <c:pt idx="0">
                  <c:v>Net Interest Expense</c:v>
                </c:pt>
              </c:strCache>
            </c:strRef>
          </c:tx>
          <c:invertIfNegative val="0"/>
          <c:dLbls>
            <c:dLbl>
              <c:idx val="0"/>
              <c:tx>
                <c:strRef>
                  <c:f>Graphs!$B$59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{4EF86E11-A919-4AD8-86E6-75ABD172BD44}</c15:txfldGUID>
                      <c15:f>Graphs!$B$59</c15:f>
                      <c15:dlblFieldTableCache>
                        <c:ptCount val="1"/>
                        <c:pt idx="0">
                          <c:v>#DIV/0!</c:v>
                        </c:pt>
                      </c15:dlblFieldTableCache>
                    </c15:dlblFTEntry>
                  </c15:dlblFieldTable>
                  <c15:showDataLabelsRange val="0"/>
                </c:ext>
                <c:ext xmlns:c16="http://schemas.microsoft.com/office/drawing/2014/chart" uri="{C3380CC4-5D6E-409C-BE32-E72D297353CC}">
                  <c16:uniqueId val="{0000000F-82EF-4992-93E5-1823197E82B0}"/>
                </c:ext>
              </c:extLst>
            </c:dLbl>
            <c:dLbl>
              <c:idx val="1"/>
              <c:tx>
                <c:strRef>
                  <c:f>Graphs!$C$59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{D9F1FB03-B490-45F0-8D62-159FD95FD0C7}</c15:txfldGUID>
                      <c15:f>Graphs!$C$59</c15:f>
                      <c15:dlblFieldTableCache>
                        <c:ptCount val="1"/>
                        <c:pt idx="0">
                          <c:v>#DIV/0!</c:v>
                        </c:pt>
                      </c15:dlblFieldTableCache>
                    </c15:dlblFTEntry>
                  </c15:dlblFieldTable>
                  <c15:showDataLabelsRange val="0"/>
                </c:ext>
                <c:ext xmlns:c16="http://schemas.microsoft.com/office/drawing/2014/chart" uri="{C3380CC4-5D6E-409C-BE32-E72D297353CC}">
                  <c16:uniqueId val="{00000010-82EF-4992-93E5-1823197E82B0}"/>
                </c:ext>
              </c:extLst>
            </c:dLbl>
            <c:dLbl>
              <c:idx val="2"/>
              <c:tx>
                <c:strRef>
                  <c:f>Graphs!$D$59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{78224E05-E0B8-4E9F-ACDF-AD95ABA65EA6}</c15:txfldGUID>
                      <c15:f>Graphs!$D$59</c15:f>
                      <c15:dlblFieldTableCache>
                        <c:ptCount val="1"/>
                        <c:pt idx="0">
                          <c:v>#DIV/0!</c:v>
                        </c:pt>
                      </c15:dlblFieldTableCache>
                    </c15:dlblFTEntry>
                  </c15:dlblFieldTable>
                  <c15:showDataLabelsRange val="0"/>
                </c:ext>
                <c:ext xmlns:c16="http://schemas.microsoft.com/office/drawing/2014/chart" uri="{C3380CC4-5D6E-409C-BE32-E72D297353CC}">
                  <c16:uniqueId val="{00000011-82EF-4992-93E5-1823197E82B0}"/>
                </c:ext>
              </c:extLst>
            </c:dLbl>
            <c:dLbl>
              <c:idx val="3"/>
              <c:tx>
                <c:strRef>
                  <c:f>Graphs!$E$59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{A0A45F6F-93C4-43E8-914B-70425F4EC82C}</c15:txfldGUID>
                      <c15:f>Graphs!$E$59</c15:f>
                      <c15:dlblFieldTableCache>
                        <c:ptCount val="1"/>
                        <c:pt idx="0">
                          <c:v>#DIV/0!</c:v>
                        </c:pt>
                      </c15:dlblFieldTableCache>
                    </c15:dlblFTEntry>
                  </c15:dlblFieldTable>
                  <c15:showDataLabelsRange val="0"/>
                </c:ext>
                <c:ext xmlns:c16="http://schemas.microsoft.com/office/drawing/2014/chart" uri="{C3380CC4-5D6E-409C-BE32-E72D297353CC}">
                  <c16:uniqueId val="{00000012-82EF-4992-93E5-1823197E82B0}"/>
                </c:ext>
              </c:extLst>
            </c:dLbl>
            <c:dLbl>
              <c:idx val="4"/>
              <c:tx>
                <c:strRef>
                  <c:f>Graphs!$F$59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{AB8AF18C-1998-4E68-B76F-BC2B7B595BBC}</c15:txfldGUID>
                      <c15:f>Graphs!$F$59</c15:f>
                      <c15:dlblFieldTableCache>
                        <c:ptCount val="1"/>
                        <c:pt idx="0">
                          <c:v>#DIV/0!</c:v>
                        </c:pt>
                      </c15:dlblFieldTableCache>
                    </c15:dlblFTEntry>
                  </c15:dlblFieldTable>
                  <c15:showDataLabelsRange val="0"/>
                </c:ext>
                <c:ext xmlns:c16="http://schemas.microsoft.com/office/drawing/2014/chart" uri="{C3380CC4-5D6E-409C-BE32-E72D297353CC}">
                  <c16:uniqueId val="{00000013-82EF-4992-93E5-1823197E82B0}"/>
                </c:ext>
              </c:extLst>
            </c:dLbl>
            <c:dLbl>
              <c:idx val="5"/>
              <c:tx>
                <c:strRef>
                  <c:f>Graphs!$G$59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{12E04303-AABF-46F2-B134-4A32F824BE4A}</c15:txfldGUID>
                      <c15:f>Graphs!$G$59</c15:f>
                      <c15:dlblFieldTableCache>
                        <c:ptCount val="1"/>
                        <c:pt idx="0">
                          <c:v>#DIV/0!</c:v>
                        </c:pt>
                      </c15:dlblFieldTableCache>
                    </c15:dlblFTEntry>
                  </c15:dlblFieldTable>
                  <c15:showDataLabelsRange val="0"/>
                </c:ext>
                <c:ext xmlns:c16="http://schemas.microsoft.com/office/drawing/2014/chart" uri="{C3380CC4-5D6E-409C-BE32-E72D297353CC}">
                  <c16:uniqueId val="{00000014-82EF-4992-93E5-1823197E82B0}"/>
                </c:ext>
              </c:extLst>
            </c:dLbl>
            <c:dLbl>
              <c:idx val="6"/>
              <c:tx>
                <c:strRef>
                  <c:f>Graphs!$H$59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{88F47A7F-1B9F-4DC8-98C5-6074BC679C77}</c15:txfldGUID>
                      <c15:f>Graphs!$H$59</c15:f>
                      <c15:dlblFieldTableCache>
                        <c:ptCount val="1"/>
                        <c:pt idx="0">
                          <c:v>#DIV/0!</c:v>
                        </c:pt>
                      </c15:dlblFieldTableCache>
                    </c15:dlblFTEntry>
                  </c15:dlblFieldTable>
                  <c15:showDataLabelsRange val="0"/>
                </c:ext>
                <c:ext xmlns:c16="http://schemas.microsoft.com/office/drawing/2014/chart" uri="{C3380CC4-5D6E-409C-BE32-E72D297353CC}">
                  <c16:uniqueId val="{00000015-82EF-4992-93E5-1823197E82B0}"/>
                </c:ext>
              </c:extLst>
            </c:dLbl>
            <c:dLbl>
              <c:idx val="7"/>
              <c:tx>
                <c:strRef>
                  <c:f>Graphs!$I$59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{41816012-292D-4BBA-B35F-9190FFF2B1C1}</c15:txfldGUID>
                      <c15:f>Graphs!$I$59</c15:f>
                      <c15:dlblFieldTableCache>
                        <c:ptCount val="1"/>
                        <c:pt idx="0">
                          <c:v>#DIV/0!</c:v>
                        </c:pt>
                      </c15:dlblFieldTableCache>
                    </c15:dlblFTEntry>
                  </c15:dlblFieldTable>
                  <c15:showDataLabelsRange val="0"/>
                </c:ext>
                <c:ext xmlns:c16="http://schemas.microsoft.com/office/drawing/2014/chart" uri="{C3380CC4-5D6E-409C-BE32-E72D297353CC}">
                  <c16:uniqueId val="{00000016-82EF-4992-93E5-1823197E82B0}"/>
                </c:ext>
              </c:extLst>
            </c:dLbl>
            <c:dLbl>
              <c:idx val="8"/>
              <c:tx>
                <c:strRef>
                  <c:f>Graphs!$J$59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{B1DD82C3-E78B-4E28-A315-752AD3A8213A}</c15:txfldGUID>
                      <c15:f>Graphs!$J$59</c15:f>
                      <c15:dlblFieldTableCache>
                        <c:ptCount val="1"/>
                        <c:pt idx="0">
                          <c:v>#DIV/0!</c:v>
                        </c:pt>
                      </c15:dlblFieldTableCache>
                    </c15:dlblFTEntry>
                  </c15:dlblFieldTable>
                  <c15:showDataLabelsRange val="0"/>
                </c:ext>
                <c:ext xmlns:c16="http://schemas.microsoft.com/office/drawing/2014/chart" uri="{C3380CC4-5D6E-409C-BE32-E72D297353CC}">
                  <c16:uniqueId val="{00000017-82EF-4992-93E5-1823197E82B0}"/>
                </c:ext>
              </c:extLst>
            </c:dLbl>
            <c:dLbl>
              <c:idx val="9"/>
              <c:tx>
                <c:strRef>
                  <c:f>Graphs!$K$59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{692A21A5-EA28-4043-87A7-36F1571D83A0}</c15:txfldGUID>
                      <c15:f>Graphs!$K$59</c15:f>
                      <c15:dlblFieldTableCache>
                        <c:ptCount val="1"/>
                        <c:pt idx="0">
                          <c:v>#DIV/0!</c:v>
                        </c:pt>
                      </c15:dlblFieldTableCache>
                    </c15:dlblFTEntry>
                  </c15:dlblFieldTable>
                  <c15:showDataLabelsRange val="0"/>
                </c:ext>
                <c:ext xmlns:c16="http://schemas.microsoft.com/office/drawing/2014/chart" uri="{C3380CC4-5D6E-409C-BE32-E72D297353CC}">
                  <c16:uniqueId val="{00000018-82EF-4992-93E5-1823197E82B0}"/>
                </c:ext>
              </c:extLst>
            </c:dLbl>
            <c:dLbl>
              <c:idx val="10"/>
              <c:tx>
                <c:strRef>
                  <c:f>Graphs!$L$59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{A44BEF2E-955F-42CE-909A-374539B9C076}</c15:txfldGUID>
                      <c15:f>Graphs!$L$59</c15:f>
                      <c15:dlblFieldTableCache>
                        <c:ptCount val="1"/>
                        <c:pt idx="0">
                          <c:v>#DIV/0!</c:v>
                        </c:pt>
                      </c15:dlblFieldTableCache>
                    </c15:dlblFTEntry>
                  </c15:dlblFieldTable>
                  <c15:showDataLabelsRange val="0"/>
                </c:ext>
                <c:ext xmlns:c16="http://schemas.microsoft.com/office/drawing/2014/chart" uri="{C3380CC4-5D6E-409C-BE32-E72D297353CC}">
                  <c16:uniqueId val="{00000019-82EF-4992-93E5-1823197E82B0}"/>
                </c:ext>
              </c:extLst>
            </c:dLbl>
            <c:dLbl>
              <c:idx val="11"/>
              <c:tx>
                <c:strRef>
                  <c:f>Graphs!$M$59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{8D9758F4-E0AA-4E2D-9760-88A378F3400B}</c15:txfldGUID>
                      <c15:f>Graphs!$M$59</c15:f>
                      <c15:dlblFieldTableCache>
                        <c:ptCount val="1"/>
                        <c:pt idx="0">
                          <c:v>#DIV/0!</c:v>
                        </c:pt>
                      </c15:dlblFieldTableCache>
                    </c15:dlblFTEntry>
                  </c15:dlblFieldTable>
                  <c15:showDataLabelsRange val="0"/>
                </c:ext>
                <c:ext xmlns:c16="http://schemas.microsoft.com/office/drawing/2014/chart" uri="{C3380CC4-5D6E-409C-BE32-E72D297353CC}">
                  <c16:uniqueId val="{0000001A-82EF-4992-93E5-1823197E82B0}"/>
                </c:ext>
              </c:extLst>
            </c:dLbl>
            <c:dLbl>
              <c:idx val="12"/>
              <c:tx>
                <c:strRef>
                  <c:f>Graphs!$N$59</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{EE49E21F-85D1-4243-A14F-4EB870C3C654}</c15:txfldGUID>
                      <c15:f>Graphs!$N$59</c15:f>
                      <c15:dlblFieldTableCache>
                        <c:ptCount val="1"/>
                        <c:pt idx="0">
                          <c:v>#DIV/0!</c:v>
                        </c:pt>
                      </c15:dlblFieldTableCache>
                    </c15:dlblFTEntry>
                  </c15:dlblFieldTable>
                  <c15:showDataLabelsRange val="0"/>
                </c:ext>
                <c:ext xmlns:c16="http://schemas.microsoft.com/office/drawing/2014/chart" uri="{C3380CC4-5D6E-409C-BE32-E72D297353CC}">
                  <c16:uniqueId val="{0000001B-82EF-4992-93E5-1823197E82B0}"/>
                </c:ext>
              </c:extLst>
            </c:dLbl>
            <c:dLbl>
              <c:idx val="13"/>
              <c:tx>
                <c:strRef>
                  <c:f>Graphs!$O$59</c:f>
                  <c:strCache>
                    <c:ptCount val="1"/>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{6A71854D-B095-4E48-857C-6F506C1A289A}</c15:txfldGUID>
                      <c15:f>Graphs!$O$59</c15:f>
                      <c15:dlblFieldTableCache>
                        <c:ptCount val="1"/>
                      </c15:dlblFieldTableCache>
                    </c15:dlblFTEntry>
                  </c15:dlblFieldTable>
                  <c15:showDataLabelsRange val="0"/>
                </c:ext>
                <c:ext xmlns:c16="http://schemas.microsoft.com/office/drawing/2014/chart" uri="{C3380CC4-5D6E-409C-BE32-E72D297353CC}">
                  <c16:uniqueId val="{0000001C-82EF-4992-93E5-1823197E82B0}"/>
                </c:ext>
              </c:extLst>
            </c:dLbl>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Graphs!$B$44:$O$44</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Graphs!$B$46:$O$46</c:f>
              <c:numCache>
                <c:formatCode>_(* #,##0_);_(* \(#,##0\);_(* "-"??_);_(@_)</c:formatCode>
                <c:ptCount val="14"/>
              </c:numCache>
            </c:numRef>
          </c:val>
          <c:extLst>
            <c:ext xmlns:c16="http://schemas.microsoft.com/office/drawing/2014/chart" uri="{C3380CC4-5D6E-409C-BE32-E72D297353CC}">
              <c16:uniqueId val="{0000001D-82EF-4992-93E5-1823197E82B0}"/>
            </c:ext>
          </c:extLst>
        </c:ser>
        <c:ser>
          <c:idx val="2"/>
          <c:order val="2"/>
          <c:tx>
            <c:strRef>
              <c:f>Graphs!$A$47</c:f>
              <c:strCache>
                <c:ptCount val="1"/>
                <c:pt idx="0">
                  <c:v>Minimum Required Net Revenue (MRNR)</c:v>
                </c:pt>
              </c:strCache>
            </c:strRef>
          </c:tx>
          <c:invertIfNegative val="0"/>
          <c:dLbls>
            <c:dLbl>
              <c:idx val="0"/>
              <c:tx>
                <c:strRef>
                  <c:f>Graphs!$B$60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{E9A62FD2-6A59-4DE9-85E3-8075D96DF925}</c15:txfldGUID>
                      <c15:f>Graphs!$B$60</c15:f>
                      <c15:dlblFieldTableCache>
                        <c:ptCount val="1"/>
                        <c:pt idx="0">
                          <c:v>#DIV/0!</c:v>
                        </c:pt>
                      </c15:dlblFieldTableCache>
                    </c15:dlblFTEntry>
                  </c15:dlblFieldTable>
                  <c15:showDataLabelsRange val="0"/>
                </c:ext>
                <c:ext xmlns:c16="http://schemas.microsoft.com/office/drawing/2014/chart" uri="{C3380CC4-5D6E-409C-BE32-E72D297353CC}">
                  <c16:uniqueId val="{0000001E-82EF-4992-93E5-1823197E82B0}"/>
                </c:ext>
              </c:extLst>
            </c:dLbl>
            <c:dLbl>
              <c:idx val="1"/>
              <c:tx>
                <c:strRef>
                  <c:f>Graphs!$C$60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{78AF976E-FF3B-485F-97C2-401319BB21A2}</c15:txfldGUID>
                      <c15:f>Graphs!$C$60</c15:f>
                      <c15:dlblFieldTableCache>
                        <c:ptCount val="1"/>
                        <c:pt idx="0">
                          <c:v>#DIV/0!</c:v>
                        </c:pt>
                      </c15:dlblFieldTableCache>
                    </c15:dlblFTEntry>
                  </c15:dlblFieldTable>
                  <c15:showDataLabelsRange val="0"/>
                </c:ext>
                <c:ext xmlns:c16="http://schemas.microsoft.com/office/drawing/2014/chart" uri="{C3380CC4-5D6E-409C-BE32-E72D297353CC}">
                  <c16:uniqueId val="{0000001F-82EF-4992-93E5-1823197E82B0}"/>
                </c:ext>
              </c:extLst>
            </c:dLbl>
            <c:dLbl>
              <c:idx val="2"/>
              <c:tx>
                <c:strRef>
                  <c:f>Graphs!$D$60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{E38A582E-2874-4264-89D7-4D48364E775E}</c15:txfldGUID>
                      <c15:f>Graphs!$D$60</c15:f>
                      <c15:dlblFieldTableCache>
                        <c:ptCount val="1"/>
                        <c:pt idx="0">
                          <c:v>#DIV/0!</c:v>
                        </c:pt>
                      </c15:dlblFieldTableCache>
                    </c15:dlblFTEntry>
                  </c15:dlblFieldTable>
                  <c15:showDataLabelsRange val="0"/>
                </c:ext>
                <c:ext xmlns:c16="http://schemas.microsoft.com/office/drawing/2014/chart" uri="{C3380CC4-5D6E-409C-BE32-E72D297353CC}">
                  <c16:uniqueId val="{00000020-82EF-4992-93E5-1823197E82B0}"/>
                </c:ext>
              </c:extLst>
            </c:dLbl>
            <c:dLbl>
              <c:idx val="3"/>
              <c:tx>
                <c:strRef>
                  <c:f>Graphs!$E$60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{1CECA035-8EF1-4379-9365-5DC8521E0EE6}</c15:txfldGUID>
                      <c15:f>Graphs!$E$60</c15:f>
                      <c15:dlblFieldTableCache>
                        <c:ptCount val="1"/>
                        <c:pt idx="0">
                          <c:v>#DIV/0!</c:v>
                        </c:pt>
                      </c15:dlblFieldTableCache>
                    </c15:dlblFTEntry>
                  </c15:dlblFieldTable>
                  <c15:showDataLabelsRange val="0"/>
                </c:ext>
                <c:ext xmlns:c16="http://schemas.microsoft.com/office/drawing/2014/chart" uri="{C3380CC4-5D6E-409C-BE32-E72D297353CC}">
                  <c16:uniqueId val="{00000021-82EF-4992-93E5-1823197E82B0}"/>
                </c:ext>
              </c:extLst>
            </c:dLbl>
            <c:dLbl>
              <c:idx val="4"/>
              <c:tx>
                <c:strRef>
                  <c:f>Graphs!$F$60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{15A093B2-963A-49C6-B4BC-176652B2B428}</c15:txfldGUID>
                      <c15:f>Graphs!$F$60</c15:f>
                      <c15:dlblFieldTableCache>
                        <c:ptCount val="1"/>
                        <c:pt idx="0">
                          <c:v>#DIV/0!</c:v>
                        </c:pt>
                      </c15:dlblFieldTableCache>
                    </c15:dlblFTEntry>
                  </c15:dlblFieldTable>
                  <c15:showDataLabelsRange val="0"/>
                </c:ext>
                <c:ext xmlns:c16="http://schemas.microsoft.com/office/drawing/2014/chart" uri="{C3380CC4-5D6E-409C-BE32-E72D297353CC}">
                  <c16:uniqueId val="{00000022-82EF-4992-93E5-1823197E82B0}"/>
                </c:ext>
              </c:extLst>
            </c:dLbl>
            <c:dLbl>
              <c:idx val="5"/>
              <c:tx>
                <c:strRef>
                  <c:f>Graphs!$G$60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{6F221542-97FF-44D1-B523-4A6E2B5E1125}</c15:txfldGUID>
                      <c15:f>Graphs!$G$60</c15:f>
                      <c15:dlblFieldTableCache>
                        <c:ptCount val="1"/>
                        <c:pt idx="0">
                          <c:v>#DIV/0!</c:v>
                        </c:pt>
                      </c15:dlblFieldTableCache>
                    </c15:dlblFTEntry>
                  </c15:dlblFieldTable>
                  <c15:showDataLabelsRange val="0"/>
                </c:ext>
                <c:ext xmlns:c16="http://schemas.microsoft.com/office/drawing/2014/chart" uri="{C3380CC4-5D6E-409C-BE32-E72D297353CC}">
                  <c16:uniqueId val="{00000023-82EF-4992-93E5-1823197E82B0}"/>
                </c:ext>
              </c:extLst>
            </c:dLbl>
            <c:dLbl>
              <c:idx val="6"/>
              <c:tx>
                <c:strRef>
                  <c:f>Graphs!$H$60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{A04A8847-88E7-4A54-9494-2B25758BAFFE}</c15:txfldGUID>
                      <c15:f>Graphs!$H$60</c15:f>
                      <c15:dlblFieldTableCache>
                        <c:ptCount val="1"/>
                        <c:pt idx="0">
                          <c:v>#DIV/0!</c:v>
                        </c:pt>
                      </c15:dlblFieldTableCache>
                    </c15:dlblFTEntry>
                  </c15:dlblFieldTable>
                  <c15:showDataLabelsRange val="0"/>
                </c:ext>
                <c:ext xmlns:c16="http://schemas.microsoft.com/office/drawing/2014/chart" uri="{C3380CC4-5D6E-409C-BE32-E72D297353CC}">
                  <c16:uniqueId val="{00000024-82EF-4992-93E5-1823197E82B0}"/>
                </c:ext>
              </c:extLst>
            </c:dLbl>
            <c:dLbl>
              <c:idx val="7"/>
              <c:tx>
                <c:strRef>
                  <c:f>Graphs!$I$60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{9049B17E-B7E5-40C7-96C5-5833EBAA9C5E}</c15:txfldGUID>
                      <c15:f>Graphs!$I$60</c15:f>
                      <c15:dlblFieldTableCache>
                        <c:ptCount val="1"/>
                        <c:pt idx="0">
                          <c:v>#DIV/0!</c:v>
                        </c:pt>
                      </c15:dlblFieldTableCache>
                    </c15:dlblFTEntry>
                  </c15:dlblFieldTable>
                  <c15:showDataLabelsRange val="0"/>
                </c:ext>
                <c:ext xmlns:c16="http://schemas.microsoft.com/office/drawing/2014/chart" uri="{C3380CC4-5D6E-409C-BE32-E72D297353CC}">
                  <c16:uniqueId val="{00000025-82EF-4992-93E5-1823197E82B0}"/>
                </c:ext>
              </c:extLst>
            </c:dLbl>
            <c:dLbl>
              <c:idx val="8"/>
              <c:tx>
                <c:strRef>
                  <c:f>Graphs!$J$60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{65FD4396-1BE5-4FA2-B068-65A6BB3FCD05}</c15:txfldGUID>
                      <c15:f>Graphs!$J$60</c15:f>
                      <c15:dlblFieldTableCache>
                        <c:ptCount val="1"/>
                        <c:pt idx="0">
                          <c:v>#DIV/0!</c:v>
                        </c:pt>
                      </c15:dlblFieldTableCache>
                    </c15:dlblFTEntry>
                  </c15:dlblFieldTable>
                  <c15:showDataLabelsRange val="0"/>
                </c:ext>
                <c:ext xmlns:c16="http://schemas.microsoft.com/office/drawing/2014/chart" uri="{C3380CC4-5D6E-409C-BE32-E72D297353CC}">
                  <c16:uniqueId val="{00000026-82EF-4992-93E5-1823197E82B0}"/>
                </c:ext>
              </c:extLst>
            </c:dLbl>
            <c:dLbl>
              <c:idx val="9"/>
              <c:tx>
                <c:strRef>
                  <c:f>Graphs!$K$60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{E062110B-A422-40A9-8357-347F77B4AA87}</c15:txfldGUID>
                      <c15:f>Graphs!$K$60</c15:f>
                      <c15:dlblFieldTableCache>
                        <c:ptCount val="1"/>
                        <c:pt idx="0">
                          <c:v>#DIV/0!</c:v>
                        </c:pt>
                      </c15:dlblFieldTableCache>
                    </c15:dlblFTEntry>
                  </c15:dlblFieldTable>
                  <c15:showDataLabelsRange val="0"/>
                </c:ext>
                <c:ext xmlns:c16="http://schemas.microsoft.com/office/drawing/2014/chart" uri="{C3380CC4-5D6E-409C-BE32-E72D297353CC}">
                  <c16:uniqueId val="{00000027-82EF-4992-93E5-1823197E82B0}"/>
                </c:ext>
              </c:extLst>
            </c:dLbl>
            <c:dLbl>
              <c:idx val="10"/>
              <c:tx>
                <c:strRef>
                  <c:f>Graphs!$L$60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{6184E901-3CBD-4540-AEBB-2AC01A6C7D7A}</c15:txfldGUID>
                      <c15:f>Graphs!$L$60</c15:f>
                      <c15:dlblFieldTableCache>
                        <c:ptCount val="1"/>
                        <c:pt idx="0">
                          <c:v>#DIV/0!</c:v>
                        </c:pt>
                      </c15:dlblFieldTableCache>
                    </c15:dlblFTEntry>
                  </c15:dlblFieldTable>
                  <c15:showDataLabelsRange val="0"/>
                </c:ext>
                <c:ext xmlns:c16="http://schemas.microsoft.com/office/drawing/2014/chart" uri="{C3380CC4-5D6E-409C-BE32-E72D297353CC}">
                  <c16:uniqueId val="{00000028-82EF-4992-93E5-1823197E82B0}"/>
                </c:ext>
              </c:extLst>
            </c:dLbl>
            <c:dLbl>
              <c:idx val="11"/>
              <c:tx>
                <c:strRef>
                  <c:f>Graphs!$M$60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{E7923CAD-994D-4DBA-99AC-E99886D2D89E}</c15:txfldGUID>
                      <c15:f>Graphs!$M$60</c15:f>
                      <c15:dlblFieldTableCache>
                        <c:ptCount val="1"/>
                        <c:pt idx="0">
                          <c:v>#DIV/0!</c:v>
                        </c:pt>
                      </c15:dlblFieldTableCache>
                    </c15:dlblFTEntry>
                  </c15:dlblFieldTable>
                  <c15:showDataLabelsRange val="0"/>
                </c:ext>
                <c:ext xmlns:c16="http://schemas.microsoft.com/office/drawing/2014/chart" uri="{C3380CC4-5D6E-409C-BE32-E72D297353CC}">
                  <c16:uniqueId val="{00000029-82EF-4992-93E5-1823197E82B0}"/>
                </c:ext>
              </c:extLst>
            </c:dLbl>
            <c:dLbl>
              <c:idx val="12"/>
              <c:tx>
                <c:strRef>
                  <c:f>Graphs!$N$60</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{755F3E74-F148-4386-9D85-D4A836CF0F34}</c15:txfldGUID>
                      <c15:f>Graphs!$N$60</c15:f>
                      <c15:dlblFieldTableCache>
                        <c:ptCount val="1"/>
                        <c:pt idx="0">
                          <c:v>#DIV/0!</c:v>
                        </c:pt>
                      </c15:dlblFieldTableCache>
                    </c15:dlblFTEntry>
                  </c15:dlblFieldTable>
                  <c15:showDataLabelsRange val="0"/>
                </c:ext>
                <c:ext xmlns:c16="http://schemas.microsoft.com/office/drawing/2014/chart" uri="{C3380CC4-5D6E-409C-BE32-E72D297353CC}">
                  <c16:uniqueId val="{0000002A-82EF-4992-93E5-1823197E82B0}"/>
                </c:ext>
              </c:extLst>
            </c:dLbl>
            <c:dLbl>
              <c:idx val="13"/>
              <c:tx>
                <c:strRef>
                  <c:f>Graphs!$O$60</c:f>
                  <c:strCache>
                    <c:ptCount val="1"/>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{FC9C68CA-524E-4582-9DBF-9C6A72CDFF37}</c15:txfldGUID>
                      <c15:f>Graphs!$O$60</c15:f>
                      <c15:dlblFieldTableCache>
                        <c:ptCount val="1"/>
                      </c15:dlblFieldTableCache>
                    </c15:dlblFTEntry>
                  </c15:dlblFieldTable>
                  <c15:showDataLabelsRange val="0"/>
                </c:ext>
                <c:ext xmlns:c16="http://schemas.microsoft.com/office/drawing/2014/chart" uri="{C3380CC4-5D6E-409C-BE32-E72D297353CC}">
                  <c16:uniqueId val="{0000002B-82EF-4992-93E5-1823197E82B0}"/>
                </c:ext>
              </c:extLst>
            </c:dLbl>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Graphs!$B$44:$O$44</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Graphs!$B$47:$O$47</c:f>
              <c:numCache>
                <c:formatCode>_(* #,##0_);_(* \(#,##0\);_(* "-"??_);_(@_)</c:formatCode>
                <c:ptCount val="14"/>
              </c:numCache>
            </c:numRef>
          </c:val>
          <c:extLst>
            <c:ext xmlns:c16="http://schemas.microsoft.com/office/drawing/2014/chart" uri="{C3380CC4-5D6E-409C-BE32-E72D297353CC}">
              <c16:uniqueId val="{0000002C-82EF-4992-93E5-1823197E82B0}"/>
            </c:ext>
          </c:extLst>
        </c:ser>
        <c:dLbls>
          <c:dLblPos val="ctr"/>
          <c:showLegendKey val="0"/>
          <c:showVal val="1"/>
          <c:showCatName val="0"/>
          <c:showSerName val="0"/>
          <c:showPercent val="0"/>
          <c:showBubbleSize val="0"/>
        </c:dLbls>
        <c:gapWidth val="75"/>
        <c:overlap val="100"/>
        <c:axId val="265212288"/>
        <c:axId val="265213824"/>
      </c:barChart>
      <c:catAx>
        <c:axId val="265212288"/>
        <c:scaling>
          <c:orientation val="minMax"/>
        </c:scaling>
        <c:delete val="0"/>
        <c:axPos val="b"/>
        <c:numFmt formatCode="General" sourceLinked="1"/>
        <c:majorTickMark val="none"/>
        <c:minorTickMark val="none"/>
        <c:tickLblPos val="nextTo"/>
        <c:crossAx val="265213824"/>
        <c:crosses val="autoZero"/>
        <c:auto val="1"/>
        <c:lblAlgn val="ctr"/>
        <c:lblOffset val="100"/>
        <c:noMultiLvlLbl val="0"/>
      </c:catAx>
      <c:valAx>
        <c:axId val="265213824"/>
        <c:scaling>
          <c:orientation val="minMax"/>
        </c:scaling>
        <c:delete val="0"/>
        <c:axPos val="l"/>
        <c:majorGridlines/>
        <c:numFmt formatCode="_(* #,##0_);_(* \(#,##0\);_(* &quot;-&quot;??_);_(@_)" sourceLinked="1"/>
        <c:majorTickMark val="none"/>
        <c:minorTickMark val="none"/>
        <c:tickLblPos val="nextTo"/>
        <c:spPr>
          <a:ln w="9525">
            <a:noFill/>
          </a:ln>
        </c:spPr>
        <c:crossAx val="265212288"/>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BP-18 Final Proposal Revenue Requirement</a:t>
            </a:r>
          </a:p>
          <a:p>
            <a:pPr>
              <a:defRPr/>
            </a:pPr>
            <a:r>
              <a:rPr lang="en-US" sz="1100"/>
              <a:t>($000s)</a:t>
            </a:r>
            <a:endParaRPr lang="en-US"/>
          </a:p>
        </c:rich>
      </c:tx>
      <c:overlay val="0"/>
    </c:title>
    <c:autoTitleDeleted val="0"/>
    <c:plotArea>
      <c:layout/>
      <c:barChart>
        <c:barDir val="col"/>
        <c:grouping val="stacked"/>
        <c:varyColors val="0"/>
        <c:ser>
          <c:idx val="0"/>
          <c:order val="0"/>
          <c:tx>
            <c:strRef>
              <c:f>Graphs!$A$51</c:f>
              <c:strCache>
                <c:ptCount val="1"/>
                <c:pt idx="0">
                  <c:v>IPR Costs</c:v>
                </c:pt>
              </c:strCache>
            </c:strRef>
          </c:tx>
          <c:invertIfNegative val="0"/>
          <c:dLbls>
            <c:dLbl>
              <c:idx val="0"/>
              <c:tx>
                <c:strRef>
                  <c:f>Graphs!$B$64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{6BEA3BF0-4F48-43CD-BF38-B9EE94CD8612}</c15:txfldGUID>
                      <c15:f>Graphs!$B$64</c15:f>
                      <c15:dlblFieldTableCache>
                        <c:ptCount val="1"/>
                        <c:pt idx="0">
                          <c:v>#DIV/0!</c:v>
                        </c:pt>
                      </c15:dlblFieldTableCache>
                    </c15:dlblFTEntry>
                  </c15:dlblFieldTable>
                  <c15:showDataLabelsRange val="0"/>
                </c:ext>
                <c:ext xmlns:c16="http://schemas.microsoft.com/office/drawing/2014/chart" uri="{C3380CC4-5D6E-409C-BE32-E72D297353CC}">
                  <c16:uniqueId val="{00000000-C0A6-4569-AC31-BA846898B0C1}"/>
                </c:ext>
              </c:extLst>
            </c:dLbl>
            <c:dLbl>
              <c:idx val="1"/>
              <c:tx>
                <c:strRef>
                  <c:f>Graphs!$C$64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{2D6FCF1A-ED2F-48F5-8FCB-DFE50996CBC0}</c15:txfldGUID>
                      <c15:f>Graphs!$C$64</c15:f>
                      <c15:dlblFieldTableCache>
                        <c:ptCount val="1"/>
                        <c:pt idx="0">
                          <c:v>#DIV/0!</c:v>
                        </c:pt>
                      </c15:dlblFieldTableCache>
                    </c15:dlblFTEntry>
                  </c15:dlblFieldTable>
                  <c15:showDataLabelsRange val="0"/>
                </c:ext>
                <c:ext xmlns:c16="http://schemas.microsoft.com/office/drawing/2014/chart" uri="{C3380CC4-5D6E-409C-BE32-E72D297353CC}">
                  <c16:uniqueId val="{00000001-C0A6-4569-AC31-BA846898B0C1}"/>
                </c:ext>
              </c:extLst>
            </c:dLbl>
            <c:dLbl>
              <c:idx val="2"/>
              <c:tx>
                <c:strRef>
                  <c:f>Graphs!$D$64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{A470D00E-40AB-464F-824E-004AA1A1F995}</c15:txfldGUID>
                      <c15:f>Graphs!$D$64</c15:f>
                      <c15:dlblFieldTableCache>
                        <c:ptCount val="1"/>
                        <c:pt idx="0">
                          <c:v>#DIV/0!</c:v>
                        </c:pt>
                      </c15:dlblFieldTableCache>
                    </c15:dlblFTEntry>
                  </c15:dlblFieldTable>
                  <c15:showDataLabelsRange val="0"/>
                </c:ext>
                <c:ext xmlns:c16="http://schemas.microsoft.com/office/drawing/2014/chart" uri="{C3380CC4-5D6E-409C-BE32-E72D297353CC}">
                  <c16:uniqueId val="{00000002-C0A6-4569-AC31-BA846898B0C1}"/>
                </c:ext>
              </c:extLst>
            </c:dLbl>
            <c:dLbl>
              <c:idx val="3"/>
              <c:tx>
                <c:strRef>
                  <c:f>Graphs!$E$64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{80D24BB2-D148-4E60-B728-9D3232B180A4}</c15:txfldGUID>
                      <c15:f>Graphs!$E$64</c15:f>
                      <c15:dlblFieldTableCache>
                        <c:ptCount val="1"/>
                        <c:pt idx="0">
                          <c:v>#DIV/0!</c:v>
                        </c:pt>
                      </c15:dlblFieldTableCache>
                    </c15:dlblFTEntry>
                  </c15:dlblFieldTable>
                  <c15:showDataLabelsRange val="0"/>
                </c:ext>
                <c:ext xmlns:c16="http://schemas.microsoft.com/office/drawing/2014/chart" uri="{C3380CC4-5D6E-409C-BE32-E72D297353CC}">
                  <c16:uniqueId val="{00000003-C0A6-4569-AC31-BA846898B0C1}"/>
                </c:ext>
              </c:extLst>
            </c:dLbl>
            <c:dLbl>
              <c:idx val="4"/>
              <c:tx>
                <c:strRef>
                  <c:f>Graphs!$F$64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{F2557893-DC7E-4644-AFCB-6491A6932D17}</c15:txfldGUID>
                      <c15:f>Graphs!$F$64</c15:f>
                      <c15:dlblFieldTableCache>
                        <c:ptCount val="1"/>
                        <c:pt idx="0">
                          <c:v>#DIV/0!</c:v>
                        </c:pt>
                      </c15:dlblFieldTableCache>
                    </c15:dlblFTEntry>
                  </c15:dlblFieldTable>
                  <c15:showDataLabelsRange val="0"/>
                </c:ext>
                <c:ext xmlns:c16="http://schemas.microsoft.com/office/drawing/2014/chart" uri="{C3380CC4-5D6E-409C-BE32-E72D297353CC}">
                  <c16:uniqueId val="{00000004-C0A6-4569-AC31-BA846898B0C1}"/>
                </c:ext>
              </c:extLst>
            </c:dLbl>
            <c:dLbl>
              <c:idx val="5"/>
              <c:tx>
                <c:strRef>
                  <c:f>Graphs!$G$64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{E6827B26-A028-4EDE-87A8-350A2F179E11}</c15:txfldGUID>
                      <c15:f>Graphs!$G$64</c15:f>
                      <c15:dlblFieldTableCache>
                        <c:ptCount val="1"/>
                        <c:pt idx="0">
                          <c:v>#DIV/0!</c:v>
                        </c:pt>
                      </c15:dlblFieldTableCache>
                    </c15:dlblFTEntry>
                  </c15:dlblFieldTable>
                  <c15:showDataLabelsRange val="0"/>
                </c:ext>
                <c:ext xmlns:c16="http://schemas.microsoft.com/office/drawing/2014/chart" uri="{C3380CC4-5D6E-409C-BE32-E72D297353CC}">
                  <c16:uniqueId val="{00000005-C0A6-4569-AC31-BA846898B0C1}"/>
                </c:ext>
              </c:extLst>
            </c:dLbl>
            <c:dLbl>
              <c:idx val="6"/>
              <c:tx>
                <c:strRef>
                  <c:f>Graphs!$H$64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{14600D4F-8622-4178-9A7B-2748E2E28BBD}</c15:txfldGUID>
                      <c15:f>Graphs!$H$64</c15:f>
                      <c15:dlblFieldTableCache>
                        <c:ptCount val="1"/>
                        <c:pt idx="0">
                          <c:v>#DIV/0!</c:v>
                        </c:pt>
                      </c15:dlblFieldTableCache>
                    </c15:dlblFTEntry>
                  </c15:dlblFieldTable>
                  <c15:showDataLabelsRange val="0"/>
                </c:ext>
                <c:ext xmlns:c16="http://schemas.microsoft.com/office/drawing/2014/chart" uri="{C3380CC4-5D6E-409C-BE32-E72D297353CC}">
                  <c16:uniqueId val="{00000006-C0A6-4569-AC31-BA846898B0C1}"/>
                </c:ext>
              </c:extLst>
            </c:dLbl>
            <c:dLbl>
              <c:idx val="7"/>
              <c:tx>
                <c:strRef>
                  <c:f>Graphs!$I$64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{2775A05A-EECB-4147-AB95-73A419EF97BA}</c15:txfldGUID>
                      <c15:f>Graphs!$I$64</c15:f>
                      <c15:dlblFieldTableCache>
                        <c:ptCount val="1"/>
                        <c:pt idx="0">
                          <c:v>#DIV/0!</c:v>
                        </c:pt>
                      </c15:dlblFieldTableCache>
                    </c15:dlblFTEntry>
                  </c15:dlblFieldTable>
                  <c15:showDataLabelsRange val="0"/>
                </c:ext>
                <c:ext xmlns:c16="http://schemas.microsoft.com/office/drawing/2014/chart" uri="{C3380CC4-5D6E-409C-BE32-E72D297353CC}">
                  <c16:uniqueId val="{00000007-C0A6-4569-AC31-BA846898B0C1}"/>
                </c:ext>
              </c:extLst>
            </c:dLbl>
            <c:dLbl>
              <c:idx val="8"/>
              <c:tx>
                <c:strRef>
                  <c:f>Graphs!$J$64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{58BA06C0-2C6B-4D29-9C5E-041573157C2D}</c15:txfldGUID>
                      <c15:f>Graphs!$J$64</c15:f>
                      <c15:dlblFieldTableCache>
                        <c:ptCount val="1"/>
                        <c:pt idx="0">
                          <c:v>#DIV/0!</c:v>
                        </c:pt>
                      </c15:dlblFieldTableCache>
                    </c15:dlblFTEntry>
                  </c15:dlblFieldTable>
                  <c15:showDataLabelsRange val="0"/>
                </c:ext>
                <c:ext xmlns:c16="http://schemas.microsoft.com/office/drawing/2014/chart" uri="{C3380CC4-5D6E-409C-BE32-E72D297353CC}">
                  <c16:uniqueId val="{00000008-C0A6-4569-AC31-BA846898B0C1}"/>
                </c:ext>
              </c:extLst>
            </c:dLbl>
            <c:dLbl>
              <c:idx val="9"/>
              <c:tx>
                <c:strRef>
                  <c:f>Graphs!$K$64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{52ABCAF8-9F29-4150-AC35-B010D519309F}</c15:txfldGUID>
                      <c15:f>Graphs!$K$64</c15:f>
                      <c15:dlblFieldTableCache>
                        <c:ptCount val="1"/>
                        <c:pt idx="0">
                          <c:v>#DIV/0!</c:v>
                        </c:pt>
                      </c15:dlblFieldTableCache>
                    </c15:dlblFTEntry>
                  </c15:dlblFieldTable>
                  <c15:showDataLabelsRange val="0"/>
                </c:ext>
                <c:ext xmlns:c16="http://schemas.microsoft.com/office/drawing/2014/chart" uri="{C3380CC4-5D6E-409C-BE32-E72D297353CC}">
                  <c16:uniqueId val="{00000009-C0A6-4569-AC31-BA846898B0C1}"/>
                </c:ext>
              </c:extLst>
            </c:dLbl>
            <c:dLbl>
              <c:idx val="10"/>
              <c:tx>
                <c:strRef>
                  <c:f>Graphs!$L$64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{75E5E377-2410-44DC-A871-551A068E6C0B}</c15:txfldGUID>
                      <c15:f>Graphs!$L$64</c15:f>
                      <c15:dlblFieldTableCache>
                        <c:ptCount val="1"/>
                        <c:pt idx="0">
                          <c:v>#DIV/0!</c:v>
                        </c:pt>
                      </c15:dlblFieldTableCache>
                    </c15:dlblFTEntry>
                  </c15:dlblFieldTable>
                  <c15:showDataLabelsRange val="0"/>
                </c:ext>
                <c:ext xmlns:c16="http://schemas.microsoft.com/office/drawing/2014/chart" uri="{C3380CC4-5D6E-409C-BE32-E72D297353CC}">
                  <c16:uniqueId val="{0000000A-C0A6-4569-AC31-BA846898B0C1}"/>
                </c:ext>
              </c:extLst>
            </c:dLbl>
            <c:dLbl>
              <c:idx val="11"/>
              <c:tx>
                <c:strRef>
                  <c:f>Graphs!$M$64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{929EF670-18A5-46E3-BB63-134F1001FD32}</c15:txfldGUID>
                      <c15:f>Graphs!$M$64</c15:f>
                      <c15:dlblFieldTableCache>
                        <c:ptCount val="1"/>
                        <c:pt idx="0">
                          <c:v>#DIV/0!</c:v>
                        </c:pt>
                      </c15:dlblFieldTableCache>
                    </c15:dlblFTEntry>
                  </c15:dlblFieldTable>
                  <c15:showDataLabelsRange val="0"/>
                </c:ext>
                <c:ext xmlns:c16="http://schemas.microsoft.com/office/drawing/2014/chart" uri="{C3380CC4-5D6E-409C-BE32-E72D297353CC}">
                  <c16:uniqueId val="{0000000B-C0A6-4569-AC31-BA846898B0C1}"/>
                </c:ext>
              </c:extLst>
            </c:dLbl>
            <c:dLbl>
              <c:idx val="12"/>
              <c:tx>
                <c:strRef>
                  <c:f>Graphs!$N$64</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{B24AE22C-DB9D-49DD-8D1D-289E88A998F0}</c15:txfldGUID>
                      <c15:f>Graphs!$N$64</c15:f>
                      <c15:dlblFieldTableCache>
                        <c:ptCount val="1"/>
                        <c:pt idx="0">
                          <c:v>#DIV/0!</c:v>
                        </c:pt>
                      </c15:dlblFieldTableCache>
                    </c15:dlblFTEntry>
                  </c15:dlblFieldTable>
                  <c15:showDataLabelsRange val="0"/>
                </c:ext>
                <c:ext xmlns:c16="http://schemas.microsoft.com/office/drawing/2014/chart" uri="{C3380CC4-5D6E-409C-BE32-E72D297353CC}">
                  <c16:uniqueId val="{0000000C-C0A6-4569-AC31-BA846898B0C1}"/>
                </c:ext>
              </c:extLst>
            </c:dLbl>
            <c:dLbl>
              <c:idx val="13"/>
              <c:tx>
                <c:strRef>
                  <c:f>Graphs!$O$64</c:f>
                  <c:strCache>
                    <c:ptCount val="1"/>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{865A28F4-F846-4568-A069-5A7F5F9AA824}</c15:txfldGUID>
                      <c15:f>Graphs!$O$64</c15:f>
                      <c15:dlblFieldTableCache>
                        <c:ptCount val="1"/>
                      </c15:dlblFieldTableCache>
                    </c15:dlblFTEntry>
                  </c15:dlblFieldTable>
                  <c15:showDataLabelsRange val="0"/>
                </c:ext>
                <c:ext xmlns:c16="http://schemas.microsoft.com/office/drawing/2014/chart" uri="{C3380CC4-5D6E-409C-BE32-E72D297353CC}">
                  <c16:uniqueId val="{0000000D-C0A6-4569-AC31-BA846898B0C1}"/>
                </c:ext>
              </c:extLst>
            </c:dLbl>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Graphs!$B$50:$O$50</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Graphs!$B$51:$O$51</c:f>
              <c:numCache>
                <c:formatCode>_(* #,##0_);_(* \(#,##0\);_(* "-"??_);_(@_)</c:formatCode>
                <c:ptCount val="14"/>
              </c:numCache>
            </c:numRef>
          </c:val>
          <c:extLst>
            <c:ext xmlns:c16="http://schemas.microsoft.com/office/drawing/2014/chart" uri="{C3380CC4-5D6E-409C-BE32-E72D297353CC}">
              <c16:uniqueId val="{0000000E-C0A6-4569-AC31-BA846898B0C1}"/>
            </c:ext>
          </c:extLst>
        </c:ser>
        <c:ser>
          <c:idx val="1"/>
          <c:order val="1"/>
          <c:tx>
            <c:strRef>
              <c:f>Graphs!$A$52</c:f>
              <c:strCache>
                <c:ptCount val="1"/>
                <c:pt idx="0">
                  <c:v>Non-IPR Costs (BBL Ancillary Services)</c:v>
                </c:pt>
              </c:strCache>
            </c:strRef>
          </c:tx>
          <c:invertIfNegative val="0"/>
          <c:dLbls>
            <c:dLbl>
              <c:idx val="0"/>
              <c:tx>
                <c:strRef>
                  <c:f>Graphs!$B$65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{A81FDC1B-8CAF-410D-9232-D792C38EA715}</c15:txfldGUID>
                      <c15:f>Graphs!$B$65</c15:f>
                      <c15:dlblFieldTableCache>
                        <c:ptCount val="1"/>
                        <c:pt idx="0">
                          <c:v>#DIV/0!</c:v>
                        </c:pt>
                      </c15:dlblFieldTableCache>
                    </c15:dlblFTEntry>
                  </c15:dlblFieldTable>
                  <c15:showDataLabelsRange val="0"/>
                </c:ext>
                <c:ext xmlns:c16="http://schemas.microsoft.com/office/drawing/2014/chart" uri="{C3380CC4-5D6E-409C-BE32-E72D297353CC}">
                  <c16:uniqueId val="{0000000F-C0A6-4569-AC31-BA846898B0C1}"/>
                </c:ext>
              </c:extLst>
            </c:dLbl>
            <c:dLbl>
              <c:idx val="1"/>
              <c:tx>
                <c:strRef>
                  <c:f>Graphs!$C$65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{DF20B8B1-234F-41F4-955C-0C01ABBEB719}</c15:txfldGUID>
                      <c15:f>Graphs!$C$65</c15:f>
                      <c15:dlblFieldTableCache>
                        <c:ptCount val="1"/>
                        <c:pt idx="0">
                          <c:v>#DIV/0!</c:v>
                        </c:pt>
                      </c15:dlblFieldTableCache>
                    </c15:dlblFTEntry>
                  </c15:dlblFieldTable>
                  <c15:showDataLabelsRange val="0"/>
                </c:ext>
                <c:ext xmlns:c16="http://schemas.microsoft.com/office/drawing/2014/chart" uri="{C3380CC4-5D6E-409C-BE32-E72D297353CC}">
                  <c16:uniqueId val="{00000010-C0A6-4569-AC31-BA846898B0C1}"/>
                </c:ext>
              </c:extLst>
            </c:dLbl>
            <c:dLbl>
              <c:idx val="2"/>
              <c:tx>
                <c:strRef>
                  <c:f>Graphs!$D$65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{B2F51795-8D49-4368-912C-5E2F9C3084A0}</c15:txfldGUID>
                      <c15:f>Graphs!$D$65</c15:f>
                      <c15:dlblFieldTableCache>
                        <c:ptCount val="1"/>
                        <c:pt idx="0">
                          <c:v>#DIV/0!</c:v>
                        </c:pt>
                      </c15:dlblFieldTableCache>
                    </c15:dlblFTEntry>
                  </c15:dlblFieldTable>
                  <c15:showDataLabelsRange val="0"/>
                </c:ext>
                <c:ext xmlns:c16="http://schemas.microsoft.com/office/drawing/2014/chart" uri="{C3380CC4-5D6E-409C-BE32-E72D297353CC}">
                  <c16:uniqueId val="{00000011-C0A6-4569-AC31-BA846898B0C1}"/>
                </c:ext>
              </c:extLst>
            </c:dLbl>
            <c:dLbl>
              <c:idx val="3"/>
              <c:tx>
                <c:strRef>
                  <c:f>Graphs!$E$65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{BC38DF19-8814-424B-A104-476CCA216AEF}</c15:txfldGUID>
                      <c15:f>Graphs!$E$65</c15:f>
                      <c15:dlblFieldTableCache>
                        <c:ptCount val="1"/>
                        <c:pt idx="0">
                          <c:v>#DIV/0!</c:v>
                        </c:pt>
                      </c15:dlblFieldTableCache>
                    </c15:dlblFTEntry>
                  </c15:dlblFieldTable>
                  <c15:showDataLabelsRange val="0"/>
                </c:ext>
                <c:ext xmlns:c16="http://schemas.microsoft.com/office/drawing/2014/chart" uri="{C3380CC4-5D6E-409C-BE32-E72D297353CC}">
                  <c16:uniqueId val="{00000012-C0A6-4569-AC31-BA846898B0C1}"/>
                </c:ext>
              </c:extLst>
            </c:dLbl>
            <c:dLbl>
              <c:idx val="4"/>
              <c:tx>
                <c:strRef>
                  <c:f>Graphs!$F$65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{28BF03F0-6682-4F6F-BC49-118E5A163E07}</c15:txfldGUID>
                      <c15:f>Graphs!$F$65</c15:f>
                      <c15:dlblFieldTableCache>
                        <c:ptCount val="1"/>
                        <c:pt idx="0">
                          <c:v>#DIV/0!</c:v>
                        </c:pt>
                      </c15:dlblFieldTableCache>
                    </c15:dlblFTEntry>
                  </c15:dlblFieldTable>
                  <c15:showDataLabelsRange val="0"/>
                </c:ext>
                <c:ext xmlns:c16="http://schemas.microsoft.com/office/drawing/2014/chart" uri="{C3380CC4-5D6E-409C-BE32-E72D297353CC}">
                  <c16:uniqueId val="{00000013-C0A6-4569-AC31-BA846898B0C1}"/>
                </c:ext>
              </c:extLst>
            </c:dLbl>
            <c:dLbl>
              <c:idx val="5"/>
              <c:tx>
                <c:strRef>
                  <c:f>Graphs!$G$65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{A68355F0-E81F-422D-94D8-4D4899494907}</c15:txfldGUID>
                      <c15:f>Graphs!$G$65</c15:f>
                      <c15:dlblFieldTableCache>
                        <c:ptCount val="1"/>
                        <c:pt idx="0">
                          <c:v>#DIV/0!</c:v>
                        </c:pt>
                      </c15:dlblFieldTableCache>
                    </c15:dlblFTEntry>
                  </c15:dlblFieldTable>
                  <c15:showDataLabelsRange val="0"/>
                </c:ext>
                <c:ext xmlns:c16="http://schemas.microsoft.com/office/drawing/2014/chart" uri="{C3380CC4-5D6E-409C-BE32-E72D297353CC}">
                  <c16:uniqueId val="{00000014-C0A6-4569-AC31-BA846898B0C1}"/>
                </c:ext>
              </c:extLst>
            </c:dLbl>
            <c:dLbl>
              <c:idx val="6"/>
              <c:tx>
                <c:strRef>
                  <c:f>Graphs!$H$65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{BFB10955-6660-488F-B6FA-F6904C18166B}</c15:txfldGUID>
                      <c15:f>Graphs!$H$65</c15:f>
                      <c15:dlblFieldTableCache>
                        <c:ptCount val="1"/>
                        <c:pt idx="0">
                          <c:v>#DIV/0!</c:v>
                        </c:pt>
                      </c15:dlblFieldTableCache>
                    </c15:dlblFTEntry>
                  </c15:dlblFieldTable>
                  <c15:showDataLabelsRange val="0"/>
                </c:ext>
                <c:ext xmlns:c16="http://schemas.microsoft.com/office/drawing/2014/chart" uri="{C3380CC4-5D6E-409C-BE32-E72D297353CC}">
                  <c16:uniqueId val="{00000015-C0A6-4569-AC31-BA846898B0C1}"/>
                </c:ext>
              </c:extLst>
            </c:dLbl>
            <c:dLbl>
              <c:idx val="7"/>
              <c:tx>
                <c:strRef>
                  <c:f>Graphs!$I$65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{904B4858-DEF6-4C3D-ADFC-043B08709EFA}</c15:txfldGUID>
                      <c15:f>Graphs!$I$65</c15:f>
                      <c15:dlblFieldTableCache>
                        <c:ptCount val="1"/>
                        <c:pt idx="0">
                          <c:v>#DIV/0!</c:v>
                        </c:pt>
                      </c15:dlblFieldTableCache>
                    </c15:dlblFTEntry>
                  </c15:dlblFieldTable>
                  <c15:showDataLabelsRange val="0"/>
                </c:ext>
                <c:ext xmlns:c16="http://schemas.microsoft.com/office/drawing/2014/chart" uri="{C3380CC4-5D6E-409C-BE32-E72D297353CC}">
                  <c16:uniqueId val="{00000016-C0A6-4569-AC31-BA846898B0C1}"/>
                </c:ext>
              </c:extLst>
            </c:dLbl>
            <c:dLbl>
              <c:idx val="8"/>
              <c:tx>
                <c:strRef>
                  <c:f>Graphs!$J$65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{7B02202D-86AA-439F-87ED-DD02A12122BD}</c15:txfldGUID>
                      <c15:f>Graphs!$J$65</c15:f>
                      <c15:dlblFieldTableCache>
                        <c:ptCount val="1"/>
                        <c:pt idx="0">
                          <c:v>#DIV/0!</c:v>
                        </c:pt>
                      </c15:dlblFieldTableCache>
                    </c15:dlblFTEntry>
                  </c15:dlblFieldTable>
                  <c15:showDataLabelsRange val="0"/>
                </c:ext>
                <c:ext xmlns:c16="http://schemas.microsoft.com/office/drawing/2014/chart" uri="{C3380CC4-5D6E-409C-BE32-E72D297353CC}">
                  <c16:uniqueId val="{00000017-C0A6-4569-AC31-BA846898B0C1}"/>
                </c:ext>
              </c:extLst>
            </c:dLbl>
            <c:dLbl>
              <c:idx val="9"/>
              <c:tx>
                <c:strRef>
                  <c:f>Graphs!$K$65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{FF94EEE3-FA4E-4464-BB91-A3BADE506ABE}</c15:txfldGUID>
                      <c15:f>Graphs!$K$65</c15:f>
                      <c15:dlblFieldTableCache>
                        <c:ptCount val="1"/>
                        <c:pt idx="0">
                          <c:v>#DIV/0!</c:v>
                        </c:pt>
                      </c15:dlblFieldTableCache>
                    </c15:dlblFTEntry>
                  </c15:dlblFieldTable>
                  <c15:showDataLabelsRange val="0"/>
                </c:ext>
                <c:ext xmlns:c16="http://schemas.microsoft.com/office/drawing/2014/chart" uri="{C3380CC4-5D6E-409C-BE32-E72D297353CC}">
                  <c16:uniqueId val="{00000018-C0A6-4569-AC31-BA846898B0C1}"/>
                </c:ext>
              </c:extLst>
            </c:dLbl>
            <c:dLbl>
              <c:idx val="10"/>
              <c:tx>
                <c:strRef>
                  <c:f>Graphs!$L$65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{7325F1FF-91A3-4CBC-B3E3-48DCC2001380}</c15:txfldGUID>
                      <c15:f>Graphs!$L$65</c15:f>
                      <c15:dlblFieldTableCache>
                        <c:ptCount val="1"/>
                        <c:pt idx="0">
                          <c:v>#DIV/0!</c:v>
                        </c:pt>
                      </c15:dlblFieldTableCache>
                    </c15:dlblFTEntry>
                  </c15:dlblFieldTable>
                  <c15:showDataLabelsRange val="0"/>
                </c:ext>
                <c:ext xmlns:c16="http://schemas.microsoft.com/office/drawing/2014/chart" uri="{C3380CC4-5D6E-409C-BE32-E72D297353CC}">
                  <c16:uniqueId val="{00000019-C0A6-4569-AC31-BA846898B0C1}"/>
                </c:ext>
              </c:extLst>
            </c:dLbl>
            <c:dLbl>
              <c:idx val="11"/>
              <c:tx>
                <c:strRef>
                  <c:f>Graphs!$M$65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{350B5795-893C-4FC4-8877-A4F3212F4C80}</c15:txfldGUID>
                      <c15:f>Graphs!$M$65</c15:f>
                      <c15:dlblFieldTableCache>
                        <c:ptCount val="1"/>
                        <c:pt idx="0">
                          <c:v>#DIV/0!</c:v>
                        </c:pt>
                      </c15:dlblFieldTableCache>
                    </c15:dlblFTEntry>
                  </c15:dlblFieldTable>
                  <c15:showDataLabelsRange val="0"/>
                </c:ext>
                <c:ext xmlns:c16="http://schemas.microsoft.com/office/drawing/2014/chart" uri="{C3380CC4-5D6E-409C-BE32-E72D297353CC}">
                  <c16:uniqueId val="{0000001A-C0A6-4569-AC31-BA846898B0C1}"/>
                </c:ext>
              </c:extLst>
            </c:dLbl>
            <c:dLbl>
              <c:idx val="12"/>
              <c:tx>
                <c:strRef>
                  <c:f>Graphs!$N$65</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{D65F440D-AC3D-4BA3-8194-90E6BE26BA1C}</c15:txfldGUID>
                      <c15:f>Graphs!$N$65</c15:f>
                      <c15:dlblFieldTableCache>
                        <c:ptCount val="1"/>
                        <c:pt idx="0">
                          <c:v>#DIV/0!</c:v>
                        </c:pt>
                      </c15:dlblFieldTableCache>
                    </c15:dlblFTEntry>
                  </c15:dlblFieldTable>
                  <c15:showDataLabelsRange val="0"/>
                </c:ext>
                <c:ext xmlns:c16="http://schemas.microsoft.com/office/drawing/2014/chart" uri="{C3380CC4-5D6E-409C-BE32-E72D297353CC}">
                  <c16:uniqueId val="{0000001B-C0A6-4569-AC31-BA846898B0C1}"/>
                </c:ext>
              </c:extLst>
            </c:dLbl>
            <c:dLbl>
              <c:idx val="13"/>
              <c:tx>
                <c:strRef>
                  <c:f>Graphs!$O$65</c:f>
                  <c:strCache>
                    <c:ptCount val="1"/>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{7EFFD147-9D52-4735-8656-66DE53833717}</c15:txfldGUID>
                      <c15:f>Graphs!$O$65</c15:f>
                      <c15:dlblFieldTableCache>
                        <c:ptCount val="1"/>
                      </c15:dlblFieldTableCache>
                    </c15:dlblFTEntry>
                  </c15:dlblFieldTable>
                  <c15:showDataLabelsRange val="0"/>
                </c:ext>
                <c:ext xmlns:c16="http://schemas.microsoft.com/office/drawing/2014/chart" uri="{C3380CC4-5D6E-409C-BE32-E72D297353CC}">
                  <c16:uniqueId val="{0000001C-C0A6-4569-AC31-BA846898B0C1}"/>
                </c:ext>
              </c:extLst>
            </c:dLbl>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Graphs!$B$50:$O$50</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Graphs!$B$52:$O$52</c:f>
              <c:numCache>
                <c:formatCode>_(* #,##0_);_(* \(#,##0\);_(* "-"??_);_(@_)</c:formatCode>
                <c:ptCount val="14"/>
              </c:numCache>
            </c:numRef>
          </c:val>
          <c:extLst>
            <c:ext xmlns:c16="http://schemas.microsoft.com/office/drawing/2014/chart" uri="{C3380CC4-5D6E-409C-BE32-E72D297353CC}">
              <c16:uniqueId val="{0000001D-C0A6-4569-AC31-BA846898B0C1}"/>
            </c:ext>
          </c:extLst>
        </c:ser>
        <c:ser>
          <c:idx val="2"/>
          <c:order val="2"/>
          <c:tx>
            <c:strRef>
              <c:f>Graphs!$A$53</c:f>
              <c:strCache>
                <c:ptCount val="1"/>
                <c:pt idx="0">
                  <c:v>Capital Related Costs</c:v>
                </c:pt>
              </c:strCache>
            </c:strRef>
          </c:tx>
          <c:invertIfNegative val="0"/>
          <c:dLbls>
            <c:dLbl>
              <c:idx val="0"/>
              <c:tx>
                <c:strRef>
                  <c:f>Graphs!$B$66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{2ECEF578-4B08-4F9F-8A20-BD6CE56D6BD2}</c15:txfldGUID>
                      <c15:f>Graphs!$B$66</c15:f>
                      <c15:dlblFieldTableCache>
                        <c:ptCount val="1"/>
                        <c:pt idx="0">
                          <c:v>#DIV/0!</c:v>
                        </c:pt>
                      </c15:dlblFieldTableCache>
                    </c15:dlblFTEntry>
                  </c15:dlblFieldTable>
                  <c15:showDataLabelsRange val="0"/>
                </c:ext>
                <c:ext xmlns:c16="http://schemas.microsoft.com/office/drawing/2014/chart" uri="{C3380CC4-5D6E-409C-BE32-E72D297353CC}">
                  <c16:uniqueId val="{0000001E-C0A6-4569-AC31-BA846898B0C1}"/>
                </c:ext>
              </c:extLst>
            </c:dLbl>
            <c:dLbl>
              <c:idx val="1"/>
              <c:tx>
                <c:strRef>
                  <c:f>Graphs!$C$66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{0FA965FC-80D5-4BB0-9C27-5A410AEB67F9}</c15:txfldGUID>
                      <c15:f>Graphs!$C$66</c15:f>
                      <c15:dlblFieldTableCache>
                        <c:ptCount val="1"/>
                        <c:pt idx="0">
                          <c:v>#DIV/0!</c:v>
                        </c:pt>
                      </c15:dlblFieldTableCache>
                    </c15:dlblFTEntry>
                  </c15:dlblFieldTable>
                  <c15:showDataLabelsRange val="0"/>
                </c:ext>
                <c:ext xmlns:c16="http://schemas.microsoft.com/office/drawing/2014/chart" uri="{C3380CC4-5D6E-409C-BE32-E72D297353CC}">
                  <c16:uniqueId val="{0000001F-C0A6-4569-AC31-BA846898B0C1}"/>
                </c:ext>
              </c:extLst>
            </c:dLbl>
            <c:dLbl>
              <c:idx val="2"/>
              <c:tx>
                <c:strRef>
                  <c:f>Graphs!$D$66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{5B11984C-8C9C-4C70-9F19-7C9A05811198}</c15:txfldGUID>
                      <c15:f>Graphs!$D$66</c15:f>
                      <c15:dlblFieldTableCache>
                        <c:ptCount val="1"/>
                        <c:pt idx="0">
                          <c:v>#DIV/0!</c:v>
                        </c:pt>
                      </c15:dlblFieldTableCache>
                    </c15:dlblFTEntry>
                  </c15:dlblFieldTable>
                  <c15:showDataLabelsRange val="0"/>
                </c:ext>
                <c:ext xmlns:c16="http://schemas.microsoft.com/office/drawing/2014/chart" uri="{C3380CC4-5D6E-409C-BE32-E72D297353CC}">
                  <c16:uniqueId val="{00000020-C0A6-4569-AC31-BA846898B0C1}"/>
                </c:ext>
              </c:extLst>
            </c:dLbl>
            <c:dLbl>
              <c:idx val="3"/>
              <c:tx>
                <c:strRef>
                  <c:f>Graphs!$E$66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{C0DFCEB2-E146-47A1-9840-D7078E87A2FE}</c15:txfldGUID>
                      <c15:f>Graphs!$E$66</c15:f>
                      <c15:dlblFieldTableCache>
                        <c:ptCount val="1"/>
                        <c:pt idx="0">
                          <c:v>#DIV/0!</c:v>
                        </c:pt>
                      </c15:dlblFieldTableCache>
                    </c15:dlblFTEntry>
                  </c15:dlblFieldTable>
                  <c15:showDataLabelsRange val="0"/>
                </c:ext>
                <c:ext xmlns:c16="http://schemas.microsoft.com/office/drawing/2014/chart" uri="{C3380CC4-5D6E-409C-BE32-E72D297353CC}">
                  <c16:uniqueId val="{00000021-C0A6-4569-AC31-BA846898B0C1}"/>
                </c:ext>
              </c:extLst>
            </c:dLbl>
            <c:dLbl>
              <c:idx val="4"/>
              <c:tx>
                <c:strRef>
                  <c:f>Graphs!$F$66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{473826F5-4B02-46D2-B58E-86000BDDE435}</c15:txfldGUID>
                      <c15:f>Graphs!$F$66</c15:f>
                      <c15:dlblFieldTableCache>
                        <c:ptCount val="1"/>
                        <c:pt idx="0">
                          <c:v>#DIV/0!</c:v>
                        </c:pt>
                      </c15:dlblFieldTableCache>
                    </c15:dlblFTEntry>
                  </c15:dlblFieldTable>
                  <c15:showDataLabelsRange val="0"/>
                </c:ext>
                <c:ext xmlns:c16="http://schemas.microsoft.com/office/drawing/2014/chart" uri="{C3380CC4-5D6E-409C-BE32-E72D297353CC}">
                  <c16:uniqueId val="{00000022-C0A6-4569-AC31-BA846898B0C1}"/>
                </c:ext>
              </c:extLst>
            </c:dLbl>
            <c:dLbl>
              <c:idx val="5"/>
              <c:tx>
                <c:strRef>
                  <c:f>Graphs!$G$66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{C3C6D822-8EF8-4C1D-AC3A-8CD0A601D3D2}</c15:txfldGUID>
                      <c15:f>Graphs!$G$66</c15:f>
                      <c15:dlblFieldTableCache>
                        <c:ptCount val="1"/>
                        <c:pt idx="0">
                          <c:v>#DIV/0!</c:v>
                        </c:pt>
                      </c15:dlblFieldTableCache>
                    </c15:dlblFTEntry>
                  </c15:dlblFieldTable>
                  <c15:showDataLabelsRange val="0"/>
                </c:ext>
                <c:ext xmlns:c16="http://schemas.microsoft.com/office/drawing/2014/chart" uri="{C3380CC4-5D6E-409C-BE32-E72D297353CC}">
                  <c16:uniqueId val="{00000023-C0A6-4569-AC31-BA846898B0C1}"/>
                </c:ext>
              </c:extLst>
            </c:dLbl>
            <c:dLbl>
              <c:idx val="6"/>
              <c:tx>
                <c:strRef>
                  <c:f>Graphs!$H$66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{2FB29C4C-EFEB-4928-BBC8-FF6CBFBD1020}</c15:txfldGUID>
                      <c15:f>Graphs!$H$66</c15:f>
                      <c15:dlblFieldTableCache>
                        <c:ptCount val="1"/>
                        <c:pt idx="0">
                          <c:v>#DIV/0!</c:v>
                        </c:pt>
                      </c15:dlblFieldTableCache>
                    </c15:dlblFTEntry>
                  </c15:dlblFieldTable>
                  <c15:showDataLabelsRange val="0"/>
                </c:ext>
                <c:ext xmlns:c16="http://schemas.microsoft.com/office/drawing/2014/chart" uri="{C3380CC4-5D6E-409C-BE32-E72D297353CC}">
                  <c16:uniqueId val="{00000024-C0A6-4569-AC31-BA846898B0C1}"/>
                </c:ext>
              </c:extLst>
            </c:dLbl>
            <c:dLbl>
              <c:idx val="7"/>
              <c:tx>
                <c:strRef>
                  <c:f>Graphs!$I$66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{7B78B27D-507F-4255-9BCF-5E270658B860}</c15:txfldGUID>
                      <c15:f>Graphs!$I$66</c15:f>
                      <c15:dlblFieldTableCache>
                        <c:ptCount val="1"/>
                        <c:pt idx="0">
                          <c:v>#DIV/0!</c:v>
                        </c:pt>
                      </c15:dlblFieldTableCache>
                    </c15:dlblFTEntry>
                  </c15:dlblFieldTable>
                  <c15:showDataLabelsRange val="0"/>
                </c:ext>
                <c:ext xmlns:c16="http://schemas.microsoft.com/office/drawing/2014/chart" uri="{C3380CC4-5D6E-409C-BE32-E72D297353CC}">
                  <c16:uniqueId val="{00000025-C0A6-4569-AC31-BA846898B0C1}"/>
                </c:ext>
              </c:extLst>
            </c:dLbl>
            <c:dLbl>
              <c:idx val="8"/>
              <c:tx>
                <c:strRef>
                  <c:f>Graphs!$J$66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{E70C8D32-F39B-454A-BAAE-FFF72397EB84}</c15:txfldGUID>
                      <c15:f>Graphs!$J$66</c15:f>
                      <c15:dlblFieldTableCache>
                        <c:ptCount val="1"/>
                        <c:pt idx="0">
                          <c:v>#DIV/0!</c:v>
                        </c:pt>
                      </c15:dlblFieldTableCache>
                    </c15:dlblFTEntry>
                  </c15:dlblFieldTable>
                  <c15:showDataLabelsRange val="0"/>
                </c:ext>
                <c:ext xmlns:c16="http://schemas.microsoft.com/office/drawing/2014/chart" uri="{C3380CC4-5D6E-409C-BE32-E72D297353CC}">
                  <c16:uniqueId val="{00000026-C0A6-4569-AC31-BA846898B0C1}"/>
                </c:ext>
              </c:extLst>
            </c:dLbl>
            <c:dLbl>
              <c:idx val="9"/>
              <c:tx>
                <c:strRef>
                  <c:f>Graphs!$K$66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{85501913-AEF3-472E-9E70-213007B9563C}</c15:txfldGUID>
                      <c15:f>Graphs!$K$66</c15:f>
                      <c15:dlblFieldTableCache>
                        <c:ptCount val="1"/>
                        <c:pt idx="0">
                          <c:v>#DIV/0!</c:v>
                        </c:pt>
                      </c15:dlblFieldTableCache>
                    </c15:dlblFTEntry>
                  </c15:dlblFieldTable>
                  <c15:showDataLabelsRange val="0"/>
                </c:ext>
                <c:ext xmlns:c16="http://schemas.microsoft.com/office/drawing/2014/chart" uri="{C3380CC4-5D6E-409C-BE32-E72D297353CC}">
                  <c16:uniqueId val="{00000027-C0A6-4569-AC31-BA846898B0C1}"/>
                </c:ext>
              </c:extLst>
            </c:dLbl>
            <c:dLbl>
              <c:idx val="10"/>
              <c:tx>
                <c:strRef>
                  <c:f>Graphs!$L$66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{E8AB7BC5-6475-4906-A22A-5604D5E8CE83}</c15:txfldGUID>
                      <c15:f>Graphs!$L$66</c15:f>
                      <c15:dlblFieldTableCache>
                        <c:ptCount val="1"/>
                        <c:pt idx="0">
                          <c:v>#DIV/0!</c:v>
                        </c:pt>
                      </c15:dlblFieldTableCache>
                    </c15:dlblFTEntry>
                  </c15:dlblFieldTable>
                  <c15:showDataLabelsRange val="0"/>
                </c:ext>
                <c:ext xmlns:c16="http://schemas.microsoft.com/office/drawing/2014/chart" uri="{C3380CC4-5D6E-409C-BE32-E72D297353CC}">
                  <c16:uniqueId val="{00000028-C0A6-4569-AC31-BA846898B0C1}"/>
                </c:ext>
              </c:extLst>
            </c:dLbl>
            <c:dLbl>
              <c:idx val="11"/>
              <c:tx>
                <c:strRef>
                  <c:f>Graphs!$M$66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{EAECCCFF-479A-4CED-8D16-BF07F9779ACA}</c15:txfldGUID>
                      <c15:f>Graphs!$M$66</c15:f>
                      <c15:dlblFieldTableCache>
                        <c:ptCount val="1"/>
                        <c:pt idx="0">
                          <c:v>#DIV/0!</c:v>
                        </c:pt>
                      </c15:dlblFieldTableCache>
                    </c15:dlblFTEntry>
                  </c15:dlblFieldTable>
                  <c15:showDataLabelsRange val="0"/>
                </c:ext>
                <c:ext xmlns:c16="http://schemas.microsoft.com/office/drawing/2014/chart" uri="{C3380CC4-5D6E-409C-BE32-E72D297353CC}">
                  <c16:uniqueId val="{00000029-C0A6-4569-AC31-BA846898B0C1}"/>
                </c:ext>
              </c:extLst>
            </c:dLbl>
            <c:dLbl>
              <c:idx val="12"/>
              <c:tx>
                <c:strRef>
                  <c:f>Graphs!$N$66</c:f>
                  <c:strCache>
                    <c:ptCount val="1"/>
                    <c:pt idx="0">
                      <c:v>#DIV/0!</c:v>
                    </c:pt>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{9E842DD0-D360-466D-A0D8-EFA5E5839890}</c15:txfldGUID>
                      <c15:f>Graphs!$N$66</c15:f>
                      <c15:dlblFieldTableCache>
                        <c:ptCount val="1"/>
                        <c:pt idx="0">
                          <c:v>#DIV/0!</c:v>
                        </c:pt>
                      </c15:dlblFieldTableCache>
                    </c15:dlblFTEntry>
                  </c15:dlblFieldTable>
                  <c15:showDataLabelsRange val="0"/>
                </c:ext>
                <c:ext xmlns:c16="http://schemas.microsoft.com/office/drawing/2014/chart" uri="{C3380CC4-5D6E-409C-BE32-E72D297353CC}">
                  <c16:uniqueId val="{0000002A-C0A6-4569-AC31-BA846898B0C1}"/>
                </c:ext>
              </c:extLst>
            </c:dLbl>
            <c:dLbl>
              <c:idx val="13"/>
              <c:tx>
                <c:strRef>
                  <c:f>Graphs!$O$66</c:f>
                  <c:strCache>
                    <c:ptCount val="1"/>
                  </c:strCache>
                </c:strRef>
              </c:tx>
              <c:dLblPos val="ctr"/>
              <c:showLegendKey val="0"/>
              <c:showVal val="1"/>
              <c:showCatName val="0"/>
              <c:showSerName val="0"/>
              <c:showPercent val="0"/>
              <c:showBubbleSize val="0"/>
              <c:extLst>
                <c:ext xmlns:c15="http://schemas.microsoft.com/office/drawing/2012/chart" uri="{CE6537A1-D6FC-4f65-9D91-7224C49458BB}">
                  <c15:dlblFieldTable>
                    <c15:dlblFTEntry>
                      <c15:txfldGUID>{624C0C8E-8A90-4E46-9819-9668C559AD2F}</c15:txfldGUID>
                      <c15:f>Graphs!$O$66</c15:f>
                      <c15:dlblFieldTableCache>
                        <c:ptCount val="1"/>
                      </c15:dlblFieldTableCache>
                    </c15:dlblFTEntry>
                  </c15:dlblFieldTable>
                  <c15:showDataLabelsRange val="0"/>
                </c:ext>
                <c:ext xmlns:c16="http://schemas.microsoft.com/office/drawing/2014/chart" uri="{C3380CC4-5D6E-409C-BE32-E72D297353CC}">
                  <c16:uniqueId val="{0000002B-C0A6-4569-AC31-BA846898B0C1}"/>
                </c:ext>
              </c:extLst>
            </c:dLbl>
            <c:spPr>
              <a:noFill/>
              <a:ln>
                <a:noFill/>
              </a:ln>
              <a:effectLst/>
            </c:spPr>
            <c:dLblPos val="ct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numRef>
              <c:f>Graphs!$B$50:$O$50</c:f>
              <c:numCache>
                <c:formatCode>General</c:formatCode>
                <c:ptCount val="14"/>
                <c:pt idx="0">
                  <c:v>2020</c:v>
                </c:pt>
                <c:pt idx="1">
                  <c:v>2021</c:v>
                </c:pt>
                <c:pt idx="2">
                  <c:v>2022</c:v>
                </c:pt>
                <c:pt idx="3">
                  <c:v>2023</c:v>
                </c:pt>
                <c:pt idx="4">
                  <c:v>2024</c:v>
                </c:pt>
                <c:pt idx="5">
                  <c:v>2025</c:v>
                </c:pt>
                <c:pt idx="6">
                  <c:v>2026</c:v>
                </c:pt>
                <c:pt idx="7">
                  <c:v>2027</c:v>
                </c:pt>
                <c:pt idx="8">
                  <c:v>2028</c:v>
                </c:pt>
                <c:pt idx="9">
                  <c:v>2029</c:v>
                </c:pt>
                <c:pt idx="10">
                  <c:v>2030</c:v>
                </c:pt>
                <c:pt idx="11">
                  <c:v>2031</c:v>
                </c:pt>
                <c:pt idx="12">
                  <c:v>2032</c:v>
                </c:pt>
              </c:numCache>
            </c:numRef>
          </c:cat>
          <c:val>
            <c:numRef>
              <c:f>Graphs!$B$53:$O$53</c:f>
              <c:numCache>
                <c:formatCode>_(* #,##0_);_(* \(#,##0\);_(* "-"??_);_(@_)</c:formatCode>
                <c:ptCount val="14"/>
              </c:numCache>
            </c:numRef>
          </c:val>
          <c:extLst>
            <c:ext xmlns:c16="http://schemas.microsoft.com/office/drawing/2014/chart" uri="{C3380CC4-5D6E-409C-BE32-E72D297353CC}">
              <c16:uniqueId val="{0000002C-C0A6-4569-AC31-BA846898B0C1}"/>
            </c:ext>
          </c:extLst>
        </c:ser>
        <c:dLbls>
          <c:dLblPos val="ctr"/>
          <c:showLegendKey val="0"/>
          <c:showVal val="1"/>
          <c:showCatName val="0"/>
          <c:showSerName val="0"/>
          <c:showPercent val="0"/>
          <c:showBubbleSize val="0"/>
        </c:dLbls>
        <c:gapWidth val="75"/>
        <c:overlap val="100"/>
        <c:axId val="265278208"/>
        <c:axId val="265279744"/>
      </c:barChart>
      <c:catAx>
        <c:axId val="265278208"/>
        <c:scaling>
          <c:orientation val="minMax"/>
        </c:scaling>
        <c:delete val="0"/>
        <c:axPos val="b"/>
        <c:numFmt formatCode="General" sourceLinked="1"/>
        <c:majorTickMark val="none"/>
        <c:minorTickMark val="none"/>
        <c:tickLblPos val="nextTo"/>
        <c:crossAx val="265279744"/>
        <c:crosses val="autoZero"/>
        <c:auto val="1"/>
        <c:lblAlgn val="ctr"/>
        <c:lblOffset val="100"/>
        <c:noMultiLvlLbl val="0"/>
      </c:catAx>
      <c:valAx>
        <c:axId val="265279744"/>
        <c:scaling>
          <c:orientation val="minMax"/>
        </c:scaling>
        <c:delete val="0"/>
        <c:axPos val="l"/>
        <c:majorGridlines/>
        <c:numFmt formatCode="_(* #,##0_);_(* \(#,##0\);_(* &quot;-&quot;??_);_(@_)" sourceLinked="1"/>
        <c:majorTickMark val="none"/>
        <c:minorTickMark val="none"/>
        <c:tickLblPos val="nextTo"/>
        <c:spPr>
          <a:ln w="9525">
            <a:noFill/>
          </a:ln>
        </c:spPr>
        <c:crossAx val="265278208"/>
        <c:crosses val="autoZero"/>
        <c:crossBetween val="between"/>
      </c:valAx>
    </c:plotArea>
    <c:legend>
      <c:legendPos val="b"/>
      <c:overlay val="0"/>
    </c:legend>
    <c:plotVisOnly val="1"/>
    <c:dispBlanksAs val="gap"/>
    <c:showDLblsOverMax val="0"/>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4"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15</xdr:col>
      <xdr:colOff>609599</xdr:colOff>
      <xdr:row>0</xdr:row>
      <xdr:rowOff>42862</xdr:rowOff>
    </xdr:from>
    <xdr:to>
      <xdr:col>29</xdr:col>
      <xdr:colOff>38100</xdr:colOff>
      <xdr:row>20</xdr:row>
      <xdr:rowOff>133350</xdr:rowOff>
    </xdr:to>
    <xdr:graphicFrame macro="">
      <xdr:nvGraphicFramePr>
        <xdr:cNvPr id="2" name="Chart 1">
          <a:extLst>
            <a:ext uri="{FF2B5EF4-FFF2-40B4-BE49-F238E27FC236}">
              <a16:creationId xmlns:a16="http://schemas.microsoft.com/office/drawing/2014/main" id="{00000000-0008-0000-2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30</xdr:col>
      <xdr:colOff>0</xdr:colOff>
      <xdr:row>0</xdr:row>
      <xdr:rowOff>0</xdr:rowOff>
    </xdr:from>
    <xdr:to>
      <xdr:col>43</xdr:col>
      <xdr:colOff>38101</xdr:colOff>
      <xdr:row>20</xdr:row>
      <xdr:rowOff>90488</xdr:rowOff>
    </xdr:to>
    <xdr:graphicFrame macro="">
      <xdr:nvGraphicFramePr>
        <xdr:cNvPr id="3" name="Chart 2">
          <a:extLst>
            <a:ext uri="{FF2B5EF4-FFF2-40B4-BE49-F238E27FC236}">
              <a16:creationId xmlns:a16="http://schemas.microsoft.com/office/drawing/2014/main" id="{00000000-0008-0000-2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9524</xdr:colOff>
      <xdr:row>22</xdr:row>
      <xdr:rowOff>23811</xdr:rowOff>
    </xdr:from>
    <xdr:to>
      <xdr:col>29</xdr:col>
      <xdr:colOff>19049</xdr:colOff>
      <xdr:row>38</xdr:row>
      <xdr:rowOff>9524</xdr:rowOff>
    </xdr:to>
    <xdr:graphicFrame macro="">
      <xdr:nvGraphicFramePr>
        <xdr:cNvPr id="4" name="Chart 3">
          <a:extLst>
            <a:ext uri="{FF2B5EF4-FFF2-40B4-BE49-F238E27FC236}">
              <a16:creationId xmlns:a16="http://schemas.microsoft.com/office/drawing/2014/main" id="{00000000-0008-0000-20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29</xdr:col>
      <xdr:colOff>598714</xdr:colOff>
      <xdr:row>22</xdr:row>
      <xdr:rowOff>27215</xdr:rowOff>
    </xdr:from>
    <xdr:to>
      <xdr:col>42</xdr:col>
      <xdr:colOff>608238</xdr:colOff>
      <xdr:row>38</xdr:row>
      <xdr:rowOff>12928</xdr:rowOff>
    </xdr:to>
    <xdr:graphicFrame macro="">
      <xdr:nvGraphicFramePr>
        <xdr:cNvPr id="5" name="Chart 4">
          <a:extLst>
            <a:ext uri="{FF2B5EF4-FFF2-40B4-BE49-F238E27FC236}">
              <a16:creationId xmlns:a16="http://schemas.microsoft.com/office/drawing/2014/main" id="{00000000-0008-0000-20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16</xdr:col>
      <xdr:colOff>-1</xdr:colOff>
      <xdr:row>39</xdr:row>
      <xdr:rowOff>13607</xdr:rowOff>
    </xdr:from>
    <xdr:to>
      <xdr:col>29</xdr:col>
      <xdr:colOff>9524</xdr:colOff>
      <xdr:row>55</xdr:row>
      <xdr:rowOff>53749</xdr:rowOff>
    </xdr:to>
    <xdr:graphicFrame macro="">
      <xdr:nvGraphicFramePr>
        <xdr:cNvPr id="6" name="Chart 5">
          <a:extLst>
            <a:ext uri="{FF2B5EF4-FFF2-40B4-BE49-F238E27FC236}">
              <a16:creationId xmlns:a16="http://schemas.microsoft.com/office/drawing/2014/main" id="{00000000-0008-0000-2000-000006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30</xdr:col>
      <xdr:colOff>0</xdr:colOff>
      <xdr:row>39</xdr:row>
      <xdr:rowOff>0</xdr:rowOff>
    </xdr:from>
    <xdr:to>
      <xdr:col>43</xdr:col>
      <xdr:colOff>9525</xdr:colOff>
      <xdr:row>55</xdr:row>
      <xdr:rowOff>40142</xdr:rowOff>
    </xdr:to>
    <xdr:graphicFrame macro="">
      <xdr:nvGraphicFramePr>
        <xdr:cNvPr id="7" name="Chart 6">
          <a:extLst>
            <a:ext uri="{FF2B5EF4-FFF2-40B4-BE49-F238E27FC236}">
              <a16:creationId xmlns:a16="http://schemas.microsoft.com/office/drawing/2014/main" id="{00000000-0008-0000-2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29</xdr:col>
      <xdr:colOff>605116</xdr:colOff>
      <xdr:row>55</xdr:row>
      <xdr:rowOff>186416</xdr:rowOff>
    </xdr:from>
    <xdr:to>
      <xdr:col>43</xdr:col>
      <xdr:colOff>13388</xdr:colOff>
      <xdr:row>74</xdr:row>
      <xdr:rowOff>133076</xdr:rowOff>
    </xdr:to>
    <xdr:graphicFrame macro="">
      <xdr:nvGraphicFramePr>
        <xdr:cNvPr id="9" name="Chart 8">
          <a:extLst>
            <a:ext uri="{FF2B5EF4-FFF2-40B4-BE49-F238E27FC236}">
              <a16:creationId xmlns:a16="http://schemas.microsoft.com/office/drawing/2014/main" id="{00000000-0008-0000-2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16</xdr:col>
      <xdr:colOff>0</xdr:colOff>
      <xdr:row>56</xdr:row>
      <xdr:rowOff>9525</xdr:rowOff>
    </xdr:from>
    <xdr:to>
      <xdr:col>29</xdr:col>
      <xdr:colOff>13389</xdr:colOff>
      <xdr:row>74</xdr:row>
      <xdr:rowOff>146685</xdr:rowOff>
    </xdr:to>
    <xdr:graphicFrame macro="">
      <xdr:nvGraphicFramePr>
        <xdr:cNvPr id="10" name="Chart 9">
          <a:extLst>
            <a:ext uri="{FF2B5EF4-FFF2-40B4-BE49-F238E27FC236}">
              <a16:creationId xmlns:a16="http://schemas.microsoft.com/office/drawing/2014/main" id="{00000000-0008-0000-20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 Id="rId4" Type="http://schemas.openxmlformats.org/officeDocument/2006/relationships/comments" Target="../comments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 Id="rId4" Type="http://schemas.openxmlformats.org/officeDocument/2006/relationships/comments" Target="../comments4.xm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0.bin"/><Relationship Id="rId2" Type="http://schemas.openxmlformats.org/officeDocument/2006/relationships/hyperlink" Target="file:///\\hpsu001vdi1.bud.bpa.gov\cifs_mypc_userdata\UserData\Users\MDE5651\Documents\IPR\Data%20Inputs\References\FY18_Allocations%20Documentation.docx" TargetMode="External"/><Relationship Id="rId1" Type="http://schemas.openxmlformats.org/officeDocument/2006/relationships/printerSettings" Target="../printerSettings/printerSettings9.bin"/><Relationship Id="rId5" Type="http://schemas.openxmlformats.org/officeDocument/2006/relationships/comments" Target="../comments5.xml"/><Relationship Id="rId4" Type="http://schemas.openxmlformats.org/officeDocument/2006/relationships/vmlDrawing" Target="../drawings/vmlDrawing5.vml"/></Relationships>
</file>

<file path=xl/worksheets/_rels/sheet6.xml.rels><?xml version="1.0" encoding="UTF-8" standalone="yes"?>
<Relationships xmlns="http://schemas.openxmlformats.org/package/2006/relationships"><Relationship Id="rId2" Type="http://schemas.openxmlformats.org/officeDocument/2006/relationships/comments" Target="../comments6.xml"/><Relationship Id="rId1" Type="http://schemas.openxmlformats.org/officeDocument/2006/relationships/vmlDrawing" Target="../drawings/vmlDrawing6.vml"/></Relationships>
</file>

<file path=xl/worksheets/_rels/sheet7.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hyperlink" Target="file:///\\hpsu001vdi1.bud.bpa.gov\cifs_mypc_userdata\UserData\Users\MDE5651\Documents\OfficeRecovery\Excel\Email%20References\$23m%20for%20Capital%20Financing%20Decision.msg" TargetMode="External"/><Relationship Id="rId1" Type="http://schemas.openxmlformats.org/officeDocument/2006/relationships/printerSettings" Target="../printerSettings/printerSettings11.bin"/><Relationship Id="rId5" Type="http://schemas.openxmlformats.org/officeDocument/2006/relationships/comments" Target="../comments7.xml"/><Relationship Id="rId4" Type="http://schemas.openxmlformats.org/officeDocument/2006/relationships/vmlDrawing" Target="../drawings/vmlDrawing7.vml"/></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8.vml"/><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 Id="rId4" Type="http://schemas.openxmlformats.org/officeDocument/2006/relationships/comments" Target="../comments8.xml"/></Relationships>
</file>

<file path=xl/worksheets/_rels/sheet10.xml.rels><?xml version="1.0" encoding="UTF-8" standalone="yes"?>
<Relationships xmlns="http://schemas.openxmlformats.org/package/2006/relationships"><Relationship Id="rId2" Type="http://schemas.openxmlformats.org/officeDocument/2006/relationships/printerSettings" Target="../printerSettings/printerSettings16.bin"/><Relationship Id="rId1" Type="http://schemas.openxmlformats.org/officeDocument/2006/relationships/printerSettings" Target="../printerSettings/printerSettings15.bin"/></Relationships>
</file>

<file path=xl/worksheets/_rels/sheet11.xml.rels><?xml version="1.0" encoding="UTF-8" standalone="yes"?>
<Relationships xmlns="http://schemas.openxmlformats.org/package/2006/relationships"><Relationship Id="rId3"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7" Type="http://schemas.openxmlformats.org/officeDocument/2006/relationships/comments" Target="../comments9.xml"/><Relationship Id="rId2" Type="http://schemas.openxmlformats.org/officeDocument/2006/relationships/hyperlink" Target="file:///\\hpsu001vdi1.bud.bpa.gov\cifs_mypc_userdata\UserData\Users\MDE5651\Documents\OfficeRecovery\Excel\Data%20Inputs\BP-20%20Initial%20Proposal%20Transmission%20Segmentation%20Documentation%20from%20Loescher.xlsx" TargetMode="External"/><Relationship Id="rId1" Type="http://schemas.openxmlformats.org/officeDocument/2006/relationships/hyperlink" Target="file:///\\hpsu001vdi1.bud.bpa.gov\cifs_mypc_userdata\UserData\Users\MDE5651\Documents\OfficeRecovery\Excel\TS%20BP-20%20IP%20Plant%20Model_v3.xlsx" TargetMode="External"/><Relationship Id="rId6" Type="http://schemas.openxmlformats.org/officeDocument/2006/relationships/vmlDrawing" Target="../drawings/vmlDrawing9.vml"/><Relationship Id="rId5" Type="http://schemas.openxmlformats.org/officeDocument/2006/relationships/printerSettings" Target="../printerSettings/printerSettings17.bin"/><Relationship Id="rId4" Type="http://schemas.openxmlformats.org/officeDocument/2006/relationships/hyperlink" Target="file:///\\hpsu001vdi1.bud.bpa.gov\cifs_mypc_userdata\UserData\Users\MDE5651\Documents\OfficeRecovery\Excel\Data%20Inputs\BP-20%20synchronous%20condensing08272018%20from%20John%20Wellschlager.xls" TargetMode="External"/></Relationships>
</file>

<file path=xl/worksheets/_rels/sheet12.xml.rels><?xml version="1.0" encoding="UTF-8" standalone="yes"?>
<Relationships xmlns="http://schemas.openxmlformats.org/package/2006/relationships"><Relationship Id="rId3"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7" Type="http://schemas.openxmlformats.org/officeDocument/2006/relationships/comments" Target="../comments10.xml"/><Relationship Id="rId2" Type="http://schemas.openxmlformats.org/officeDocument/2006/relationships/hyperlink" Target="file:///\\hpsu001vdi1.bud.bpa.gov\cifs_mypc_userdata\UserData\Users\MDE5651\Documents\OfficeRecovery\Excel\Data%20Inputs\BP-20%20Initial%20Proposal%20Transmission%20Segmentation%20Documentation%20from%20Loescher.xlsx" TargetMode="External"/><Relationship Id="rId1" Type="http://schemas.openxmlformats.org/officeDocument/2006/relationships/hyperlink" Target="file:///\\hpsu001vdi1.bud.bpa.gov\cifs_mypc_userdata\UserData\Users\MDE5651\Documents\OfficeRecovery\Excel\TS%20BP-20%20IP%20Plant%20Model_v3.xlsx" TargetMode="External"/><Relationship Id="rId6" Type="http://schemas.openxmlformats.org/officeDocument/2006/relationships/vmlDrawing" Target="../drawings/vmlDrawing10.vml"/><Relationship Id="rId5" Type="http://schemas.openxmlformats.org/officeDocument/2006/relationships/printerSettings" Target="../printerSettings/printerSettings18.bin"/><Relationship Id="rId4" Type="http://schemas.openxmlformats.org/officeDocument/2006/relationships/hyperlink" Target="file:///\\hpsu001vdi1.bud.bpa.gov\cifs_mypc_userdata\UserData\Users\MDE5651\Documents\OfficeRecovery\Excel\Data%20Inputs\BP-20%20synchronous%20condensing08272018%20from%20John%20Wellschlager.xls" TargetMode="External"/></Relationships>
</file>

<file path=xl/worksheets/_rels/sheet13.xml.rels><?xml version="1.0" encoding="UTF-8" standalone="yes"?>
<Relationships xmlns="http://schemas.openxmlformats.org/package/2006/relationships"><Relationship Id="rId8" Type="http://schemas.openxmlformats.org/officeDocument/2006/relationships/comments" Target="../comments11.xml"/><Relationship Id="rId3" Type="http://schemas.openxmlformats.org/officeDocument/2006/relationships/hyperlink" Target="file:///\\hpsu001vdi1.bud.bpa.gov\cifs_mypc_userdata\UserData\Users\MDE5651\Documents\OfficeRecovery\Excel\Data%20Inputs\BP-20%20Initial%20Proposal%20Transmission%20Segmentation%20Documentation%20from%20Loescher.xlsx" TargetMode="External"/><Relationship Id="rId7" Type="http://schemas.openxmlformats.org/officeDocument/2006/relationships/vmlDrawing" Target="../drawings/vmlDrawing11.vml"/><Relationship Id="rId2" Type="http://schemas.openxmlformats.org/officeDocument/2006/relationships/hyperlink" Target="file:///\\hpsu001vdi1.bud.bpa.gov\cifs_mypc_userdata\UserData\Users\MDE5651\Documents\OfficeRecovery\Excel\TS%20BP-20%20IP%20Plant%20Model_v3.xlsx" TargetMode="External"/><Relationship Id="rId1" Type="http://schemas.openxmlformats.org/officeDocument/2006/relationships/printerSettings" Target="../printerSettings/printerSettings19.bin"/><Relationship Id="rId6" Type="http://schemas.openxmlformats.org/officeDocument/2006/relationships/printerSettings" Target="../printerSettings/printerSettings20.bin"/><Relationship Id="rId5" Type="http://schemas.openxmlformats.org/officeDocument/2006/relationships/hyperlink" Target="file:///\\hpsu001vdi1.bud.bpa.gov\cifs_mypc_userdata\UserData\Users\MDE5651\Documents\OfficeRecovery\Excel\Data%20Inputs\BP-20%20synchronous%20condensing08272018%20from%20John%20Wellschlager.xls" TargetMode="External"/><Relationship Id="rId4" Type="http://schemas.openxmlformats.org/officeDocument/2006/relationships/hyperlink" Target="file:///\\hpsu001vdi1.bud.bpa.gov\cifs_mypc_userdata\UserData\Users\MDE5651\Documents\OfficeRecovery\Excel\Data%20Inputs\BP-20%20IP%20COE%20BOR%20Split%20from%20Alex%20Lennox%20on%20Sept%2018.xlsx" TargetMode="External"/></Relationships>
</file>

<file path=xl/worksheets/_rels/sheet14.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printerSettings" Target="../printerSettings/printerSettings21.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s>
</file>

<file path=xl/worksheets/_rels/sheet16.xml.rels><?xml version="1.0" encoding="UTF-8" standalone="yes"?>
<Relationships xmlns="http://schemas.openxmlformats.org/package/2006/relationships"><Relationship Id="rId2" Type="http://schemas.openxmlformats.org/officeDocument/2006/relationships/printerSettings" Target="../printerSettings/printerSettings26.bin"/><Relationship Id="rId1" Type="http://schemas.openxmlformats.org/officeDocument/2006/relationships/printerSettings" Target="../printerSettings/printerSettings25.bin"/></Relationships>
</file>

<file path=xl/worksheets/_rels/sheet17.xml.rels><?xml version="1.0" encoding="UTF-8" standalone="yes"?>
<Relationships xmlns="http://schemas.openxmlformats.org/package/2006/relationships"><Relationship Id="rId3" Type="http://schemas.openxmlformats.org/officeDocument/2006/relationships/printerSettings" Target="../printerSettings/printerSettings28.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27.bin"/><Relationship Id="rId5" Type="http://schemas.openxmlformats.org/officeDocument/2006/relationships/comments" Target="../comments12.xml"/><Relationship Id="rId4" Type="http://schemas.openxmlformats.org/officeDocument/2006/relationships/vmlDrawing" Target="../drawings/vmlDrawing12.vml"/></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30.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29.bin"/><Relationship Id="rId5" Type="http://schemas.openxmlformats.org/officeDocument/2006/relationships/comments" Target="../comments13.xml"/><Relationship Id="rId4" Type="http://schemas.openxmlformats.org/officeDocument/2006/relationships/vmlDrawing" Target="../drawings/vmlDrawing13.vml"/></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32.bin"/><Relationship Id="rId1" Type="http://schemas.openxmlformats.org/officeDocument/2006/relationships/printerSettings" Target="../printerSettings/printerSettings31.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34.bin"/><Relationship Id="rId1" Type="http://schemas.openxmlformats.org/officeDocument/2006/relationships/printerSettings" Target="../printerSettings/printerSettings33.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36.bin"/><Relationship Id="rId1" Type="http://schemas.openxmlformats.org/officeDocument/2006/relationships/printerSettings" Target="../printerSettings/printerSettings35.bin"/></Relationships>
</file>

<file path=xl/worksheets/_rels/sheet22.xml.rels><?xml version="1.0" encoding="UTF-8" standalone="yes"?>
<Relationships xmlns="http://schemas.openxmlformats.org/package/2006/relationships"><Relationship Id="rId3" Type="http://schemas.openxmlformats.org/officeDocument/2006/relationships/printerSettings" Target="../printerSettings/printerSettings38.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37.bin"/><Relationship Id="rId5" Type="http://schemas.openxmlformats.org/officeDocument/2006/relationships/comments" Target="../comments14.xml"/><Relationship Id="rId4" Type="http://schemas.openxmlformats.org/officeDocument/2006/relationships/vmlDrawing" Target="../drawings/vmlDrawing14.vml"/></Relationships>
</file>

<file path=xl/worksheets/_rels/sheet23.xml.rels><?xml version="1.0" encoding="UTF-8" standalone="yes"?>
<Relationships xmlns="http://schemas.openxmlformats.org/package/2006/relationships"><Relationship Id="rId3" Type="http://schemas.openxmlformats.org/officeDocument/2006/relationships/printerSettings" Target="../printerSettings/printerSettings40.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39.bin"/><Relationship Id="rId5" Type="http://schemas.openxmlformats.org/officeDocument/2006/relationships/comments" Target="../comments15.xml"/><Relationship Id="rId4" Type="http://schemas.openxmlformats.org/officeDocument/2006/relationships/vmlDrawing" Target="../drawings/vmlDrawing15.vml"/></Relationships>
</file>

<file path=xl/worksheets/_rels/sheet24.xml.rels><?xml version="1.0" encoding="UTF-8" standalone="yes"?>
<Relationships xmlns="http://schemas.openxmlformats.org/package/2006/relationships"><Relationship Id="rId3" Type="http://schemas.openxmlformats.org/officeDocument/2006/relationships/printerSettings" Target="../printerSettings/printerSettings42.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41.bin"/><Relationship Id="rId5" Type="http://schemas.openxmlformats.org/officeDocument/2006/relationships/comments" Target="../comments16.xml"/><Relationship Id="rId4" Type="http://schemas.openxmlformats.org/officeDocument/2006/relationships/vmlDrawing" Target="../drawings/vmlDrawing16.vml"/></Relationships>
</file>

<file path=xl/worksheets/_rels/sheet25.xml.rels><?xml version="1.0" encoding="UTF-8" standalone="yes"?>
<Relationships xmlns="http://schemas.openxmlformats.org/package/2006/relationships"><Relationship Id="rId3" Type="http://schemas.openxmlformats.org/officeDocument/2006/relationships/printerSettings" Target="../printerSettings/printerSettings44.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43.bin"/><Relationship Id="rId5" Type="http://schemas.openxmlformats.org/officeDocument/2006/relationships/comments" Target="../comments17.xml"/><Relationship Id="rId4" Type="http://schemas.openxmlformats.org/officeDocument/2006/relationships/vmlDrawing" Target="../drawings/vmlDrawing17.vml"/></Relationships>
</file>

<file path=xl/worksheets/_rels/sheet26.xml.rels><?xml version="1.0" encoding="UTF-8" standalone="yes"?>
<Relationships xmlns="http://schemas.openxmlformats.org/package/2006/relationships"><Relationship Id="rId3" Type="http://schemas.openxmlformats.org/officeDocument/2006/relationships/printerSettings" Target="../printerSettings/printerSettings46.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45.bin"/><Relationship Id="rId5" Type="http://schemas.openxmlformats.org/officeDocument/2006/relationships/comments" Target="../comments18.xml"/><Relationship Id="rId4" Type="http://schemas.openxmlformats.org/officeDocument/2006/relationships/vmlDrawing" Target="../drawings/vmlDrawing18.vml"/></Relationships>
</file>

<file path=xl/worksheets/_rels/sheet27.xml.rels><?xml version="1.0" encoding="UTF-8" standalone="yes"?>
<Relationships xmlns="http://schemas.openxmlformats.org/package/2006/relationships"><Relationship Id="rId3" Type="http://schemas.openxmlformats.org/officeDocument/2006/relationships/printerSettings" Target="../printerSettings/printerSettings48.bin"/><Relationship Id="rId2"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1" Type="http://schemas.openxmlformats.org/officeDocument/2006/relationships/printerSettings" Target="../printerSettings/printerSettings47.bin"/><Relationship Id="rId5" Type="http://schemas.openxmlformats.org/officeDocument/2006/relationships/comments" Target="../comments19.xml"/><Relationship Id="rId4" Type="http://schemas.openxmlformats.org/officeDocument/2006/relationships/vmlDrawing" Target="../drawings/vmlDrawing19.vm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32.xml.rels><?xml version="1.0" encoding="UTF-8" standalone="yes"?>
<Relationships xmlns="http://schemas.openxmlformats.org/package/2006/relationships"><Relationship Id="rId3"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7" Type="http://schemas.openxmlformats.org/officeDocument/2006/relationships/comments" Target="../comments20.xml"/><Relationship Id="rId2" Type="http://schemas.openxmlformats.org/officeDocument/2006/relationships/hyperlink" Target="file:///\\hpsu001vdi1.bud.bpa.gov\cifs_mypc_userdata\UserData\Users\MDE5651\Documents\OfficeRecovery\Excel\Data%20Inputs\BP-20%20Initial%20Proposal%20Transmission%20Segmentation%20Documentation%20from%20Loescher.xlsx" TargetMode="External"/><Relationship Id="rId1" Type="http://schemas.openxmlformats.org/officeDocument/2006/relationships/hyperlink" Target="file:///\\hpsu001vdi1.bud.bpa.gov\cifs_mypc_userdata\UserData\Users\MDE5651\Documents\OfficeRecovery\Excel\TS%20BP-20%20IP%20Plant%20Model_v3.xlsx" TargetMode="External"/><Relationship Id="rId6" Type="http://schemas.openxmlformats.org/officeDocument/2006/relationships/vmlDrawing" Target="../drawings/vmlDrawing20.vml"/><Relationship Id="rId5" Type="http://schemas.openxmlformats.org/officeDocument/2006/relationships/printerSettings" Target="../printerSettings/printerSettings53.bin"/><Relationship Id="rId4" Type="http://schemas.openxmlformats.org/officeDocument/2006/relationships/hyperlink" Target="file:///\\hpsu001vdi1.bud.bpa.gov\cifs_mypc_userdata\UserData\Users\MDE5651\Documents\OfficeRecovery\Excel\Data%20Inputs\BP-20%20synchronous%20condensing08272018%20from%20John%20Wellschlager.xls" TargetMode="External"/></Relationships>
</file>

<file path=xl/worksheets/_rels/sheet33.xml.rels><?xml version="1.0" encoding="UTF-8" standalone="yes"?>
<Relationships xmlns="http://schemas.openxmlformats.org/package/2006/relationships"><Relationship Id="rId3" Type="http://schemas.openxmlformats.org/officeDocument/2006/relationships/hyperlink" Target="file:///\\hpsu001vdi1.bud.bpa.gov\cifs_mypc_userdata\UserData\Users\MDE5651\Documents\OfficeRecovery\Excel\Data%20Inputs\BP-20%20IP%20COE%20BOR%20Split%20from%20Alex%20Lennox%20on%20Sept%2018.xlsx" TargetMode="External"/><Relationship Id="rId2" Type="http://schemas.openxmlformats.org/officeDocument/2006/relationships/hyperlink" Target="file:///\\hpsu001vdi1.bud.bpa.gov\cifs_mypc_userdata\UserData\Users\MDE5651\Documents\OfficeRecovery\Excel\Data%20Inputs\BP-20%20Initial%20Proposal%20Transmission%20Segmentation%20Documentation%20from%20Loescher.xlsx" TargetMode="External"/><Relationship Id="rId1" Type="http://schemas.openxmlformats.org/officeDocument/2006/relationships/hyperlink" Target="file:///\\hpsu001vdi1.bud.bpa.gov\cifs_mypc_userdata\UserData\Users\MDE5651\Documents\OfficeRecovery\Excel\TS%20BP-20%20IP%20Plant%20Model_v3.xlsx" TargetMode="External"/><Relationship Id="rId6" Type="http://schemas.openxmlformats.org/officeDocument/2006/relationships/comments" Target="../comments21.xml"/><Relationship Id="rId5" Type="http://schemas.openxmlformats.org/officeDocument/2006/relationships/vmlDrawing" Target="../drawings/vmlDrawing21.vml"/><Relationship Id="rId4" Type="http://schemas.openxmlformats.org/officeDocument/2006/relationships/hyperlink" Target="file:///\\hpsu001vdi1.bud.bpa.gov\cifs_mypc_userdata\UserData\Users\MDE5651\Documents\OfficeRecovery\Excel\Data%20Inputs\BP-20%20synchronous%20condensing08272018%20from%20John%20Wellschlager.xls" TargetMode="External"/></Relationships>
</file>

<file path=xl/worksheets/_rels/sheet34.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55.bin"/><Relationship Id="rId1" Type="http://schemas.openxmlformats.org/officeDocument/2006/relationships/printerSettings" Target="../printerSettings/printerSettings5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tabColor theme="7" tint="0.59999389629810485"/>
  </sheetPr>
  <dimension ref="A1:AH83"/>
  <sheetViews>
    <sheetView workbookViewId="0">
      <selection sqref="A1:M1"/>
    </sheetView>
  </sheetViews>
  <sheetFormatPr defaultColWidth="9.140625" defaultRowHeight="15"/>
  <cols>
    <col min="1" max="1" width="4.42578125" style="13" customWidth="1"/>
    <col min="2" max="2" width="22.7109375" style="13" customWidth="1"/>
    <col min="3" max="3" width="38" style="13" customWidth="1"/>
    <col min="4" max="13" width="10.7109375" style="13" customWidth="1"/>
    <col min="14" max="16384" width="9.140625" style="13"/>
  </cols>
  <sheetData>
    <row r="1" spans="1:13" ht="18.75">
      <c r="A1" s="908" t="s">
        <v>207</v>
      </c>
      <c r="B1" s="909"/>
      <c r="C1" s="909"/>
      <c r="D1" s="909"/>
      <c r="E1" s="909"/>
      <c r="F1" s="909"/>
      <c r="G1" s="909"/>
      <c r="H1" s="909"/>
      <c r="I1" s="909"/>
      <c r="J1" s="909"/>
      <c r="K1" s="909"/>
      <c r="L1" s="909"/>
      <c r="M1" s="910"/>
    </row>
    <row r="2" spans="1:13" ht="18.75">
      <c r="A2" s="14"/>
      <c r="B2" s="15" t="s">
        <v>116</v>
      </c>
      <c r="C2" s="16" t="s">
        <v>169</v>
      </c>
      <c r="D2" s="17"/>
      <c r="E2" s="17"/>
      <c r="F2" s="17"/>
      <c r="G2" s="17"/>
      <c r="H2" s="17"/>
      <c r="I2" s="17"/>
      <c r="J2" s="17"/>
      <c r="K2" s="911" t="s">
        <v>119</v>
      </c>
      <c r="L2" s="911"/>
      <c r="M2" s="912"/>
    </row>
    <row r="3" spans="1:13" ht="18.75">
      <c r="A3" s="15"/>
      <c r="B3" s="15" t="s">
        <v>115</v>
      </c>
      <c r="C3" s="16" t="s">
        <v>169</v>
      </c>
      <c r="D3" s="17"/>
      <c r="E3" s="1" t="s">
        <v>64</v>
      </c>
      <c r="F3" s="17"/>
      <c r="G3" s="17"/>
      <c r="H3" s="17"/>
      <c r="I3" s="17"/>
      <c r="J3" s="17"/>
      <c r="K3" s="17"/>
      <c r="L3" s="17"/>
      <c r="M3" s="18"/>
    </row>
    <row r="4" spans="1:13">
      <c r="A4" s="14"/>
      <c r="B4" s="15" t="s">
        <v>8</v>
      </c>
      <c r="C4" s="16"/>
      <c r="D4" s="19"/>
      <c r="E4" s="19" t="s">
        <v>56</v>
      </c>
      <c r="F4" s="19"/>
      <c r="G4" s="19"/>
      <c r="H4" s="19"/>
      <c r="I4" s="19"/>
      <c r="J4" s="19"/>
      <c r="K4" s="19"/>
      <c r="L4" s="19"/>
      <c r="M4" s="20"/>
    </row>
    <row r="5" spans="1:13">
      <c r="A5" s="913" t="s">
        <v>10</v>
      </c>
      <c r="B5" s="914"/>
      <c r="C5" s="16"/>
      <c r="D5" s="19"/>
      <c r="E5" s="19" t="s">
        <v>71</v>
      </c>
      <c r="F5" s="19"/>
      <c r="G5" s="21" t="s">
        <v>63</v>
      </c>
      <c r="H5" s="19"/>
      <c r="I5" s="19"/>
      <c r="J5" s="19"/>
      <c r="K5" s="19"/>
      <c r="L5" s="19"/>
      <c r="M5" s="20"/>
    </row>
    <row r="6" spans="1:13">
      <c r="A6" s="906" t="s">
        <v>9</v>
      </c>
      <c r="B6" s="907"/>
      <c r="C6" s="16"/>
      <c r="D6" s="19"/>
      <c r="E6" s="19" t="s">
        <v>96</v>
      </c>
      <c r="F6" s="19"/>
      <c r="G6" s="22" t="s">
        <v>63</v>
      </c>
      <c r="H6" s="19"/>
      <c r="I6" s="19"/>
      <c r="J6" s="19"/>
      <c r="K6" s="19"/>
      <c r="L6" s="19"/>
      <c r="M6" s="20"/>
    </row>
    <row r="7" spans="1:13">
      <c r="A7" s="906" t="s">
        <v>73</v>
      </c>
      <c r="B7" s="907"/>
      <c r="C7" s="16" t="s">
        <v>147</v>
      </c>
      <c r="D7" s="19"/>
      <c r="E7" s="19" t="s">
        <v>181</v>
      </c>
      <c r="F7" s="19"/>
      <c r="G7" s="23" t="s">
        <v>63</v>
      </c>
      <c r="H7" s="19"/>
      <c r="I7" s="19"/>
      <c r="J7" s="19"/>
      <c r="K7" s="19"/>
      <c r="L7" s="19"/>
      <c r="M7" s="20"/>
    </row>
    <row r="8" spans="1:13">
      <c r="A8" s="906" t="s">
        <v>74</v>
      </c>
      <c r="B8" s="907"/>
      <c r="C8" s="16"/>
      <c r="D8" s="19"/>
      <c r="F8" s="19"/>
      <c r="H8" s="19"/>
      <c r="I8" s="19"/>
      <c r="J8" s="19"/>
      <c r="K8" s="19"/>
      <c r="L8" s="19"/>
      <c r="M8" s="20"/>
    </row>
    <row r="9" spans="1:13" ht="15" customHeight="1">
      <c r="A9" s="919" t="s">
        <v>155</v>
      </c>
      <c r="B9" s="920"/>
      <c r="C9" s="2" t="s">
        <v>95</v>
      </c>
      <c r="D9" s="19"/>
      <c r="E9" s="19"/>
      <c r="F9" s="19"/>
      <c r="G9" s="19"/>
      <c r="H9" s="19"/>
      <c r="I9" s="19"/>
      <c r="J9" s="19"/>
      <c r="K9" s="19"/>
      <c r="L9" s="19"/>
      <c r="M9" s="20"/>
    </row>
    <row r="10" spans="1:13">
      <c r="A10" s="906" t="s">
        <v>117</v>
      </c>
      <c r="B10" s="907"/>
      <c r="C10" s="24">
        <v>-18968</v>
      </c>
      <c r="D10" s="19"/>
      <c r="E10" s="921" t="s">
        <v>72</v>
      </c>
      <c r="F10" s="922"/>
      <c r="G10" s="922"/>
      <c r="H10" s="922"/>
      <c r="I10" s="922"/>
      <c r="J10" s="922"/>
      <c r="K10" s="922"/>
      <c r="L10" s="922"/>
      <c r="M10" s="20"/>
    </row>
    <row r="11" spans="1:13">
      <c r="A11" s="6"/>
      <c r="B11" s="7" t="s">
        <v>156</v>
      </c>
      <c r="C11" s="24">
        <v>-6853</v>
      </c>
      <c r="D11" s="19"/>
      <c r="E11" s="921"/>
      <c r="F11" s="922"/>
      <c r="G11" s="922"/>
      <c r="H11" s="922"/>
      <c r="I11" s="922"/>
      <c r="J11" s="922"/>
      <c r="K11" s="922"/>
      <c r="L11" s="922"/>
      <c r="M11" s="20"/>
    </row>
    <row r="12" spans="1:13">
      <c r="A12" s="906" t="s">
        <v>118</v>
      </c>
      <c r="B12" s="907"/>
      <c r="C12" s="25">
        <v>561</v>
      </c>
      <c r="D12" s="19"/>
      <c r="E12" s="922"/>
      <c r="F12" s="922"/>
      <c r="G12" s="922"/>
      <c r="H12" s="922"/>
      <c r="I12" s="922"/>
      <c r="J12" s="922"/>
      <c r="K12" s="922"/>
      <c r="L12" s="922"/>
      <c r="M12" s="20"/>
    </row>
    <row r="13" spans="1:13">
      <c r="A13" s="906" t="s">
        <v>13</v>
      </c>
      <c r="B13" s="907"/>
      <c r="C13" s="26">
        <v>2014</v>
      </c>
      <c r="D13" s="19"/>
      <c r="E13" s="922"/>
      <c r="F13" s="922"/>
      <c r="G13" s="922"/>
      <c r="H13" s="922"/>
      <c r="I13" s="922"/>
      <c r="J13" s="922"/>
      <c r="K13" s="922"/>
      <c r="L13" s="922"/>
      <c r="M13" s="20"/>
    </row>
    <row r="14" spans="1:13">
      <c r="A14" s="923" t="s">
        <v>14</v>
      </c>
      <c r="B14" s="924"/>
      <c r="C14" s="27">
        <v>2023</v>
      </c>
      <c r="D14" s="28"/>
      <c r="E14" s="28"/>
      <c r="F14" s="28"/>
      <c r="G14" s="28"/>
      <c r="H14" s="28"/>
      <c r="I14" s="28"/>
      <c r="J14" s="28"/>
      <c r="K14" s="28"/>
      <c r="L14" s="28"/>
      <c r="M14" s="29"/>
    </row>
    <row r="16" spans="1:13">
      <c r="A16" s="10" t="s">
        <v>36</v>
      </c>
      <c r="B16" s="11"/>
      <c r="C16" s="11"/>
      <c r="D16" s="917" t="s">
        <v>192</v>
      </c>
      <c r="E16" s="917"/>
      <c r="F16" s="917"/>
      <c r="G16" s="917"/>
      <c r="H16" s="917"/>
      <c r="I16" s="917"/>
      <c r="J16" s="917"/>
      <c r="K16" s="917"/>
      <c r="L16" s="917"/>
      <c r="M16" s="918"/>
    </row>
    <row r="17" spans="1:34">
      <c r="A17" s="915"/>
      <c r="B17" s="916"/>
      <c r="C17" s="916"/>
      <c r="D17" s="8">
        <f>C13</f>
        <v>2014</v>
      </c>
      <c r="E17" s="8">
        <f>D17+1</f>
        <v>2015</v>
      </c>
      <c r="F17" s="8">
        <f t="shared" ref="F17:L17" si="0">E17+1</f>
        <v>2016</v>
      </c>
      <c r="G17" s="8">
        <f t="shared" si="0"/>
        <v>2017</v>
      </c>
      <c r="H17" s="8">
        <f t="shared" si="0"/>
        <v>2018</v>
      </c>
      <c r="I17" s="8">
        <f t="shared" si="0"/>
        <v>2019</v>
      </c>
      <c r="J17" s="8">
        <f t="shared" si="0"/>
        <v>2020</v>
      </c>
      <c r="K17" s="8">
        <f t="shared" si="0"/>
        <v>2021</v>
      </c>
      <c r="L17" s="8">
        <f t="shared" si="0"/>
        <v>2022</v>
      </c>
      <c r="M17" s="9">
        <f>L17+1</f>
        <v>2023</v>
      </c>
      <c r="N17" s="8">
        <f>M17+1</f>
        <v>2024</v>
      </c>
      <c r="O17" s="8">
        <f t="shared" ref="O17:AH17" si="1">N17+1</f>
        <v>2025</v>
      </c>
      <c r="P17" s="8">
        <f t="shared" si="1"/>
        <v>2026</v>
      </c>
      <c r="Q17" s="8">
        <f t="shared" si="1"/>
        <v>2027</v>
      </c>
      <c r="R17" s="8">
        <f t="shared" si="1"/>
        <v>2028</v>
      </c>
      <c r="S17" s="8">
        <f t="shared" si="1"/>
        <v>2029</v>
      </c>
      <c r="T17" s="8">
        <f t="shared" si="1"/>
        <v>2030</v>
      </c>
      <c r="U17" s="8">
        <f t="shared" si="1"/>
        <v>2031</v>
      </c>
      <c r="V17" s="8">
        <f t="shared" si="1"/>
        <v>2032</v>
      </c>
      <c r="W17" s="8">
        <f t="shared" si="1"/>
        <v>2033</v>
      </c>
      <c r="X17" s="8">
        <f t="shared" si="1"/>
        <v>2034</v>
      </c>
      <c r="Y17" s="8">
        <f t="shared" si="1"/>
        <v>2035</v>
      </c>
      <c r="Z17" s="8">
        <f t="shared" si="1"/>
        <v>2036</v>
      </c>
      <c r="AA17" s="8">
        <f t="shared" si="1"/>
        <v>2037</v>
      </c>
      <c r="AB17" s="8">
        <f t="shared" si="1"/>
        <v>2038</v>
      </c>
      <c r="AC17" s="8">
        <f t="shared" si="1"/>
        <v>2039</v>
      </c>
      <c r="AD17" s="8">
        <f t="shared" si="1"/>
        <v>2040</v>
      </c>
      <c r="AE17" s="8">
        <f t="shared" si="1"/>
        <v>2041</v>
      </c>
      <c r="AF17" s="8">
        <f t="shared" si="1"/>
        <v>2042</v>
      </c>
      <c r="AG17" s="8">
        <f t="shared" si="1"/>
        <v>2043</v>
      </c>
      <c r="AH17" s="8">
        <f t="shared" si="1"/>
        <v>2044</v>
      </c>
    </row>
    <row r="18" spans="1:34">
      <c r="A18" s="12" t="s">
        <v>193</v>
      </c>
      <c r="B18" s="30"/>
      <c r="C18" s="30"/>
      <c r="D18" s="30"/>
      <c r="E18" s="30"/>
      <c r="F18" s="30"/>
      <c r="G18" s="30"/>
      <c r="H18" s="30"/>
      <c r="I18" s="30"/>
      <c r="J18" s="30"/>
      <c r="K18" s="30"/>
      <c r="L18" s="30"/>
      <c r="M18" s="31"/>
      <c r="N18" s="30"/>
      <c r="O18" s="30"/>
      <c r="P18" s="30"/>
      <c r="Q18" s="30"/>
      <c r="R18" s="30"/>
      <c r="S18" s="30"/>
      <c r="T18" s="30"/>
      <c r="U18" s="30"/>
      <c r="V18" s="30"/>
      <c r="W18" s="30"/>
      <c r="X18" s="30"/>
      <c r="Y18" s="30"/>
      <c r="Z18" s="30"/>
      <c r="AA18" s="30"/>
      <c r="AB18" s="30"/>
      <c r="AC18" s="30"/>
      <c r="AD18" s="30"/>
      <c r="AE18" s="30"/>
      <c r="AF18" s="30"/>
      <c r="AG18" s="30"/>
      <c r="AH18" s="30"/>
    </row>
    <row r="19" spans="1:34">
      <c r="A19" s="32"/>
      <c r="B19" s="33" t="s">
        <v>228</v>
      </c>
      <c r="C19" s="30"/>
      <c r="D19" s="71">
        <f>'Repayment Inputs'!C24-'Repayment Inputs'!C20-'Repayment Inputs'!C21</f>
        <v>0</v>
      </c>
      <c r="E19" s="71" t="e">
        <f>'Repayment Inputs'!#REF!-'Repayment Inputs'!#REF!-'Repayment Inputs'!#REF!</f>
        <v>#REF!</v>
      </c>
      <c r="F19" s="71" t="e">
        <f>'Repayment Inputs'!#REF!-'Repayment Inputs'!#REF!-'Repayment Inputs'!#REF!</f>
        <v>#REF!</v>
      </c>
      <c r="G19" s="71" t="e">
        <f>'Repayment Inputs'!#REF!-'Repayment Inputs'!#REF!-'Repayment Inputs'!#REF!</f>
        <v>#REF!</v>
      </c>
      <c r="H19" s="71">
        <f>'Repayment Inputs'!D24-'Repayment Inputs'!D20-'Repayment Inputs'!D21</f>
        <v>66066.429000000004</v>
      </c>
      <c r="I19" s="71">
        <f>'Repayment Inputs'!E24-'Repayment Inputs'!E20-'Repayment Inputs'!E21</f>
        <v>63367.245999999999</v>
      </c>
      <c r="J19" s="71">
        <f>'Repayment Inputs'!F24-'Repayment Inputs'!F20-'Repayment Inputs'!F21</f>
        <v>57523.930000000008</v>
      </c>
      <c r="K19" s="71">
        <f>'Repayment Inputs'!G24-'Repayment Inputs'!G20-'Repayment Inputs'!G21</f>
        <v>60208.293000000005</v>
      </c>
      <c r="L19" s="71">
        <f>'Repayment Inputs'!H24-'Repayment Inputs'!H20-'Repayment Inputs'!H21</f>
        <v>56860.135000000002</v>
      </c>
      <c r="M19" s="71">
        <f>'Repayment Inputs'!I24-'Repayment Inputs'!I20-'Repayment Inputs'!I21</f>
        <v>53858.710999999996</v>
      </c>
      <c r="N19" s="71">
        <f>'Repayment Inputs'!J24-'Repayment Inputs'!J20-'Repayment Inputs'!J21</f>
        <v>50727.553</v>
      </c>
      <c r="O19" s="71" t="e">
        <f>'Repayment Inputs'!#REF!-'Repayment Inputs'!#REF!-'Repayment Inputs'!#REF!</f>
        <v>#REF!</v>
      </c>
      <c r="P19" s="71" t="e">
        <f>'Repayment Inputs'!#REF!-'Repayment Inputs'!#REF!-'Repayment Inputs'!#REF!</f>
        <v>#REF!</v>
      </c>
      <c r="Q19" s="71" t="e">
        <f>'Repayment Inputs'!#REF!-'Repayment Inputs'!#REF!-'Repayment Inputs'!#REF!</f>
        <v>#REF!</v>
      </c>
      <c r="R19" s="71" t="e">
        <f>'Repayment Inputs'!#REF!-'Repayment Inputs'!#REF!-'Repayment Inputs'!#REF!</f>
        <v>#REF!</v>
      </c>
      <c r="S19" s="71" t="e">
        <f>'Repayment Inputs'!#REF!-'Repayment Inputs'!#REF!-'Repayment Inputs'!#REF!</f>
        <v>#REF!</v>
      </c>
      <c r="T19" s="71" t="e">
        <f>'Repayment Inputs'!#REF!-'Repayment Inputs'!#REF!-'Repayment Inputs'!#REF!</f>
        <v>#REF!</v>
      </c>
      <c r="U19" s="71" t="e">
        <f>'Repayment Inputs'!#REF!-'Repayment Inputs'!#REF!-'Repayment Inputs'!#REF!</f>
        <v>#REF!</v>
      </c>
      <c r="V19" s="71" t="e">
        <f>'Repayment Inputs'!#REF!-'Repayment Inputs'!#REF!-'Repayment Inputs'!#REF!</f>
        <v>#REF!</v>
      </c>
      <c r="W19" s="71" t="e">
        <f>'Repayment Inputs'!#REF!-'Repayment Inputs'!#REF!-'Repayment Inputs'!#REF!</f>
        <v>#REF!</v>
      </c>
      <c r="X19" s="71" t="e">
        <f>'Repayment Inputs'!#REF!-'Repayment Inputs'!#REF!-'Repayment Inputs'!#REF!</f>
        <v>#REF!</v>
      </c>
      <c r="Y19" s="71" t="e">
        <f>'Repayment Inputs'!#REF!-'Repayment Inputs'!#REF!-'Repayment Inputs'!#REF!</f>
        <v>#REF!</v>
      </c>
      <c r="Z19" s="71" t="e">
        <f>'Repayment Inputs'!#REF!-'Repayment Inputs'!#REF!-'Repayment Inputs'!#REF!</f>
        <v>#REF!</v>
      </c>
      <c r="AA19" s="71" t="e">
        <f>'Repayment Inputs'!#REF!-'Repayment Inputs'!#REF!-'Repayment Inputs'!#REF!</f>
        <v>#REF!</v>
      </c>
      <c r="AB19" s="71" t="e">
        <f>'Repayment Inputs'!#REF!-'Repayment Inputs'!#REF!-'Repayment Inputs'!#REF!</f>
        <v>#REF!</v>
      </c>
      <c r="AC19" s="71" t="e">
        <f>'Repayment Inputs'!#REF!-'Repayment Inputs'!#REF!-'Repayment Inputs'!#REF!</f>
        <v>#REF!</v>
      </c>
      <c r="AD19" s="71" t="e">
        <f>'Repayment Inputs'!#REF!-'Repayment Inputs'!#REF!-'Repayment Inputs'!#REF!</f>
        <v>#REF!</v>
      </c>
      <c r="AE19" s="71" t="e">
        <f>'Repayment Inputs'!#REF!-'Repayment Inputs'!#REF!-'Repayment Inputs'!#REF!</f>
        <v>#REF!</v>
      </c>
      <c r="AF19" s="71" t="e">
        <f>'Repayment Inputs'!#REF!-'Repayment Inputs'!#REF!-'Repayment Inputs'!#REF!</f>
        <v>#REF!</v>
      </c>
      <c r="AG19" s="71" t="e">
        <f>'Repayment Inputs'!#REF!-'Repayment Inputs'!#REF!-'Repayment Inputs'!#REF!</f>
        <v>#REF!</v>
      </c>
      <c r="AH19" s="71" t="e">
        <f>'Repayment Inputs'!#REF!-'Repayment Inputs'!#REF!-'Repayment Inputs'!#REF!</f>
        <v>#REF!</v>
      </c>
    </row>
    <row r="20" spans="1:34">
      <c r="A20" s="34"/>
      <c r="B20" s="35" t="s">
        <v>195</v>
      </c>
      <c r="C20" s="30"/>
      <c r="D20" s="36">
        <f>'Repayment Inputs'!C43</f>
        <v>0</v>
      </c>
      <c r="E20" s="36" t="e">
        <f>'Repayment Inputs'!#REF!</f>
        <v>#REF!</v>
      </c>
      <c r="F20" s="36" t="e">
        <f>'Repayment Inputs'!#REF!</f>
        <v>#REF!</v>
      </c>
      <c r="G20" s="36" t="e">
        <f>'Repayment Inputs'!#REF!</f>
        <v>#REF!</v>
      </c>
      <c r="H20" s="36">
        <f>'Repayment Inputs'!D43</f>
        <v>96074.671999999991</v>
      </c>
      <c r="I20" s="36">
        <f>'Repayment Inputs'!E43</f>
        <v>96373.269</v>
      </c>
      <c r="J20" s="36">
        <f>'Repayment Inputs'!F43</f>
        <v>109957.685</v>
      </c>
      <c r="K20" s="36">
        <f>'Repayment Inputs'!G43</f>
        <v>110851.40399999999</v>
      </c>
      <c r="L20" s="36">
        <f>'Repayment Inputs'!H43</f>
        <v>111497.228</v>
      </c>
      <c r="M20" s="36">
        <f>'Repayment Inputs'!I43</f>
        <v>88994.811000000002</v>
      </c>
      <c r="N20" s="36">
        <f>'Repayment Inputs'!J43</f>
        <v>78175.566000000006</v>
      </c>
      <c r="O20" s="36" t="e">
        <f>'Repayment Inputs'!#REF!</f>
        <v>#REF!</v>
      </c>
      <c r="P20" s="36" t="e">
        <f>'Repayment Inputs'!#REF!</f>
        <v>#REF!</v>
      </c>
      <c r="Q20" s="36" t="e">
        <f>'Repayment Inputs'!#REF!</f>
        <v>#REF!</v>
      </c>
      <c r="R20" s="36" t="e">
        <f>'Repayment Inputs'!#REF!</f>
        <v>#REF!</v>
      </c>
      <c r="S20" s="36" t="e">
        <f>'Repayment Inputs'!#REF!</f>
        <v>#REF!</v>
      </c>
      <c r="T20" s="36" t="e">
        <f>'Repayment Inputs'!#REF!</f>
        <v>#REF!</v>
      </c>
      <c r="U20" s="36" t="e">
        <f>'Repayment Inputs'!#REF!</f>
        <v>#REF!</v>
      </c>
      <c r="V20" s="36" t="e">
        <f>'Repayment Inputs'!#REF!</f>
        <v>#REF!</v>
      </c>
      <c r="W20" s="36" t="e">
        <f>'Repayment Inputs'!#REF!</f>
        <v>#REF!</v>
      </c>
      <c r="X20" s="36" t="e">
        <f>'Repayment Inputs'!#REF!</f>
        <v>#REF!</v>
      </c>
      <c r="Y20" s="36" t="e">
        <f>'Repayment Inputs'!#REF!</f>
        <v>#REF!</v>
      </c>
      <c r="Z20" s="36" t="e">
        <f>'Repayment Inputs'!#REF!</f>
        <v>#REF!</v>
      </c>
      <c r="AA20" s="36" t="e">
        <f>'Repayment Inputs'!#REF!</f>
        <v>#REF!</v>
      </c>
      <c r="AB20" s="36" t="e">
        <f>'Repayment Inputs'!#REF!</f>
        <v>#REF!</v>
      </c>
      <c r="AC20" s="36" t="e">
        <f>'Repayment Inputs'!#REF!</f>
        <v>#REF!</v>
      </c>
      <c r="AD20" s="36" t="e">
        <f>'Repayment Inputs'!#REF!</f>
        <v>#REF!</v>
      </c>
      <c r="AE20" s="36" t="e">
        <f>'Repayment Inputs'!#REF!</f>
        <v>#REF!</v>
      </c>
      <c r="AF20" s="36" t="e">
        <f>'Repayment Inputs'!#REF!</f>
        <v>#REF!</v>
      </c>
      <c r="AG20" s="36" t="e">
        <f>'Repayment Inputs'!#REF!</f>
        <v>#REF!</v>
      </c>
      <c r="AH20" s="36" t="e">
        <f>'Repayment Inputs'!#REF!</f>
        <v>#REF!</v>
      </c>
    </row>
    <row r="21" spans="1:34">
      <c r="A21" s="34"/>
      <c r="B21" s="35" t="s">
        <v>196</v>
      </c>
      <c r="C21" s="30"/>
      <c r="D21" s="36">
        <f>'Repayment Inputs'!C12-'Repayment Inputs'!C9</f>
        <v>0</v>
      </c>
      <c r="E21" s="36" t="e">
        <f>'Repayment Inputs'!#REF!-'Repayment Inputs'!#REF!</f>
        <v>#REF!</v>
      </c>
      <c r="F21" s="36" t="e">
        <f>'Repayment Inputs'!#REF!-'Repayment Inputs'!#REF!</f>
        <v>#REF!</v>
      </c>
      <c r="G21" s="36" t="e">
        <f>'Repayment Inputs'!#REF!-'Repayment Inputs'!#REF!</f>
        <v>#REF!</v>
      </c>
      <c r="H21" s="36">
        <f>'Repayment Inputs'!D12-'Repayment Inputs'!D9</f>
        <v>108123.834</v>
      </c>
      <c r="I21" s="36">
        <f>'Repayment Inputs'!E12-'Repayment Inputs'!E9</f>
        <v>114971.42200000001</v>
      </c>
      <c r="J21" s="36">
        <f>'Repayment Inputs'!F12-'Repayment Inputs'!F9</f>
        <v>130463</v>
      </c>
      <c r="K21" s="36">
        <f>'Repayment Inputs'!G12-'Repayment Inputs'!G9</f>
        <v>176329</v>
      </c>
      <c r="L21" s="36">
        <f>'Repayment Inputs'!H12-'Repayment Inputs'!H9</f>
        <v>211540</v>
      </c>
      <c r="M21" s="36">
        <f>'Repayment Inputs'!I12-'Repayment Inputs'!I9</f>
        <v>256953</v>
      </c>
      <c r="N21" s="36">
        <f>'Repayment Inputs'!J12-'Repayment Inputs'!J9</f>
        <v>303917</v>
      </c>
      <c r="O21" s="36" t="e">
        <f>'Repayment Inputs'!#REF!-'Repayment Inputs'!#REF!</f>
        <v>#REF!</v>
      </c>
      <c r="P21" s="36" t="e">
        <f>'Repayment Inputs'!#REF!-'Repayment Inputs'!#REF!</f>
        <v>#REF!</v>
      </c>
      <c r="Q21" s="36" t="e">
        <f>'Repayment Inputs'!#REF!-'Repayment Inputs'!#REF!</f>
        <v>#REF!</v>
      </c>
      <c r="R21" s="36" t="e">
        <f>'Repayment Inputs'!#REF!-'Repayment Inputs'!#REF!</f>
        <v>#REF!</v>
      </c>
      <c r="S21" s="36" t="e">
        <f>'Repayment Inputs'!#REF!-'Repayment Inputs'!#REF!</f>
        <v>#REF!</v>
      </c>
      <c r="T21" s="36" t="e">
        <f>'Repayment Inputs'!#REF!-'Repayment Inputs'!#REF!</f>
        <v>#REF!</v>
      </c>
      <c r="U21" s="36" t="e">
        <f>'Repayment Inputs'!#REF!-'Repayment Inputs'!#REF!</f>
        <v>#REF!</v>
      </c>
      <c r="V21" s="36" t="e">
        <f>'Repayment Inputs'!#REF!-'Repayment Inputs'!#REF!</f>
        <v>#REF!</v>
      </c>
      <c r="W21" s="36" t="e">
        <f>'Repayment Inputs'!#REF!-'Repayment Inputs'!#REF!</f>
        <v>#REF!</v>
      </c>
      <c r="X21" s="36" t="e">
        <f>'Repayment Inputs'!#REF!-'Repayment Inputs'!#REF!</f>
        <v>#REF!</v>
      </c>
      <c r="Y21" s="36" t="e">
        <f>'Repayment Inputs'!#REF!-'Repayment Inputs'!#REF!</f>
        <v>#REF!</v>
      </c>
      <c r="Z21" s="36" t="e">
        <f>'Repayment Inputs'!#REF!-'Repayment Inputs'!#REF!</f>
        <v>#REF!</v>
      </c>
      <c r="AA21" s="36" t="e">
        <f>'Repayment Inputs'!#REF!-'Repayment Inputs'!#REF!</f>
        <v>#REF!</v>
      </c>
      <c r="AB21" s="36" t="e">
        <f>'Repayment Inputs'!#REF!-'Repayment Inputs'!#REF!</f>
        <v>#REF!</v>
      </c>
      <c r="AC21" s="36" t="e">
        <f>'Repayment Inputs'!#REF!-'Repayment Inputs'!#REF!</f>
        <v>#REF!</v>
      </c>
      <c r="AD21" s="36" t="e">
        <f>'Repayment Inputs'!#REF!-'Repayment Inputs'!#REF!</f>
        <v>#REF!</v>
      </c>
      <c r="AE21" s="36" t="e">
        <f>'Repayment Inputs'!#REF!-'Repayment Inputs'!#REF!</f>
        <v>#REF!</v>
      </c>
      <c r="AF21" s="36" t="e">
        <f>'Repayment Inputs'!#REF!-'Repayment Inputs'!#REF!</f>
        <v>#REF!</v>
      </c>
      <c r="AG21" s="36" t="e">
        <f>'Repayment Inputs'!#REF!-'Repayment Inputs'!#REF!</f>
        <v>#REF!</v>
      </c>
      <c r="AH21" s="36" t="e">
        <f>'Repayment Inputs'!#REF!-'Repayment Inputs'!#REF!</f>
        <v>#REF!</v>
      </c>
    </row>
    <row r="22" spans="1:34">
      <c r="A22" s="34"/>
      <c r="B22" s="35" t="s">
        <v>197</v>
      </c>
      <c r="C22" s="30"/>
      <c r="D22" s="36">
        <f>'Repayment Inputs'!C31</f>
        <v>0</v>
      </c>
      <c r="E22" s="36" t="e">
        <f>'Repayment Inputs'!#REF!</f>
        <v>#REF!</v>
      </c>
      <c r="F22" s="36" t="e">
        <f>'Repayment Inputs'!#REF!</f>
        <v>#REF!</v>
      </c>
      <c r="G22" s="36" t="e">
        <f>'Repayment Inputs'!#REF!</f>
        <v>#REF!</v>
      </c>
      <c r="H22" s="36">
        <f>'Repayment Inputs'!D31</f>
        <v>204197</v>
      </c>
      <c r="I22" s="36">
        <f>'Repayment Inputs'!E31</f>
        <v>209379</v>
      </c>
      <c r="J22" s="36">
        <f>'Repayment Inputs'!F31</f>
        <v>0</v>
      </c>
      <c r="K22" s="36">
        <f>'Repayment Inputs'!G31</f>
        <v>187438</v>
      </c>
      <c r="L22" s="36">
        <f>'Repayment Inputs'!H31</f>
        <v>256615.076</v>
      </c>
      <c r="M22" s="36">
        <f>'Repayment Inputs'!I31</f>
        <v>256044.149</v>
      </c>
      <c r="N22" s="36">
        <f>'Repayment Inputs'!J31</f>
        <v>316899.05699999997</v>
      </c>
      <c r="O22" s="36" t="e">
        <f>'Repayment Inputs'!#REF!</f>
        <v>#REF!</v>
      </c>
      <c r="P22" s="36" t="e">
        <f>'Repayment Inputs'!#REF!</f>
        <v>#REF!</v>
      </c>
      <c r="Q22" s="36" t="e">
        <f>'Repayment Inputs'!#REF!</f>
        <v>#REF!</v>
      </c>
      <c r="R22" s="36" t="e">
        <f>'Repayment Inputs'!#REF!</f>
        <v>#REF!</v>
      </c>
      <c r="S22" s="36" t="e">
        <f>'Repayment Inputs'!#REF!</f>
        <v>#REF!</v>
      </c>
      <c r="T22" s="36" t="e">
        <f>'Repayment Inputs'!#REF!</f>
        <v>#REF!</v>
      </c>
      <c r="U22" s="36" t="e">
        <f>'Repayment Inputs'!#REF!</f>
        <v>#REF!</v>
      </c>
      <c r="V22" s="36" t="e">
        <f>'Repayment Inputs'!#REF!</f>
        <v>#REF!</v>
      </c>
      <c r="W22" s="36" t="e">
        <f>'Repayment Inputs'!#REF!</f>
        <v>#REF!</v>
      </c>
      <c r="X22" s="36" t="e">
        <f>'Repayment Inputs'!#REF!</f>
        <v>#REF!</v>
      </c>
      <c r="Y22" s="36" t="e">
        <f>'Repayment Inputs'!#REF!</f>
        <v>#REF!</v>
      </c>
      <c r="Z22" s="36" t="e">
        <f>'Repayment Inputs'!#REF!</f>
        <v>#REF!</v>
      </c>
      <c r="AA22" s="36" t="e">
        <f>'Repayment Inputs'!#REF!</f>
        <v>#REF!</v>
      </c>
      <c r="AB22" s="36" t="e">
        <f>'Repayment Inputs'!#REF!</f>
        <v>#REF!</v>
      </c>
      <c r="AC22" s="36" t="e">
        <f>'Repayment Inputs'!#REF!</f>
        <v>#REF!</v>
      </c>
      <c r="AD22" s="36" t="e">
        <f>'Repayment Inputs'!#REF!</f>
        <v>#REF!</v>
      </c>
      <c r="AE22" s="36" t="e">
        <f>'Repayment Inputs'!#REF!</f>
        <v>#REF!</v>
      </c>
      <c r="AF22" s="36" t="e">
        <f>'Repayment Inputs'!#REF!</f>
        <v>#REF!</v>
      </c>
      <c r="AG22" s="36" t="e">
        <f>'Repayment Inputs'!#REF!</f>
        <v>#REF!</v>
      </c>
      <c r="AH22" s="36" t="e">
        <f>'Repayment Inputs'!#REF!</f>
        <v>#REF!</v>
      </c>
    </row>
    <row r="23" spans="1:34">
      <c r="A23" s="34"/>
      <c r="B23" s="35"/>
      <c r="C23" s="30"/>
      <c r="D23" s="40"/>
      <c r="E23" s="40"/>
      <c r="F23" s="40"/>
      <c r="G23" s="40"/>
      <c r="H23" s="40"/>
      <c r="I23" s="40"/>
      <c r="J23" s="40"/>
      <c r="K23" s="40"/>
      <c r="L23" s="40"/>
      <c r="M23" s="41"/>
    </row>
    <row r="24" spans="1:34">
      <c r="A24" s="12" t="s">
        <v>198</v>
      </c>
      <c r="B24" s="35"/>
      <c r="C24" s="30"/>
      <c r="D24" s="30"/>
      <c r="E24" s="40"/>
      <c r="F24" s="40"/>
      <c r="G24" s="40"/>
      <c r="H24" s="40"/>
      <c r="I24" s="40"/>
      <c r="J24" s="40"/>
      <c r="K24" s="40"/>
      <c r="L24" s="40"/>
      <c r="M24" s="41"/>
    </row>
    <row r="25" spans="1:34">
      <c r="A25" s="34"/>
      <c r="B25" s="35" t="s">
        <v>79</v>
      </c>
      <c r="C25" s="30"/>
      <c r="D25" s="37"/>
      <c r="E25" s="37"/>
      <c r="F25" s="37"/>
      <c r="G25" s="37"/>
      <c r="H25" s="37"/>
      <c r="I25" s="37"/>
      <c r="J25" s="37"/>
      <c r="K25" s="37"/>
      <c r="L25" s="37"/>
      <c r="M25" s="38"/>
    </row>
    <row r="26" spans="1:34">
      <c r="A26" s="39"/>
      <c r="B26" s="33" t="s">
        <v>194</v>
      </c>
      <c r="C26" s="30"/>
      <c r="D26" s="40" t="e">
        <f>D20+D21+D22+#REF!+D23+#REF!+D25</f>
        <v>#REF!</v>
      </c>
      <c r="E26" s="40" t="e">
        <f>E20+E21+E22+E23+E24+#REF!+E25</f>
        <v>#REF!</v>
      </c>
      <c r="F26" s="40" t="e">
        <f>F20+F21+F22+F23+F24+#REF!+F25</f>
        <v>#REF!</v>
      </c>
      <c r="G26" s="40" t="e">
        <f>G20+G21+G22+G23+G24+#REF!+G25</f>
        <v>#REF!</v>
      </c>
      <c r="H26" s="40" t="e">
        <f>H20+H21+H22+H23+H24+#REF!+H25</f>
        <v>#REF!</v>
      </c>
      <c r="I26" s="40" t="e">
        <f>I20+I21+I22+I23+I24+#REF!+I25</f>
        <v>#REF!</v>
      </c>
      <c r="J26" s="40" t="e">
        <f>J20+J21+J22+J23+J24+#REF!+J25</f>
        <v>#REF!</v>
      </c>
      <c r="K26" s="40" t="e">
        <f>K20+K21+K22+K23+K24+#REF!+K25</f>
        <v>#REF!</v>
      </c>
      <c r="L26" s="40" t="e">
        <f>L20+L21+L22+L23+L24+#REF!+L25</f>
        <v>#REF!</v>
      </c>
      <c r="M26" s="41" t="e">
        <f>M20+M21+M22+M23+M24+#REF!+M25</f>
        <v>#REF!</v>
      </c>
    </row>
    <row r="27" spans="1:34">
      <c r="A27" s="34"/>
      <c r="B27" s="33" t="s">
        <v>199</v>
      </c>
      <c r="C27" s="30"/>
      <c r="D27" s="30"/>
      <c r="E27" s="30"/>
      <c r="F27" s="30"/>
      <c r="G27" s="30"/>
      <c r="H27" s="30"/>
      <c r="I27" s="30"/>
      <c r="J27" s="30"/>
      <c r="K27" s="30"/>
      <c r="L27" s="30"/>
      <c r="M27" s="31"/>
    </row>
    <row r="28" spans="1:34">
      <c r="A28" s="42"/>
      <c r="B28" s="33" t="s">
        <v>200</v>
      </c>
      <c r="C28" s="30"/>
      <c r="D28" s="30"/>
      <c r="E28" s="30"/>
      <c r="F28" s="30"/>
      <c r="G28" s="30"/>
      <c r="H28" s="30"/>
      <c r="I28" s="30"/>
      <c r="J28" s="30"/>
      <c r="K28" s="30"/>
      <c r="L28" s="30"/>
      <c r="M28" s="31"/>
    </row>
    <row r="29" spans="1:34">
      <c r="A29" s="42"/>
      <c r="B29" s="33"/>
      <c r="C29" s="30"/>
      <c r="D29" s="30"/>
      <c r="E29" s="30"/>
      <c r="F29" s="30"/>
      <c r="G29" s="30"/>
      <c r="H29" s="30"/>
      <c r="I29" s="30"/>
      <c r="J29" s="30"/>
      <c r="K29" s="30"/>
      <c r="L29" s="30"/>
      <c r="M29" s="31"/>
    </row>
    <row r="30" spans="1:34">
      <c r="A30" s="89" t="s">
        <v>212</v>
      </c>
      <c r="B30" s="33"/>
      <c r="C30" s="30"/>
      <c r="D30" s="8" t="s">
        <v>213</v>
      </c>
      <c r="E30" s="8" t="s">
        <v>214</v>
      </c>
      <c r="F30" s="8" t="s">
        <v>215</v>
      </c>
      <c r="G30" s="8" t="s">
        <v>216</v>
      </c>
      <c r="H30" s="8" t="s">
        <v>217</v>
      </c>
      <c r="I30" s="8" t="s">
        <v>218</v>
      </c>
      <c r="J30" s="8" t="s">
        <v>219</v>
      </c>
      <c r="K30" s="8" t="s">
        <v>220</v>
      </c>
      <c r="L30" s="8" t="s">
        <v>221</v>
      </c>
      <c r="M30" s="9" t="s">
        <v>222</v>
      </c>
      <c r="N30" s="8" t="s">
        <v>223</v>
      </c>
      <c r="O30" s="8" t="s">
        <v>224</v>
      </c>
      <c r="P30" s="8" t="s">
        <v>225</v>
      </c>
      <c r="Q30" s="8" t="s">
        <v>226</v>
      </c>
      <c r="R30" s="8" t="s">
        <v>227</v>
      </c>
    </row>
    <row r="31" spans="1:34">
      <c r="A31" s="34"/>
      <c r="B31" s="43"/>
      <c r="C31" s="30"/>
      <c r="D31" s="30"/>
      <c r="E31" s="30"/>
      <c r="F31" s="30"/>
      <c r="G31" s="30"/>
      <c r="H31" s="30"/>
      <c r="I31" s="30"/>
      <c r="J31" s="30"/>
      <c r="K31" s="30"/>
      <c r="L31" s="30"/>
      <c r="M31" s="31"/>
    </row>
    <row r="32" spans="1:34">
      <c r="A32" s="34"/>
      <c r="B32" s="44" t="s">
        <v>201</v>
      </c>
      <c r="C32" s="30"/>
      <c r="D32" s="40"/>
      <c r="E32" s="40"/>
      <c r="F32" s="40"/>
      <c r="G32" s="40"/>
      <c r="H32" s="40"/>
      <c r="I32" s="40"/>
      <c r="J32" s="40"/>
      <c r="K32" s="40"/>
      <c r="L32" s="40"/>
      <c r="M32" s="41"/>
    </row>
    <row r="33" spans="1:13">
      <c r="A33" s="34"/>
      <c r="B33" s="45" t="s">
        <v>202</v>
      </c>
      <c r="C33" s="30"/>
      <c r="D33" s="40"/>
      <c r="E33" s="40"/>
      <c r="F33" s="40"/>
      <c r="G33" s="40"/>
      <c r="H33" s="40"/>
      <c r="I33" s="40"/>
      <c r="J33" s="40"/>
      <c r="K33" s="40"/>
      <c r="L33" s="40"/>
      <c r="M33" s="41"/>
    </row>
    <row r="34" spans="1:13">
      <c r="A34" s="34"/>
      <c r="B34" s="45"/>
      <c r="C34" s="30"/>
      <c r="D34" s="40"/>
      <c r="E34" s="40"/>
      <c r="F34" s="40"/>
      <c r="G34" s="40"/>
      <c r="H34" s="40"/>
      <c r="I34" s="40"/>
      <c r="J34" s="40"/>
      <c r="K34" s="40"/>
      <c r="L34" s="40"/>
      <c r="M34" s="41"/>
    </row>
    <row r="35" spans="1:13">
      <c r="A35" s="34"/>
      <c r="B35" s="44" t="s">
        <v>203</v>
      </c>
      <c r="C35" s="30"/>
      <c r="D35" s="40"/>
      <c r="E35" s="40"/>
      <c r="F35" s="40"/>
      <c r="G35" s="40"/>
      <c r="H35" s="40"/>
      <c r="I35" s="40"/>
      <c r="J35" s="40"/>
      <c r="K35" s="40"/>
      <c r="L35" s="40"/>
      <c r="M35" s="41"/>
    </row>
    <row r="36" spans="1:13">
      <c r="A36" s="34"/>
      <c r="B36" s="45" t="s">
        <v>148</v>
      </c>
      <c r="C36" s="30"/>
      <c r="D36" s="40"/>
      <c r="E36" s="40"/>
      <c r="F36" s="40"/>
      <c r="G36" s="40"/>
      <c r="H36" s="40"/>
      <c r="I36" s="40"/>
      <c r="J36" s="40"/>
      <c r="K36" s="40"/>
      <c r="L36" s="40"/>
      <c r="M36" s="41"/>
    </row>
    <row r="37" spans="1:13">
      <c r="A37" s="34"/>
      <c r="B37" s="46" t="s">
        <v>204</v>
      </c>
      <c r="C37" s="30"/>
      <c r="D37" s="40"/>
      <c r="E37" s="40"/>
      <c r="F37" s="40"/>
      <c r="G37" s="40"/>
      <c r="H37" s="40"/>
      <c r="I37" s="40"/>
      <c r="J37" s="40"/>
      <c r="K37" s="40"/>
      <c r="L37" s="40"/>
      <c r="M37" s="41"/>
    </row>
    <row r="38" spans="1:13">
      <c r="A38" s="34"/>
      <c r="B38" s="47" t="s">
        <v>205</v>
      </c>
      <c r="C38" s="30"/>
      <c r="D38" s="40"/>
      <c r="E38" s="40"/>
      <c r="F38" s="40"/>
      <c r="G38" s="40"/>
      <c r="H38" s="40"/>
      <c r="I38" s="40"/>
      <c r="J38" s="40"/>
      <c r="K38" s="40"/>
      <c r="L38" s="40"/>
      <c r="M38" s="41"/>
    </row>
    <row r="39" spans="1:13">
      <c r="A39" s="34"/>
      <c r="B39" s="48" t="s">
        <v>206</v>
      </c>
      <c r="C39" s="30"/>
      <c r="D39" s="40"/>
      <c r="E39" s="40"/>
      <c r="F39" s="40"/>
      <c r="G39" s="40"/>
      <c r="H39" s="40"/>
      <c r="I39" s="40"/>
      <c r="J39" s="40"/>
      <c r="K39" s="40"/>
      <c r="L39" s="40"/>
      <c r="M39" s="41"/>
    </row>
    <row r="40" spans="1:13">
      <c r="A40" s="34"/>
      <c r="B40" s="49"/>
      <c r="C40" s="30"/>
      <c r="D40" s="40"/>
      <c r="E40" s="40"/>
      <c r="F40" s="40"/>
      <c r="G40" s="40"/>
      <c r="H40" s="40"/>
      <c r="I40" s="40"/>
      <c r="J40" s="40"/>
      <c r="K40" s="40"/>
      <c r="L40" s="40"/>
      <c r="M40" s="41"/>
    </row>
    <row r="41" spans="1:13">
      <c r="A41" s="50"/>
      <c r="B41" s="4" t="s">
        <v>152</v>
      </c>
      <c r="C41" s="30"/>
      <c r="D41" s="51"/>
      <c r="E41" s="51"/>
      <c r="F41" s="51"/>
      <c r="G41" s="51"/>
      <c r="H41" s="51"/>
      <c r="I41" s="51"/>
      <c r="J41" s="51"/>
      <c r="K41" s="51"/>
      <c r="L41" s="51"/>
      <c r="M41" s="52"/>
    </row>
    <row r="42" spans="1:13">
      <c r="A42" s="34"/>
      <c r="B42" s="88" t="s">
        <v>208</v>
      </c>
      <c r="C42" s="30"/>
      <c r="D42" s="30"/>
      <c r="E42" s="30"/>
      <c r="F42" s="30"/>
      <c r="G42" s="30"/>
      <c r="H42" s="30"/>
      <c r="I42" s="30"/>
      <c r="J42" s="30"/>
      <c r="K42" s="30"/>
      <c r="L42" s="30"/>
      <c r="M42" s="31"/>
    </row>
    <row r="43" spans="1:13">
      <c r="A43" s="53"/>
      <c r="B43" s="88" t="s">
        <v>209</v>
      </c>
      <c r="C43" s="30"/>
      <c r="D43" s="51"/>
      <c r="E43" s="51"/>
      <c r="F43" s="51"/>
      <c r="G43" s="51"/>
      <c r="H43" s="51"/>
      <c r="I43" s="51"/>
      <c r="J43" s="51"/>
      <c r="K43" s="51"/>
      <c r="L43" s="51"/>
      <c r="M43" s="52"/>
    </row>
    <row r="44" spans="1:13">
      <c r="A44" s="34"/>
      <c r="B44" s="88" t="s">
        <v>151</v>
      </c>
      <c r="C44" s="30"/>
      <c r="D44" s="30"/>
      <c r="E44" s="30"/>
      <c r="F44" s="30"/>
      <c r="G44" s="30"/>
      <c r="H44" s="30"/>
      <c r="I44" s="30"/>
      <c r="J44" s="30"/>
      <c r="K44" s="30"/>
      <c r="L44" s="30"/>
      <c r="M44" s="31"/>
    </row>
    <row r="45" spans="1:13">
      <c r="A45" s="54"/>
      <c r="B45" s="30"/>
      <c r="C45" s="30"/>
      <c r="D45" s="51"/>
      <c r="E45" s="51"/>
      <c r="F45" s="51"/>
      <c r="G45" s="51"/>
      <c r="H45" s="51"/>
      <c r="I45" s="51"/>
      <c r="J45" s="51"/>
      <c r="K45" s="51"/>
      <c r="L45" s="51"/>
      <c r="M45" s="52"/>
    </row>
    <row r="46" spans="1:13">
      <c r="A46" s="54"/>
      <c r="B46" s="4" t="s">
        <v>210</v>
      </c>
      <c r="C46" s="30"/>
      <c r="D46" s="40"/>
      <c r="E46" s="40"/>
      <c r="F46" s="40"/>
      <c r="G46" s="40"/>
      <c r="H46" s="40"/>
      <c r="I46" s="40"/>
      <c r="J46" s="40"/>
      <c r="K46" s="40"/>
      <c r="L46" s="40"/>
      <c r="M46" s="41"/>
    </row>
    <row r="47" spans="1:13">
      <c r="A47" s="54"/>
      <c r="B47" s="87" t="s">
        <v>88</v>
      </c>
      <c r="C47" s="30"/>
      <c r="D47" s="51"/>
      <c r="E47" s="51"/>
      <c r="F47" s="51"/>
      <c r="G47" s="51"/>
      <c r="H47" s="51"/>
      <c r="I47" s="51"/>
      <c r="J47" s="51"/>
      <c r="K47" s="51"/>
      <c r="L47" s="51"/>
      <c r="M47" s="52"/>
    </row>
    <row r="48" spans="1:13">
      <c r="A48" s="54"/>
      <c r="B48" s="87" t="s">
        <v>85</v>
      </c>
      <c r="C48" s="30"/>
      <c r="D48" s="30"/>
      <c r="E48" s="30"/>
      <c r="F48" s="30"/>
      <c r="G48" s="30"/>
      <c r="H48" s="30"/>
      <c r="I48" s="30"/>
      <c r="J48" s="30"/>
      <c r="K48" s="30"/>
      <c r="L48" s="30"/>
      <c r="M48" s="31"/>
    </row>
    <row r="49" spans="1:14">
      <c r="A49" s="55"/>
      <c r="B49" s="87" t="s">
        <v>83</v>
      </c>
      <c r="C49" s="30"/>
      <c r="D49" s="51"/>
      <c r="E49" s="51"/>
      <c r="F49" s="51"/>
      <c r="G49" s="51"/>
      <c r="H49" s="51"/>
      <c r="I49" s="51"/>
      <c r="J49" s="51"/>
      <c r="K49" s="51"/>
      <c r="L49" s="51"/>
      <c r="M49" s="52"/>
    </row>
    <row r="50" spans="1:14">
      <c r="A50" s="34"/>
      <c r="B50" s="87" t="s">
        <v>87</v>
      </c>
      <c r="C50" s="30"/>
      <c r="D50" s="30"/>
      <c r="E50" s="30"/>
      <c r="F50" s="30"/>
      <c r="G50" s="30"/>
      <c r="H50" s="30"/>
      <c r="I50" s="30"/>
      <c r="J50" s="30"/>
      <c r="K50" s="30"/>
      <c r="L50" s="30"/>
      <c r="M50" s="31"/>
    </row>
    <row r="51" spans="1:14">
      <c r="A51" s="34"/>
      <c r="B51" s="87" t="s">
        <v>211</v>
      </c>
      <c r="C51" s="30"/>
      <c r="D51" s="30"/>
      <c r="E51" s="30"/>
      <c r="F51" s="30"/>
      <c r="G51" s="30"/>
      <c r="H51" s="30"/>
      <c r="I51" s="30"/>
      <c r="J51" s="30"/>
      <c r="K51" s="30"/>
      <c r="L51" s="30"/>
      <c r="M51" s="31"/>
    </row>
    <row r="52" spans="1:14">
      <c r="A52" s="56"/>
      <c r="B52" s="5"/>
      <c r="C52" s="5"/>
      <c r="D52" s="30"/>
      <c r="E52" s="30"/>
      <c r="F52" s="30"/>
      <c r="G52" s="30"/>
      <c r="H52" s="30"/>
      <c r="I52" s="30"/>
      <c r="J52" s="30"/>
      <c r="K52" s="30"/>
      <c r="L52" s="30"/>
      <c r="M52" s="31"/>
    </row>
    <row r="53" spans="1:14">
      <c r="A53" s="34"/>
      <c r="B53" s="57"/>
      <c r="C53" s="30"/>
      <c r="D53" s="40"/>
      <c r="E53" s="40"/>
      <c r="F53" s="40"/>
      <c r="G53" s="40"/>
      <c r="H53" s="40"/>
      <c r="I53" s="40"/>
      <c r="J53" s="40"/>
      <c r="K53" s="40"/>
      <c r="L53" s="40"/>
      <c r="M53" s="41"/>
    </row>
    <row r="54" spans="1:14">
      <c r="A54" s="34"/>
      <c r="B54" s="57"/>
      <c r="C54" s="30"/>
      <c r="D54" s="40"/>
      <c r="E54" s="40"/>
      <c r="F54" s="40"/>
      <c r="G54" s="40"/>
      <c r="H54" s="40"/>
      <c r="I54" s="40"/>
      <c r="J54" s="40"/>
      <c r="K54" s="40"/>
      <c r="L54" s="40"/>
      <c r="M54" s="41"/>
    </row>
    <row r="55" spans="1:14">
      <c r="A55" s="34"/>
      <c r="B55" s="57"/>
      <c r="C55" s="30"/>
      <c r="D55" s="30"/>
      <c r="E55" s="30"/>
      <c r="F55" s="30"/>
      <c r="G55" s="30"/>
      <c r="H55" s="30"/>
      <c r="I55" s="30"/>
      <c r="J55" s="30"/>
      <c r="K55" s="30"/>
      <c r="L55" s="30"/>
      <c r="M55" s="31"/>
    </row>
    <row r="56" spans="1:14">
      <c r="A56" s="34"/>
      <c r="B56" s="58"/>
      <c r="C56" s="30"/>
      <c r="D56" s="30"/>
      <c r="E56" s="30"/>
      <c r="F56" s="30"/>
      <c r="G56" s="30"/>
      <c r="H56" s="30"/>
      <c r="I56" s="30"/>
      <c r="J56" s="30"/>
      <c r="K56" s="30"/>
      <c r="L56" s="30"/>
      <c r="M56" s="31"/>
    </row>
    <row r="57" spans="1:14">
      <c r="A57" s="34"/>
      <c r="B57" s="58"/>
      <c r="C57" s="30"/>
      <c r="D57" s="51"/>
      <c r="E57" s="51"/>
      <c r="F57" s="51"/>
      <c r="G57" s="51"/>
      <c r="H57" s="51"/>
      <c r="I57" s="51"/>
      <c r="J57" s="51"/>
      <c r="K57" s="51"/>
      <c r="L57" s="51"/>
      <c r="M57" s="52"/>
    </row>
    <row r="58" spans="1:14">
      <c r="A58" s="34"/>
      <c r="B58" s="58"/>
      <c r="C58" s="30"/>
      <c r="D58" s="79"/>
      <c r="E58" s="79"/>
      <c r="F58" s="79"/>
      <c r="G58" s="79"/>
      <c r="H58" s="79"/>
      <c r="I58" s="79"/>
      <c r="J58" s="79"/>
      <c r="K58" s="79"/>
      <c r="L58" s="79"/>
      <c r="M58" s="80"/>
    </row>
    <row r="59" spans="1:14">
      <c r="A59" s="34"/>
      <c r="B59" s="58"/>
      <c r="C59" s="30"/>
      <c r="D59" s="51"/>
      <c r="E59" s="51"/>
      <c r="F59" s="51"/>
      <c r="G59" s="51"/>
      <c r="H59" s="51"/>
      <c r="I59" s="51"/>
      <c r="J59" s="51"/>
      <c r="K59" s="51"/>
      <c r="L59" s="51"/>
      <c r="M59" s="52"/>
    </row>
    <row r="60" spans="1:14">
      <c r="A60" s="34"/>
      <c r="B60" s="59"/>
      <c r="C60" s="60"/>
      <c r="D60" s="30"/>
      <c r="E60" s="30"/>
      <c r="F60" s="30"/>
      <c r="G60" s="30"/>
      <c r="H60" s="30"/>
      <c r="I60" s="30"/>
      <c r="J60" s="30"/>
      <c r="K60" s="30"/>
      <c r="L60" s="30"/>
      <c r="M60" s="31"/>
    </row>
    <row r="61" spans="1:14">
      <c r="A61" s="34"/>
      <c r="B61" s="61"/>
      <c r="C61" s="30"/>
      <c r="D61" s="40"/>
      <c r="E61" s="40"/>
      <c r="F61" s="40"/>
      <c r="G61" s="40"/>
      <c r="H61" s="40"/>
      <c r="I61" s="40"/>
      <c r="J61" s="40"/>
      <c r="K61" s="40"/>
      <c r="L61" s="40"/>
      <c r="M61" s="41"/>
    </row>
    <row r="62" spans="1:14">
      <c r="A62" s="34"/>
      <c r="B62" s="62"/>
      <c r="C62" s="30"/>
      <c r="D62" s="81"/>
      <c r="E62" s="81"/>
      <c r="F62" s="81"/>
      <c r="G62" s="81"/>
      <c r="H62" s="81"/>
      <c r="I62" s="81"/>
      <c r="J62" s="81"/>
      <c r="K62" s="81"/>
      <c r="L62" s="81"/>
      <c r="M62" s="82"/>
      <c r="N62" s="63"/>
    </row>
    <row r="63" spans="1:14">
      <c r="A63" s="34"/>
      <c r="B63" s="64"/>
      <c r="C63" s="30"/>
      <c r="D63" s="40"/>
      <c r="E63" s="40"/>
      <c r="F63" s="40"/>
      <c r="G63" s="40"/>
      <c r="H63" s="40"/>
      <c r="I63" s="40"/>
      <c r="J63" s="40"/>
      <c r="K63" s="40"/>
      <c r="L63" s="40"/>
      <c r="M63" s="41"/>
    </row>
    <row r="64" spans="1:14">
      <c r="A64" s="34"/>
      <c r="B64" s="30"/>
      <c r="C64" s="30"/>
      <c r="D64" s="30"/>
      <c r="E64" s="30"/>
      <c r="F64" s="30"/>
      <c r="G64" s="30"/>
      <c r="H64" s="30"/>
      <c r="I64" s="30"/>
      <c r="J64" s="30"/>
      <c r="K64" s="30"/>
      <c r="L64" s="30"/>
      <c r="M64" s="31"/>
    </row>
    <row r="65" spans="1:13">
      <c r="A65" s="65"/>
      <c r="B65" s="4"/>
      <c r="C65" s="30"/>
      <c r="D65" s="30"/>
      <c r="E65" s="30"/>
      <c r="F65" s="30"/>
      <c r="G65" s="30"/>
      <c r="H65" s="30"/>
      <c r="I65" s="30"/>
      <c r="J65" s="30"/>
      <c r="K65" s="30"/>
      <c r="L65" s="30"/>
      <c r="M65" s="31"/>
    </row>
    <row r="66" spans="1:13">
      <c r="A66" s="34"/>
      <c r="B66" s="66"/>
      <c r="C66" s="66"/>
      <c r="D66" s="30"/>
      <c r="E66" s="30"/>
      <c r="F66" s="30"/>
      <c r="G66" s="30"/>
      <c r="H66" s="30"/>
      <c r="I66" s="30"/>
      <c r="J66" s="30"/>
      <c r="K66" s="30"/>
      <c r="L66" s="30"/>
      <c r="M66" s="31"/>
    </row>
    <row r="67" spans="1:13">
      <c r="A67" s="34"/>
      <c r="B67" s="67"/>
      <c r="C67" s="30"/>
      <c r="D67" s="40"/>
      <c r="E67" s="40"/>
      <c r="F67" s="40"/>
      <c r="G67" s="40"/>
      <c r="H67" s="40"/>
      <c r="I67" s="40"/>
      <c r="J67" s="40"/>
      <c r="K67" s="40"/>
      <c r="L67" s="40"/>
      <c r="M67" s="41"/>
    </row>
    <row r="68" spans="1:13">
      <c r="A68" s="34"/>
      <c r="B68" s="68"/>
      <c r="C68" s="30"/>
      <c r="D68" s="83"/>
      <c r="E68" s="83"/>
      <c r="F68" s="83"/>
      <c r="G68" s="83"/>
      <c r="H68" s="83"/>
      <c r="I68" s="83"/>
      <c r="J68" s="83"/>
      <c r="K68" s="83"/>
      <c r="L68" s="83"/>
      <c r="M68" s="84"/>
    </row>
    <row r="69" spans="1:13">
      <c r="A69" s="34"/>
      <c r="B69" s="4"/>
      <c r="C69" s="30"/>
      <c r="D69" s="30"/>
      <c r="E69" s="30"/>
      <c r="F69" s="30"/>
      <c r="G69" s="30"/>
      <c r="H69" s="30"/>
      <c r="I69" s="30"/>
      <c r="J69" s="30"/>
      <c r="K69" s="30"/>
      <c r="L69" s="30"/>
      <c r="M69" s="31"/>
    </row>
    <row r="70" spans="1:13">
      <c r="A70" s="69"/>
      <c r="B70" s="30"/>
      <c r="C70" s="30"/>
      <c r="D70" s="30"/>
      <c r="E70" s="30"/>
      <c r="F70" s="30"/>
      <c r="G70" s="30"/>
      <c r="H70" s="30"/>
      <c r="I70" s="30"/>
      <c r="J70" s="30"/>
      <c r="K70" s="30"/>
      <c r="L70" s="30"/>
      <c r="M70" s="31"/>
    </row>
    <row r="71" spans="1:13">
      <c r="A71" s="34"/>
      <c r="B71" s="70"/>
      <c r="C71" s="30"/>
      <c r="D71" s="40"/>
      <c r="E71" s="40"/>
      <c r="F71" s="40"/>
      <c r="G71" s="40"/>
      <c r="H71" s="40"/>
      <c r="I71" s="40"/>
      <c r="J71" s="40"/>
      <c r="K71" s="40"/>
      <c r="L71" s="40"/>
      <c r="M71" s="41"/>
    </row>
    <row r="72" spans="1:13">
      <c r="A72" s="34"/>
      <c r="B72" s="70"/>
      <c r="C72" s="30"/>
      <c r="D72" s="40"/>
      <c r="E72" s="40"/>
      <c r="F72" s="40"/>
      <c r="G72" s="40"/>
      <c r="H72" s="40"/>
      <c r="I72" s="40"/>
      <c r="J72" s="40"/>
      <c r="K72" s="40"/>
      <c r="L72" s="40"/>
      <c r="M72" s="41"/>
    </row>
    <row r="73" spans="1:13">
      <c r="A73" s="34"/>
      <c r="B73" s="70"/>
      <c r="C73" s="30"/>
      <c r="D73" s="40"/>
      <c r="E73" s="40"/>
      <c r="F73" s="40"/>
      <c r="G73" s="40"/>
      <c r="H73" s="40"/>
      <c r="I73" s="40"/>
      <c r="J73" s="40"/>
      <c r="K73" s="40"/>
      <c r="L73" s="40"/>
      <c r="M73" s="41"/>
    </row>
    <row r="74" spans="1:13">
      <c r="A74" s="34"/>
      <c r="B74" s="70"/>
      <c r="C74" s="30"/>
      <c r="D74" s="40"/>
      <c r="E74" s="40"/>
      <c r="F74" s="40"/>
      <c r="G74" s="40"/>
      <c r="H74" s="40"/>
      <c r="I74" s="40"/>
      <c r="J74" s="40"/>
      <c r="K74" s="40"/>
      <c r="L74" s="40"/>
      <c r="M74" s="41"/>
    </row>
    <row r="75" spans="1:13">
      <c r="A75" s="34"/>
      <c r="B75" s="70"/>
      <c r="C75" s="30"/>
      <c r="D75" s="85"/>
      <c r="E75" s="85"/>
      <c r="F75" s="85"/>
      <c r="G75" s="85"/>
      <c r="H75" s="85"/>
      <c r="I75" s="85"/>
      <c r="J75" s="85"/>
      <c r="K75" s="85"/>
      <c r="L75" s="85"/>
      <c r="M75" s="86"/>
    </row>
    <row r="76" spans="1:13">
      <c r="A76" s="34"/>
      <c r="B76" s="72"/>
      <c r="C76" s="30"/>
      <c r="D76" s="51"/>
      <c r="E76" s="51"/>
      <c r="F76" s="51"/>
      <c r="G76" s="51"/>
      <c r="H76" s="51"/>
      <c r="I76" s="51"/>
      <c r="J76" s="51"/>
      <c r="K76" s="51"/>
      <c r="L76" s="51"/>
      <c r="M76" s="52"/>
    </row>
    <row r="77" spans="1:13">
      <c r="A77" s="34"/>
      <c r="B77" s="30"/>
      <c r="C77" s="30"/>
      <c r="D77" s="30"/>
      <c r="E77" s="30"/>
      <c r="F77" s="30"/>
      <c r="G77" s="30"/>
      <c r="H77" s="30"/>
      <c r="I77" s="30"/>
      <c r="J77" s="30"/>
      <c r="K77" s="30"/>
      <c r="L77" s="30"/>
      <c r="M77" s="31"/>
    </row>
    <row r="78" spans="1:13">
      <c r="A78" s="73"/>
      <c r="B78" s="30"/>
      <c r="C78" s="30"/>
      <c r="D78" s="40"/>
      <c r="E78" s="40"/>
      <c r="F78" s="40"/>
      <c r="G78" s="40"/>
      <c r="H78" s="40"/>
      <c r="I78" s="40"/>
      <c r="J78" s="40"/>
      <c r="K78" s="40"/>
      <c r="L78" s="40"/>
      <c r="M78" s="41"/>
    </row>
    <row r="79" spans="1:13">
      <c r="A79" s="74"/>
      <c r="B79" s="30"/>
      <c r="C79" s="30"/>
      <c r="D79" s="30"/>
      <c r="E79" s="30"/>
      <c r="F79" s="30"/>
      <c r="G79" s="30"/>
      <c r="H79" s="30"/>
      <c r="I79" s="30"/>
      <c r="J79" s="30"/>
      <c r="K79" s="30"/>
      <c r="L79" s="30"/>
      <c r="M79" s="31"/>
    </row>
    <row r="80" spans="1:13">
      <c r="A80" s="75"/>
      <c r="B80" s="30"/>
      <c r="C80" s="30"/>
      <c r="D80" s="40"/>
      <c r="E80" s="40"/>
      <c r="F80" s="40"/>
      <c r="G80" s="40"/>
      <c r="H80" s="40"/>
      <c r="I80" s="40"/>
      <c r="J80" s="40"/>
      <c r="K80" s="40"/>
      <c r="L80" s="40"/>
      <c r="M80" s="41"/>
    </row>
    <row r="81" spans="1:13">
      <c r="A81" s="34"/>
      <c r="B81" s="30"/>
      <c r="C81" s="30"/>
      <c r="D81" s="30"/>
      <c r="E81" s="30"/>
      <c r="F81" s="30"/>
      <c r="G81" s="30"/>
      <c r="H81" s="30"/>
      <c r="I81" s="30"/>
      <c r="J81" s="30"/>
      <c r="K81" s="30"/>
      <c r="L81" s="30"/>
      <c r="M81" s="31"/>
    </row>
    <row r="82" spans="1:13">
      <c r="A82" s="75"/>
      <c r="B82" s="30"/>
      <c r="C82" s="30"/>
      <c r="D82" s="51"/>
      <c r="E82" s="51"/>
      <c r="F82" s="51"/>
      <c r="G82" s="51"/>
      <c r="H82" s="51"/>
      <c r="I82" s="51"/>
      <c r="J82" s="51"/>
      <c r="K82" s="51"/>
      <c r="L82" s="51"/>
      <c r="M82" s="52"/>
    </row>
    <row r="83" spans="1:13">
      <c r="A83" s="76"/>
      <c r="B83" s="77"/>
      <c r="C83" s="77"/>
      <c r="D83" s="77"/>
      <c r="E83" s="77"/>
      <c r="F83" s="77"/>
      <c r="G83" s="77"/>
      <c r="H83" s="77"/>
      <c r="I83" s="77"/>
      <c r="J83" s="77"/>
      <c r="K83" s="77"/>
      <c r="L83" s="77"/>
      <c r="M83" s="78"/>
    </row>
  </sheetData>
  <customSheetViews>
    <customSheetView guid="{2226E858-00AE-4A92-8CF6-5B54D2FA62D4}" showPageBreaks="1" state="hidden">
      <selection sqref="A1:M1"/>
      <pageMargins left="0.7" right="0.7" top="0.75" bottom="0.75" header="0.3" footer="0.3"/>
      <pageSetup orientation="portrait" r:id="rId1"/>
    </customSheetView>
  </customSheetViews>
  <mergeCells count="14">
    <mergeCell ref="A17:C17"/>
    <mergeCell ref="D16:M16"/>
    <mergeCell ref="A9:B9"/>
    <mergeCell ref="A10:B10"/>
    <mergeCell ref="E10:L13"/>
    <mergeCell ref="A12:B12"/>
    <mergeCell ref="A13:B13"/>
    <mergeCell ref="A14:B14"/>
    <mergeCell ref="A8:B8"/>
    <mergeCell ref="A1:M1"/>
    <mergeCell ref="K2:M2"/>
    <mergeCell ref="A5:B5"/>
    <mergeCell ref="A6:B6"/>
    <mergeCell ref="A7:B7"/>
  </mergeCells>
  <hyperlinks>
    <hyperlink ref="K2:M2" location="Index!A1" display="Return to Index" xr:uid="{00000000-0004-0000-0000-000000000000}"/>
  </hyperlinks>
  <pageMargins left="0.7" right="0.7" top="0.75" bottom="0.75" header="0.3" footer="0.3"/>
  <pageSetup orientation="portrait"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3"/>
  <dimension ref="A1:AO64"/>
  <sheetViews>
    <sheetView workbookViewId="0"/>
  </sheetViews>
  <sheetFormatPr defaultColWidth="9.140625" defaultRowHeight="15"/>
  <cols>
    <col min="1" max="1" width="4.42578125" style="331" customWidth="1"/>
    <col min="2" max="2" width="40.42578125" style="331" bestFit="1" customWidth="1"/>
    <col min="3" max="3" width="8.140625" style="331" customWidth="1"/>
    <col min="4" max="4" width="9" style="331" customWidth="1"/>
    <col min="5" max="5" width="2.42578125" style="331" customWidth="1"/>
    <col min="6" max="6" width="8.140625" style="331" customWidth="1"/>
    <col min="7" max="7" width="9" style="331" customWidth="1"/>
    <col min="8" max="8" width="2.42578125" style="331" customWidth="1"/>
    <col min="9" max="9" width="8.140625" style="331" customWidth="1"/>
    <col min="10" max="10" width="8.85546875" style="331" customWidth="1"/>
    <col min="11" max="11" width="2.42578125" style="331" customWidth="1"/>
    <col min="12" max="12" width="9.140625" style="331" customWidth="1"/>
    <col min="13" max="13" width="8.85546875" style="331" customWidth="1"/>
    <col min="14" max="14" width="2.42578125" style="331" customWidth="1"/>
    <col min="15" max="15" width="8.42578125" style="331" customWidth="1"/>
    <col min="16" max="16" width="9" style="331" customWidth="1"/>
    <col min="17" max="17" width="2.5703125" style="331" customWidth="1"/>
    <col min="18" max="18" width="8.42578125" style="331" customWidth="1"/>
    <col min="19" max="19" width="9" style="331" customWidth="1"/>
    <col min="20" max="20" width="2.42578125" style="331" customWidth="1"/>
    <col min="21" max="21" width="8.7109375" style="331" bestFit="1" customWidth="1"/>
    <col min="22" max="22" width="8.5703125" style="331" customWidth="1"/>
    <col min="23" max="26" width="9.140625" style="331"/>
    <col min="27" max="27" width="7.28515625" style="331" customWidth="1"/>
    <col min="28" max="28" width="5.5703125" style="331" customWidth="1"/>
    <col min="29" max="16384" width="9.140625" style="331"/>
  </cols>
  <sheetData>
    <row r="1" spans="1:22">
      <c r="A1" s="328"/>
      <c r="B1" s="328" t="s">
        <v>649</v>
      </c>
      <c r="C1" s="329" t="s">
        <v>307</v>
      </c>
      <c r="D1" s="329" t="s">
        <v>308</v>
      </c>
      <c r="E1" s="330"/>
      <c r="F1" s="329" t="s">
        <v>309</v>
      </c>
      <c r="G1" s="329" t="s">
        <v>310</v>
      </c>
      <c r="H1" s="330"/>
      <c r="I1" s="329" t="s">
        <v>311</v>
      </c>
      <c r="J1" s="329" t="s">
        <v>312</v>
      </c>
      <c r="K1" s="328"/>
      <c r="L1" s="329" t="s">
        <v>340</v>
      </c>
      <c r="M1" s="329" t="s">
        <v>341</v>
      </c>
      <c r="N1" s="328"/>
      <c r="O1" s="329" t="s">
        <v>342</v>
      </c>
      <c r="P1" s="329" t="s">
        <v>343</v>
      </c>
      <c r="Q1" s="328"/>
      <c r="R1" s="329" t="s">
        <v>344</v>
      </c>
      <c r="S1" s="329" t="s">
        <v>345</v>
      </c>
      <c r="T1" s="328"/>
      <c r="U1" s="329" t="s">
        <v>346</v>
      </c>
      <c r="V1" s="329" t="s">
        <v>347</v>
      </c>
    </row>
    <row r="2" spans="1:22" ht="24" customHeight="1">
      <c r="A2" s="328"/>
      <c r="B2" s="328"/>
      <c r="C2" s="927" t="s">
        <v>326</v>
      </c>
      <c r="D2" s="927"/>
      <c r="E2" s="332"/>
      <c r="F2" s="927" t="s">
        <v>353</v>
      </c>
      <c r="G2" s="927"/>
      <c r="H2" s="332"/>
      <c r="I2" s="927" t="s">
        <v>352</v>
      </c>
      <c r="J2" s="927"/>
      <c r="K2" s="333"/>
      <c r="L2" s="927" t="s">
        <v>351</v>
      </c>
      <c r="M2" s="927"/>
      <c r="N2" s="333"/>
      <c r="O2" s="927" t="s">
        <v>350</v>
      </c>
      <c r="P2" s="927"/>
      <c r="Q2" s="333"/>
      <c r="R2" s="927" t="s">
        <v>349</v>
      </c>
      <c r="S2" s="927"/>
      <c r="T2" s="333"/>
      <c r="U2" s="927" t="s">
        <v>354</v>
      </c>
      <c r="V2" s="927"/>
    </row>
    <row r="3" spans="1:22">
      <c r="A3" s="328"/>
      <c r="B3" s="328"/>
      <c r="C3" s="928"/>
      <c r="D3" s="928"/>
      <c r="E3" s="332"/>
      <c r="F3" s="928"/>
      <c r="G3" s="928"/>
      <c r="H3" s="332"/>
      <c r="I3" s="928"/>
      <c r="J3" s="928"/>
      <c r="K3" s="333"/>
      <c r="L3" s="928"/>
      <c r="M3" s="928"/>
      <c r="N3" s="333"/>
      <c r="O3" s="928"/>
      <c r="P3" s="928"/>
      <c r="Q3" s="333"/>
      <c r="R3" s="928"/>
      <c r="S3" s="928"/>
      <c r="T3" s="333"/>
      <c r="U3" s="928"/>
      <c r="V3" s="928"/>
    </row>
    <row r="4" spans="1:22">
      <c r="A4" s="328"/>
      <c r="B4" s="328"/>
      <c r="C4" s="334"/>
      <c r="D4" s="334"/>
      <c r="E4" s="328"/>
      <c r="F4" s="334"/>
      <c r="G4" s="334"/>
      <c r="H4" s="328"/>
      <c r="I4" s="334"/>
      <c r="J4" s="334"/>
      <c r="K4" s="328"/>
      <c r="L4" s="334"/>
      <c r="M4" s="334"/>
      <c r="N4" s="328"/>
      <c r="O4" s="334"/>
      <c r="P4" s="334"/>
      <c r="Q4" s="328"/>
      <c r="R4" s="334"/>
      <c r="S4" s="334"/>
      <c r="T4" s="328"/>
      <c r="U4" s="334"/>
      <c r="V4" s="334"/>
    </row>
    <row r="5" spans="1:22" ht="26.25">
      <c r="A5" s="328"/>
      <c r="B5" s="335" t="s">
        <v>313</v>
      </c>
      <c r="C5" s="336" t="s">
        <v>348</v>
      </c>
      <c r="D5" s="336" t="s">
        <v>314</v>
      </c>
      <c r="E5" s="333"/>
      <c r="F5" s="336" t="s">
        <v>348</v>
      </c>
      <c r="G5" s="336" t="s">
        <v>314</v>
      </c>
      <c r="H5" s="333"/>
      <c r="I5" s="336" t="s">
        <v>348</v>
      </c>
      <c r="J5" s="336" t="s">
        <v>314</v>
      </c>
      <c r="K5" s="333"/>
      <c r="L5" s="336" t="s">
        <v>348</v>
      </c>
      <c r="M5" s="336" t="s">
        <v>314</v>
      </c>
      <c r="N5" s="333"/>
      <c r="O5" s="336" t="s">
        <v>348</v>
      </c>
      <c r="P5" s="336" t="s">
        <v>314</v>
      </c>
      <c r="Q5" s="333"/>
      <c r="R5" s="336" t="s">
        <v>348</v>
      </c>
      <c r="S5" s="336" t="s">
        <v>314</v>
      </c>
      <c r="T5" s="333"/>
      <c r="U5" s="336" t="s">
        <v>348</v>
      </c>
      <c r="V5" s="336" t="s">
        <v>314</v>
      </c>
    </row>
    <row r="6" spans="1:22">
      <c r="A6" s="328"/>
      <c r="B6" s="328"/>
      <c r="C6" s="328"/>
      <c r="D6" s="328"/>
      <c r="E6" s="328"/>
      <c r="F6" s="328"/>
      <c r="G6" s="328"/>
      <c r="H6" s="328"/>
      <c r="I6" s="328"/>
      <c r="J6" s="328"/>
      <c r="K6" s="328"/>
      <c r="L6" s="328"/>
      <c r="M6" s="328"/>
      <c r="N6" s="328"/>
      <c r="O6" s="328"/>
      <c r="P6" s="328"/>
      <c r="Q6" s="328"/>
      <c r="R6" s="328"/>
      <c r="S6" s="328"/>
      <c r="T6" s="328"/>
      <c r="U6" s="328"/>
      <c r="V6" s="328"/>
    </row>
    <row r="7" spans="1:22">
      <c r="A7" s="931"/>
      <c r="B7" s="931"/>
      <c r="C7" s="328"/>
      <c r="D7" s="328"/>
      <c r="E7" s="328"/>
      <c r="F7" s="328"/>
      <c r="G7" s="328"/>
      <c r="H7" s="328"/>
      <c r="I7" s="328"/>
      <c r="J7" s="328"/>
      <c r="K7" s="328"/>
      <c r="L7" s="328"/>
      <c r="M7" s="328"/>
      <c r="N7" s="328"/>
      <c r="O7" s="328"/>
      <c r="P7" s="328"/>
      <c r="Q7" s="328"/>
      <c r="R7" s="328"/>
      <c r="S7" s="328"/>
      <c r="T7" s="328"/>
      <c r="U7" s="328"/>
      <c r="V7" s="328"/>
    </row>
    <row r="8" spans="1:22">
      <c r="A8" s="337">
        <v>1</v>
      </c>
      <c r="B8" s="337" t="s">
        <v>315</v>
      </c>
      <c r="C8" s="338">
        <f>(M35-I35)/1000</f>
        <v>15.499957914999976</v>
      </c>
      <c r="D8" s="339">
        <f>(C8/C20)*D20</f>
        <v>1.0735192771600448E-2</v>
      </c>
      <c r="E8" s="328"/>
      <c r="F8" s="338">
        <f>(O35-M35)/1000</f>
        <v>40.029382069500045</v>
      </c>
      <c r="G8" s="339" t="e">
        <f>(F8/F20)*G20</f>
        <v>#REF!</v>
      </c>
      <c r="H8" s="328"/>
      <c r="I8" s="338">
        <f>(P35-O35)/1000</f>
        <v>31.016638520499953</v>
      </c>
      <c r="J8" s="339" t="e">
        <f>(I8/I20)*J20</f>
        <v>#REF!</v>
      </c>
      <c r="K8" s="328"/>
      <c r="L8" s="338">
        <f>(R35-P35)/1000</f>
        <v>24.693076505000032</v>
      </c>
      <c r="M8" s="339" t="e">
        <f>(L8/L20)*M20</f>
        <v>#REF!</v>
      </c>
      <c r="N8" s="328"/>
      <c r="O8" s="338" t="e">
        <f>(S35-R35)/1000</f>
        <v>#REF!</v>
      </c>
      <c r="P8" s="339" t="e">
        <f>(O8/O20)*P20</f>
        <v>#REF!</v>
      </c>
      <c r="Q8" s="328"/>
      <c r="R8" s="338" t="e">
        <f>(U35-S35)/1000</f>
        <v>#REF!</v>
      </c>
      <c r="S8" s="339" t="e">
        <f>(R8/R20)*S20</f>
        <v>#REF!</v>
      </c>
      <c r="T8" s="328"/>
      <c r="U8" s="338" t="e">
        <f>(V35-U35)/1000</f>
        <v>#REF!</v>
      </c>
      <c r="V8" s="339" t="e">
        <f>(U8/U20)*V20</f>
        <v>#REF!</v>
      </c>
    </row>
    <row r="9" spans="1:22">
      <c r="A9" s="328">
        <v>2</v>
      </c>
      <c r="B9" s="328" t="s">
        <v>316</v>
      </c>
      <c r="C9" s="340">
        <f>(M37-I37)/1000</f>
        <v>7.3484065000000118</v>
      </c>
      <c r="D9" s="341">
        <f>(C9/C20)*D20</f>
        <v>5.0894693246386138E-3</v>
      </c>
      <c r="E9" s="328"/>
      <c r="F9" s="340">
        <f>(O37-M37)/1000</f>
        <v>33.425049502000007</v>
      </c>
      <c r="G9" s="341" t="e">
        <f>(F9/F20)*G20</f>
        <v>#REF!</v>
      </c>
      <c r="H9" s="328"/>
      <c r="I9" s="340">
        <f>(P37-O37)/1000</f>
        <v>35.255823363000005</v>
      </c>
      <c r="J9" s="341" t="e">
        <f>(I9/I20)*J20</f>
        <v>#REF!</v>
      </c>
      <c r="K9" s="328"/>
      <c r="L9" s="340">
        <f>(R37-P37)/1000</f>
        <v>20.90520835500001</v>
      </c>
      <c r="M9" s="341" t="e">
        <f>(L9/L20)*M20</f>
        <v>#REF!</v>
      </c>
      <c r="N9" s="328"/>
      <c r="O9" s="340" t="e">
        <f>(S37-R37)/1000</f>
        <v>#REF!</v>
      </c>
      <c r="P9" s="341" t="e">
        <f>(O9/O20)*P20</f>
        <v>#REF!</v>
      </c>
      <c r="Q9" s="328"/>
      <c r="R9" s="340" t="e">
        <f>(U37-S37)/1000</f>
        <v>#REF!</v>
      </c>
      <c r="S9" s="341" t="e">
        <f>(R9/R20)*S20</f>
        <v>#REF!</v>
      </c>
      <c r="T9" s="328"/>
      <c r="U9" s="340" t="e">
        <f>(V37-U37)/1000</f>
        <v>#REF!</v>
      </c>
      <c r="V9" s="341" t="e">
        <f>(U9/U20)*V20</f>
        <v>#REF!</v>
      </c>
    </row>
    <row r="10" spans="1:22">
      <c r="A10" s="337">
        <v>3</v>
      </c>
      <c r="B10" s="337" t="s">
        <v>317</v>
      </c>
      <c r="C10" s="338">
        <f>(M36-I36)/1000</f>
        <v>7.2429974999999978</v>
      </c>
      <c r="D10" s="339">
        <f>(C10/C20)*D20</f>
        <v>5.0164635822316176E-3</v>
      </c>
      <c r="E10" s="328"/>
      <c r="F10" s="338">
        <f>(O36-M36)/1000</f>
        <v>9.6335943385</v>
      </c>
      <c r="G10" s="339" t="e">
        <f>(F10/F20)*G20</f>
        <v>#REF!</v>
      </c>
      <c r="H10" s="328"/>
      <c r="I10" s="338">
        <f>(P36-O36)/1000</f>
        <v>17.0146317365</v>
      </c>
      <c r="J10" s="339" t="e">
        <f>(I10/I20)*J20</f>
        <v>#REF!</v>
      </c>
      <c r="K10" s="328"/>
      <c r="L10" s="338">
        <f>(R36-P36)/1000</f>
        <v>5.1977935050000088</v>
      </c>
      <c r="M10" s="339" t="e">
        <f>(L10/L20)*M20</f>
        <v>#REF!</v>
      </c>
      <c r="N10" s="328"/>
      <c r="O10" s="338" t="e">
        <f>(S36-R36)/1000</f>
        <v>#REF!</v>
      </c>
      <c r="P10" s="339" t="e">
        <f>(O10/O20)*P20</f>
        <v>#REF!</v>
      </c>
      <c r="Q10" s="328"/>
      <c r="R10" s="338" t="e">
        <f>(U36-S36)/1000</f>
        <v>#REF!</v>
      </c>
      <c r="S10" s="339" t="e">
        <f>(R10/R20)*S20</f>
        <v>#REF!</v>
      </c>
      <c r="T10" s="328"/>
      <c r="U10" s="338" t="e">
        <f>(V36-U36)/1000</f>
        <v>#REF!</v>
      </c>
      <c r="V10" s="339" t="e">
        <f>(U10/U20)*V20</f>
        <v>#REF!</v>
      </c>
    </row>
    <row r="11" spans="1:22">
      <c r="A11" s="328">
        <v>4</v>
      </c>
      <c r="B11" s="342" t="s">
        <v>318</v>
      </c>
      <c r="C11" s="343">
        <f>((M39-I39)+M40)/1000</f>
        <v>4.2453980000000007</v>
      </c>
      <c r="D11" s="344">
        <f>(C11/C20)*D20</f>
        <v>2.9403412688018952E-3</v>
      </c>
      <c r="E11" s="328"/>
      <c r="F11" s="343">
        <f>((O39-M39)+(O40-M40))/1000</f>
        <v>54.070936927999995</v>
      </c>
      <c r="G11" s="344" t="e">
        <f>(F11/F20)*G20</f>
        <v>#REF!</v>
      </c>
      <c r="H11" s="328"/>
      <c r="I11" s="343">
        <f>((P39-O39)+P40)/1000</f>
        <v>73.353495441999982</v>
      </c>
      <c r="J11" s="344" t="e">
        <f>(I11/I20)*J20</f>
        <v>#REF!</v>
      </c>
      <c r="K11" s="328"/>
      <c r="L11" s="343">
        <f>((R39-P39)+R40)/1000</f>
        <v>19.241634860000048</v>
      </c>
      <c r="M11" s="344" t="e">
        <f>(L11/L20)*M20</f>
        <v>#REF!</v>
      </c>
      <c r="N11" s="328"/>
      <c r="O11" s="343" t="e">
        <f>((S39-R39))/1000</f>
        <v>#REF!</v>
      </c>
      <c r="P11" s="344" t="e">
        <f>(O11/O20)*P20</f>
        <v>#REF!</v>
      </c>
      <c r="Q11" s="328"/>
      <c r="R11" s="343" t="e">
        <f>((U39-S39))/1000</f>
        <v>#REF!</v>
      </c>
      <c r="S11" s="344" t="e">
        <f>(R11/R20)*S20</f>
        <v>#REF!</v>
      </c>
      <c r="T11" s="328"/>
      <c r="U11" s="343" t="e">
        <f>((V39-U39))/1000</f>
        <v>#REF!</v>
      </c>
      <c r="V11" s="344" t="e">
        <f>(U11/U20)*V20</f>
        <v>#REF!</v>
      </c>
    </row>
    <row r="12" spans="1:22">
      <c r="A12" s="345">
        <v>5</v>
      </c>
      <c r="B12" s="346" t="s">
        <v>319</v>
      </c>
      <c r="C12" s="347">
        <f>SUM(C8:C11)</f>
        <v>34.336759914999988</v>
      </c>
      <c r="D12" s="348">
        <f>SUM(D8:D11)</f>
        <v>2.3781466947272574E-2</v>
      </c>
      <c r="E12" s="349"/>
      <c r="F12" s="347">
        <f>SUM(F8:F11)</f>
        <v>137.15896283800004</v>
      </c>
      <c r="G12" s="348" t="e">
        <f>SUM(G8:G11)</f>
        <v>#REF!</v>
      </c>
      <c r="H12" s="349"/>
      <c r="I12" s="347">
        <f>SUM(I8:I11)</f>
        <v>156.64058906199995</v>
      </c>
      <c r="J12" s="348" t="e">
        <f>SUM(J8:J11)</f>
        <v>#REF!</v>
      </c>
      <c r="K12" s="328"/>
      <c r="L12" s="347">
        <f>SUM(L8:L11)</f>
        <v>70.03771322500009</v>
      </c>
      <c r="M12" s="348" t="e">
        <f>SUM(M8:M11)</f>
        <v>#REF!</v>
      </c>
      <c r="N12" s="328"/>
      <c r="O12" s="347" t="e">
        <f>SUM(O8:O11)</f>
        <v>#REF!</v>
      </c>
      <c r="P12" s="348" t="e">
        <f>SUM(P8:P11)</f>
        <v>#REF!</v>
      </c>
      <c r="Q12" s="328"/>
      <c r="R12" s="347" t="e">
        <f>SUM(R8:R11)</f>
        <v>#REF!</v>
      </c>
      <c r="S12" s="348" t="e">
        <f>SUM(S8:S11)</f>
        <v>#REF!</v>
      </c>
      <c r="T12" s="328"/>
      <c r="U12" s="347" t="e">
        <f>SUM(U8:U11)</f>
        <v>#REF!</v>
      </c>
      <c r="V12" s="348" t="e">
        <f>SUM(V8:V11)</f>
        <v>#REF!</v>
      </c>
    </row>
    <row r="13" spans="1:22">
      <c r="A13" s="328"/>
      <c r="B13" s="349"/>
      <c r="C13" s="350"/>
      <c r="D13" s="328"/>
      <c r="E13" s="328"/>
      <c r="F13" s="350"/>
      <c r="G13" s="328"/>
      <c r="H13" s="328"/>
      <c r="I13" s="350"/>
      <c r="J13" s="328"/>
      <c r="K13" s="328"/>
      <c r="L13" s="350"/>
      <c r="M13" s="328"/>
      <c r="N13" s="328"/>
      <c r="O13" s="350"/>
      <c r="P13" s="328"/>
      <c r="Q13" s="328"/>
      <c r="R13" s="350"/>
      <c r="S13" s="328"/>
      <c r="T13" s="328"/>
      <c r="U13" s="350"/>
      <c r="V13" s="328"/>
    </row>
    <row r="14" spans="1:22" ht="17.25">
      <c r="A14" s="328">
        <v>6</v>
      </c>
      <c r="B14" s="328" t="s">
        <v>644</v>
      </c>
      <c r="C14" s="340">
        <f>(M38-I38)/1000</f>
        <v>8.0091995199999939</v>
      </c>
      <c r="D14" s="341">
        <f>(C14/C20)*D20</f>
        <v>5.5471312415760095E-3</v>
      </c>
      <c r="E14" s="328"/>
      <c r="F14" s="340">
        <f>(O38-M38)/1000</f>
        <v>-20.030376831500003</v>
      </c>
      <c r="G14" s="341" t="e">
        <f>(F14/F20)*G20</f>
        <v>#REF!</v>
      </c>
      <c r="H14" s="328"/>
      <c r="I14" s="340">
        <f>(P38-O38)/1000</f>
        <v>25.615963983113179</v>
      </c>
      <c r="J14" s="341" t="e">
        <f>(I14/I20)*J20</f>
        <v>#REF!</v>
      </c>
      <c r="K14" s="328"/>
      <c r="L14" s="340">
        <f>(R38-P38)/1000</f>
        <v>-0.18083153567748378</v>
      </c>
      <c r="M14" s="341" t="e">
        <f>(L14/L20)*M20</f>
        <v>#REF!</v>
      </c>
      <c r="N14" s="328"/>
      <c r="O14" s="340" t="e">
        <f>(S38-R38)/1000</f>
        <v>#REF!</v>
      </c>
      <c r="P14" s="341" t="e">
        <f>(O14/O20)*P20</f>
        <v>#REF!</v>
      </c>
      <c r="Q14" s="328"/>
      <c r="R14" s="340" t="e">
        <f>(U38-S38)/1000</f>
        <v>#REF!</v>
      </c>
      <c r="S14" s="341" t="e">
        <f>(R14/R20)*S20</f>
        <v>#REF!</v>
      </c>
      <c r="T14" s="328"/>
      <c r="U14" s="340" t="e">
        <f>(V38-U38)/1000</f>
        <v>#REF!</v>
      </c>
      <c r="V14" s="341" t="e">
        <f>(U14/U20)*V20</f>
        <v>#REF!</v>
      </c>
    </row>
    <row r="15" spans="1:22" ht="17.25">
      <c r="A15" s="337">
        <v>7</v>
      </c>
      <c r="B15" s="351" t="s">
        <v>645</v>
      </c>
      <c r="C15" s="352">
        <f>(M41-I41)/1000</f>
        <v>20</v>
      </c>
      <c r="D15" s="353">
        <f>(C15/C20)*D20</f>
        <v>1.3851899250915439E-2</v>
      </c>
      <c r="E15" s="328"/>
      <c r="F15" s="352" t="e">
        <f>(O41-M41)/1000</f>
        <v>#REF!</v>
      </c>
      <c r="G15" s="353" t="e">
        <f>(F15/F20)*G20</f>
        <v>#REF!</v>
      </c>
      <c r="H15" s="328"/>
      <c r="I15" s="352" t="e">
        <f>(P41-O41)/1000</f>
        <v>#REF!</v>
      </c>
      <c r="J15" s="353" t="e">
        <f>(I15/I20)*J20</f>
        <v>#REF!</v>
      </c>
      <c r="K15" s="328"/>
      <c r="L15" s="352" t="e">
        <f>(R41-P41)/1000</f>
        <v>#REF!</v>
      </c>
      <c r="M15" s="353" t="e">
        <f>(L15/L20)*M20</f>
        <v>#REF!</v>
      </c>
      <c r="N15" s="328"/>
      <c r="O15" s="352" t="e">
        <f>(S41-R41)/1000</f>
        <v>#REF!</v>
      </c>
      <c r="P15" s="353" t="e">
        <f>(O15/O20)*P20</f>
        <v>#REF!</v>
      </c>
      <c r="Q15" s="328"/>
      <c r="R15" s="352" t="e">
        <f>(U41-S41)/1000</f>
        <v>#REF!</v>
      </c>
      <c r="S15" s="353" t="e">
        <f>(R15/R20)*S20</f>
        <v>#REF!</v>
      </c>
      <c r="T15" s="328"/>
      <c r="U15" s="352" t="e">
        <f>(V41-U41)/1000</f>
        <v>#REF!</v>
      </c>
      <c r="V15" s="353" t="e">
        <f>(U15/U20)*V20</f>
        <v>#REF!</v>
      </c>
    </row>
    <row r="16" spans="1:22">
      <c r="A16" s="354">
        <v>8</v>
      </c>
      <c r="B16" s="355" t="s">
        <v>320</v>
      </c>
      <c r="C16" s="356">
        <f>SUM(C14:C15)</f>
        <v>28.009199519999996</v>
      </c>
      <c r="D16" s="357">
        <f>SUM(D14:D15)</f>
        <v>1.9399030492491448E-2</v>
      </c>
      <c r="E16" s="349"/>
      <c r="F16" s="356" t="e">
        <f>SUM(F14:F15)</f>
        <v>#REF!</v>
      </c>
      <c r="G16" s="357" t="e">
        <f>SUM(G14:G15)</f>
        <v>#REF!</v>
      </c>
      <c r="H16" s="349"/>
      <c r="I16" s="356" t="e">
        <f>SUM(I14:I15)</f>
        <v>#REF!</v>
      </c>
      <c r="J16" s="357" t="e">
        <f>SUM(J14:J15)</f>
        <v>#REF!</v>
      </c>
      <c r="K16" s="328"/>
      <c r="L16" s="356" t="e">
        <f>SUM(L14:L15)</f>
        <v>#REF!</v>
      </c>
      <c r="M16" s="357" t="e">
        <f>SUM(M14:M15)</f>
        <v>#REF!</v>
      </c>
      <c r="N16" s="328"/>
      <c r="O16" s="356" t="e">
        <f>SUM(O14:O15)</f>
        <v>#REF!</v>
      </c>
      <c r="P16" s="357" t="e">
        <f>SUM(P14:P15)</f>
        <v>#REF!</v>
      </c>
      <c r="Q16" s="328"/>
      <c r="R16" s="356" t="e">
        <f>SUM(R14:R15)</f>
        <v>#REF!</v>
      </c>
      <c r="S16" s="357" t="e">
        <f>SUM(S14:S15)</f>
        <v>#REF!</v>
      </c>
      <c r="T16" s="328"/>
      <c r="U16" s="356" t="e">
        <f>SUM(U14:U15)</f>
        <v>#REF!</v>
      </c>
      <c r="V16" s="357" t="e">
        <f>SUM(V14:V15)</f>
        <v>#REF!</v>
      </c>
    </row>
    <row r="17" spans="1:41">
      <c r="A17" s="328"/>
      <c r="B17" s="328"/>
      <c r="C17" s="350"/>
      <c r="D17" s="341"/>
      <c r="E17" s="328"/>
      <c r="F17" s="350"/>
      <c r="G17" s="341"/>
      <c r="H17" s="328"/>
      <c r="I17" s="350"/>
      <c r="J17" s="341"/>
      <c r="K17" s="328"/>
      <c r="L17" s="350"/>
      <c r="M17" s="341"/>
      <c r="N17" s="328"/>
      <c r="O17" s="350"/>
      <c r="P17" s="341"/>
      <c r="Q17" s="328"/>
      <c r="R17" s="350"/>
      <c r="S17" s="341"/>
      <c r="T17" s="328"/>
      <c r="U17" s="350"/>
      <c r="V17" s="341"/>
    </row>
    <row r="18" spans="1:41" ht="17.25">
      <c r="A18" s="345">
        <v>9</v>
      </c>
      <c r="B18" s="345" t="s">
        <v>646</v>
      </c>
      <c r="C18" s="347">
        <f>((M51-I51)/1000)-1</f>
        <v>12.733997555827024</v>
      </c>
      <c r="D18" s="358">
        <f>(C18/C20)*D20</f>
        <v>8.8195025602359669E-3</v>
      </c>
      <c r="E18" s="328"/>
      <c r="F18" s="347">
        <f>((O51-M51)/1000)</f>
        <v>30.733169016194182</v>
      </c>
      <c r="G18" s="358" t="e">
        <f>(F18/F20)*G20</f>
        <v>#REF!</v>
      </c>
      <c r="H18" s="328"/>
      <c r="I18" s="347">
        <f>((P51-O51)/1000)</f>
        <v>76.476542625373341</v>
      </c>
      <c r="J18" s="358" t="e">
        <f>(I18/I20)*J20</f>
        <v>#REF!</v>
      </c>
      <c r="K18" s="328"/>
      <c r="L18" s="347">
        <f>((R51-P51)/1000)</f>
        <v>48.835604842409957</v>
      </c>
      <c r="M18" s="358" t="e">
        <f>(L18/L20)*M20</f>
        <v>#REF!</v>
      </c>
      <c r="N18" s="328"/>
      <c r="O18" s="347">
        <f>((S51-R51)/1000)</f>
        <v>46.477943861636568</v>
      </c>
      <c r="P18" s="358" t="e">
        <f>(O18/O20)*P20</f>
        <v>#REF!</v>
      </c>
      <c r="Q18" s="328"/>
      <c r="R18" s="347">
        <f>((U51-S51)/1000)</f>
        <v>39.074810376699901</v>
      </c>
      <c r="S18" s="358" t="e">
        <f>(R18/R20)*S20</f>
        <v>#REF!</v>
      </c>
      <c r="T18" s="328"/>
      <c r="U18" s="347">
        <f>((V51-U51)/1000)</f>
        <v>46.898565818239121</v>
      </c>
      <c r="V18" s="358" t="e">
        <f>(U18/U20)*V20</f>
        <v>#REF!</v>
      </c>
    </row>
    <row r="19" spans="1:41">
      <c r="A19" s="328"/>
      <c r="B19" s="328"/>
      <c r="C19" s="328"/>
      <c r="D19" s="359"/>
      <c r="E19" s="328"/>
      <c r="F19" s="328"/>
      <c r="G19" s="359"/>
      <c r="H19" s="328"/>
      <c r="I19" s="328"/>
      <c r="J19" s="359"/>
      <c r="K19" s="328"/>
      <c r="L19" s="328"/>
      <c r="M19" s="359"/>
      <c r="N19" s="328"/>
      <c r="O19" s="328"/>
      <c r="P19" s="359"/>
      <c r="Q19" s="328"/>
      <c r="R19" s="328"/>
      <c r="S19" s="359"/>
      <c r="T19" s="328"/>
      <c r="U19" s="328"/>
      <c r="V19" s="359"/>
    </row>
    <row r="20" spans="1:41" ht="17.25">
      <c r="A20" s="345">
        <v>10</v>
      </c>
      <c r="B20" s="360" t="s">
        <v>647</v>
      </c>
      <c r="C20" s="347">
        <f>C12+C16+C18</f>
        <v>75.079956990827014</v>
      </c>
      <c r="D20" s="361">
        <v>5.1999999999999998E-2</v>
      </c>
      <c r="E20" s="362"/>
      <c r="F20" s="347" t="e">
        <f>F12+F16+F18</f>
        <v>#REF!</v>
      </c>
      <c r="G20" s="361">
        <v>8.6999999999999994E-2</v>
      </c>
      <c r="H20" s="362"/>
      <c r="I20" s="347" t="e">
        <f>I12+I16+I18</f>
        <v>#REF!</v>
      </c>
      <c r="J20" s="361">
        <v>0.03</v>
      </c>
      <c r="K20" s="328"/>
      <c r="L20" s="347" t="e">
        <f>L12+L16+L18</f>
        <v>#REF!</v>
      </c>
      <c r="M20" s="361">
        <v>1.2E-2</v>
      </c>
      <c r="N20" s="328"/>
      <c r="O20" s="347" t="e">
        <f>O12+O16+O18</f>
        <v>#REF!</v>
      </c>
      <c r="P20" s="361">
        <v>2.7E-2</v>
      </c>
      <c r="Q20" s="328"/>
      <c r="R20" s="347" t="e">
        <f>R12+R16+R18</f>
        <v>#REF!</v>
      </c>
      <c r="S20" s="361">
        <v>0.03</v>
      </c>
      <c r="T20" s="328"/>
      <c r="U20" s="347" t="e">
        <f>U12+U16+U18</f>
        <v>#REF!</v>
      </c>
      <c r="V20" s="361">
        <v>3.4000000000000002E-2</v>
      </c>
    </row>
    <row r="21" spans="1:41">
      <c r="A21" s="328"/>
      <c r="B21" s="328"/>
      <c r="C21" s="328"/>
      <c r="D21" s="359"/>
      <c r="E21" s="328"/>
      <c r="F21" s="328"/>
      <c r="G21" s="359"/>
      <c r="H21" s="328"/>
      <c r="I21" s="328"/>
      <c r="J21" s="359"/>
      <c r="K21" s="328"/>
      <c r="L21" s="328"/>
      <c r="M21" s="328"/>
      <c r="N21" s="328"/>
      <c r="O21" s="328"/>
      <c r="P21" s="328"/>
      <c r="Q21" s="328"/>
      <c r="R21" s="328"/>
      <c r="S21" s="328"/>
      <c r="T21" s="328"/>
      <c r="U21" s="328"/>
      <c r="V21" s="328"/>
    </row>
    <row r="22" spans="1:41" hidden="1">
      <c r="A22" s="345">
        <v>11</v>
      </c>
      <c r="B22" s="345" t="s">
        <v>321</v>
      </c>
      <c r="C22" s="363"/>
      <c r="D22" s="358">
        <f>-0.002</f>
        <v>-2E-3</v>
      </c>
      <c r="E22" s="328"/>
      <c r="F22" s="363"/>
      <c r="G22" s="358">
        <v>-1.4880000000000001E-2</v>
      </c>
      <c r="H22" s="328"/>
      <c r="I22" s="363"/>
      <c r="J22" s="361">
        <f>G22-D22</f>
        <v>-1.2880000000000001E-2</v>
      </c>
      <c r="K22" s="328"/>
      <c r="L22" s="328"/>
      <c r="M22" s="328"/>
      <c r="N22" s="328"/>
      <c r="O22" s="328"/>
      <c r="P22" s="328"/>
      <c r="Q22" s="328"/>
      <c r="R22" s="328"/>
      <c r="S22" s="328"/>
      <c r="T22" s="328"/>
      <c r="U22" s="328"/>
      <c r="V22" s="328"/>
    </row>
    <row r="23" spans="1:41" hidden="1">
      <c r="A23" s="328"/>
      <c r="B23" s="328"/>
      <c r="C23" s="328"/>
      <c r="D23" s="359"/>
      <c r="E23" s="328"/>
      <c r="F23" s="328"/>
      <c r="G23" s="359"/>
      <c r="H23" s="328"/>
      <c r="I23" s="328"/>
      <c r="J23" s="359"/>
      <c r="K23" s="328"/>
      <c r="L23" s="328"/>
      <c r="M23" s="328"/>
      <c r="N23" s="328"/>
      <c r="O23" s="328"/>
      <c r="P23" s="328"/>
      <c r="Q23" s="328"/>
      <c r="R23" s="328"/>
      <c r="S23" s="328"/>
      <c r="T23" s="328"/>
      <c r="U23" s="328"/>
      <c r="V23" s="328"/>
    </row>
    <row r="24" spans="1:41" ht="17.25" hidden="1">
      <c r="A24" s="345">
        <v>12</v>
      </c>
      <c r="B24" s="360" t="s">
        <v>648</v>
      </c>
      <c r="C24" s="363"/>
      <c r="D24" s="361">
        <f>D22+D20</f>
        <v>4.9999999999999996E-2</v>
      </c>
      <c r="E24" s="362"/>
      <c r="F24" s="363"/>
      <c r="G24" s="361">
        <f>G20+G22</f>
        <v>7.211999999999999E-2</v>
      </c>
      <c r="H24" s="362"/>
      <c r="I24" s="363"/>
      <c r="J24" s="361">
        <f>G24-D24</f>
        <v>2.2119999999999994E-2</v>
      </c>
      <c r="K24" s="328"/>
      <c r="L24" s="328"/>
      <c r="M24" s="328"/>
      <c r="N24" s="328"/>
      <c r="O24" s="328"/>
      <c r="P24" s="328"/>
      <c r="Q24" s="328"/>
      <c r="R24" s="328"/>
      <c r="S24" s="328"/>
      <c r="T24" s="328"/>
      <c r="U24" s="328"/>
      <c r="V24" s="328"/>
    </row>
    <row r="25" spans="1:41">
      <c r="A25" s="328"/>
      <c r="B25" s="328"/>
      <c r="C25" s="328"/>
      <c r="D25" s="328"/>
      <c r="E25" s="328"/>
      <c r="F25" s="328"/>
      <c r="G25" s="328"/>
      <c r="H25" s="328"/>
      <c r="I25" s="328"/>
      <c r="J25" s="328"/>
      <c r="K25" s="328"/>
      <c r="L25" s="328"/>
      <c r="M25" s="328"/>
      <c r="N25" s="328"/>
      <c r="O25" s="328"/>
      <c r="P25" s="328"/>
      <c r="Q25" s="328"/>
      <c r="R25" s="328"/>
      <c r="S25" s="328"/>
      <c r="T25" s="328"/>
      <c r="U25" s="328"/>
      <c r="V25" s="328"/>
    </row>
    <row r="26" spans="1:41">
      <c r="A26" s="328" t="s">
        <v>322</v>
      </c>
      <c r="B26" s="328"/>
      <c r="C26" s="328"/>
      <c r="D26" s="328"/>
      <c r="E26" s="328"/>
      <c r="F26" s="328"/>
      <c r="G26" s="328"/>
      <c r="H26" s="328"/>
      <c r="I26" s="328"/>
      <c r="J26" s="328"/>
      <c r="K26" s="328"/>
      <c r="L26" s="328"/>
      <c r="M26" s="328"/>
      <c r="N26" s="328"/>
      <c r="O26" s="328"/>
      <c r="P26" s="328"/>
      <c r="Q26" s="328"/>
      <c r="R26" s="328"/>
      <c r="S26" s="328"/>
      <c r="T26" s="328"/>
      <c r="U26" s="328"/>
      <c r="V26" s="328"/>
    </row>
    <row r="27" spans="1:41">
      <c r="A27" s="328" t="s">
        <v>323</v>
      </c>
      <c r="B27" s="328"/>
      <c r="C27" s="328"/>
      <c r="D27" s="328"/>
      <c r="E27" s="328"/>
      <c r="F27" s="328"/>
      <c r="G27" s="328"/>
      <c r="H27" s="328"/>
      <c r="I27" s="328"/>
      <c r="J27" s="328"/>
      <c r="K27" s="328"/>
      <c r="L27" s="328"/>
      <c r="M27" s="328"/>
      <c r="N27" s="328"/>
      <c r="O27" s="328"/>
      <c r="P27" s="328"/>
      <c r="Q27" s="328"/>
      <c r="R27" s="328"/>
      <c r="S27" s="328"/>
      <c r="T27" s="328"/>
      <c r="U27" s="328"/>
      <c r="V27" s="328"/>
    </row>
    <row r="28" spans="1:41">
      <c r="A28" s="328" t="s">
        <v>324</v>
      </c>
      <c r="B28" s="328"/>
      <c r="C28" s="328"/>
      <c r="D28" s="328"/>
      <c r="E28" s="328"/>
      <c r="F28" s="328"/>
      <c r="G28" s="328"/>
      <c r="H28" s="328"/>
      <c r="I28" s="328"/>
      <c r="J28" s="328"/>
      <c r="K28" s="328"/>
      <c r="L28" s="328"/>
      <c r="M28" s="328"/>
      <c r="N28" s="328"/>
      <c r="O28" s="328"/>
      <c r="P28" s="328"/>
      <c r="Q28" s="328"/>
      <c r="R28" s="328"/>
      <c r="S28" s="328"/>
      <c r="T28" s="328"/>
      <c r="U28" s="328"/>
      <c r="V28" s="328"/>
    </row>
    <row r="29" spans="1:41">
      <c r="A29" s="328" t="s">
        <v>325</v>
      </c>
      <c r="B29" s="328"/>
      <c r="C29" s="328"/>
      <c r="D29" s="328"/>
      <c r="E29" s="328"/>
      <c r="F29" s="328"/>
      <c r="G29" s="328"/>
      <c r="H29" s="328"/>
      <c r="I29" s="328"/>
      <c r="J29" s="328"/>
      <c r="K29" s="328"/>
      <c r="L29" s="328"/>
      <c r="M29" s="328"/>
      <c r="N29" s="328"/>
      <c r="O29" s="328"/>
      <c r="P29" s="328"/>
      <c r="Q29" s="328"/>
      <c r="R29" s="328"/>
      <c r="S29" s="328"/>
      <c r="T29" s="328"/>
      <c r="U29" s="328"/>
      <c r="V29" s="328"/>
    </row>
    <row r="30" spans="1:41">
      <c r="K30" s="328"/>
      <c r="L30" s="328"/>
      <c r="M30" s="328"/>
      <c r="N30" s="328"/>
      <c r="O30" s="328"/>
      <c r="P30" s="328"/>
      <c r="Q30" s="328"/>
      <c r="R30" s="328"/>
      <c r="S30" s="328"/>
      <c r="T30" s="328"/>
      <c r="U30" s="328"/>
      <c r="V30" s="328"/>
    </row>
    <row r="31" spans="1:41" ht="15.75" thickBot="1">
      <c r="L31" s="364"/>
    </row>
    <row r="32" spans="1:41">
      <c r="A32" s="929" t="s">
        <v>97</v>
      </c>
      <c r="B32" s="930"/>
      <c r="C32" s="930"/>
      <c r="D32" s="365"/>
      <c r="E32" s="365"/>
      <c r="F32" s="366"/>
      <c r="G32" s="366"/>
      <c r="H32" s="367"/>
      <c r="I32" s="368" t="s">
        <v>327</v>
      </c>
      <c r="J32" s="367"/>
      <c r="K32" s="366"/>
      <c r="L32" s="366"/>
      <c r="M32" s="368" t="s">
        <v>327</v>
      </c>
      <c r="N32" s="367"/>
      <c r="O32" s="368" t="s">
        <v>327</v>
      </c>
      <c r="P32" s="368" t="s">
        <v>327</v>
      </c>
      <c r="Q32" s="367"/>
      <c r="R32" s="368" t="s">
        <v>327</v>
      </c>
      <c r="S32" s="368" t="s">
        <v>327</v>
      </c>
      <c r="T32" s="367"/>
      <c r="U32" s="368" t="s">
        <v>327</v>
      </c>
      <c r="V32" s="368" t="s">
        <v>327</v>
      </c>
      <c r="X32" s="328"/>
      <c r="Y32" s="328"/>
      <c r="Z32" s="328"/>
      <c r="AA32" s="328"/>
      <c r="AB32" s="328"/>
      <c r="AC32" s="369" t="s">
        <v>327</v>
      </c>
      <c r="AD32" s="369" t="s">
        <v>327</v>
      </c>
      <c r="AE32" s="369" t="s">
        <v>327</v>
      </c>
      <c r="AF32" s="369" t="s">
        <v>327</v>
      </c>
      <c r="AG32" s="369" t="s">
        <v>327</v>
      </c>
      <c r="AH32" s="369" t="s">
        <v>327</v>
      </c>
      <c r="AI32" s="369" t="s">
        <v>327</v>
      </c>
      <c r="AJ32" s="369" t="s">
        <v>327</v>
      </c>
      <c r="AL32" s="367"/>
      <c r="AO32" s="367"/>
    </row>
    <row r="33" spans="1:41">
      <c r="A33" s="370"/>
      <c r="B33" s="365"/>
      <c r="C33" s="365"/>
      <c r="D33" s="365"/>
      <c r="E33" s="365"/>
      <c r="F33" s="926" t="s">
        <v>331</v>
      </c>
      <c r="G33" s="926"/>
      <c r="H33" s="367"/>
      <c r="I33" s="371" t="s">
        <v>328</v>
      </c>
      <c r="J33" s="367"/>
      <c r="K33" s="926" t="s">
        <v>332</v>
      </c>
      <c r="L33" s="926"/>
      <c r="M33" s="371" t="s">
        <v>333</v>
      </c>
      <c r="N33" s="367"/>
      <c r="O33" s="371" t="s">
        <v>334</v>
      </c>
      <c r="P33" s="371" t="s">
        <v>335</v>
      </c>
      <c r="Q33" s="367"/>
      <c r="R33" s="371" t="s">
        <v>336</v>
      </c>
      <c r="S33" s="371" t="s">
        <v>337</v>
      </c>
      <c r="T33" s="367"/>
      <c r="U33" s="371" t="s">
        <v>338</v>
      </c>
      <c r="V33" s="371" t="s">
        <v>339</v>
      </c>
      <c r="X33" s="372" t="s">
        <v>330</v>
      </c>
      <c r="Y33" s="342"/>
      <c r="Z33" s="342"/>
      <c r="AA33" s="342"/>
      <c r="AB33" s="342"/>
      <c r="AC33" s="373" t="s">
        <v>328</v>
      </c>
      <c r="AD33" s="373" t="s">
        <v>333</v>
      </c>
      <c r="AE33" s="373" t="s">
        <v>334</v>
      </c>
      <c r="AF33" s="373" t="s">
        <v>335</v>
      </c>
      <c r="AG33" s="373" t="s">
        <v>336</v>
      </c>
      <c r="AH33" s="373" t="s">
        <v>337</v>
      </c>
      <c r="AI33" s="373" t="s">
        <v>338</v>
      </c>
      <c r="AJ33" s="373" t="s">
        <v>339</v>
      </c>
      <c r="AL33" s="367"/>
      <c r="AO33" s="367"/>
    </row>
    <row r="34" spans="1:41">
      <c r="A34" s="374" t="s">
        <v>75</v>
      </c>
      <c r="B34" s="365"/>
      <c r="C34" s="365"/>
      <c r="D34" s="365"/>
      <c r="E34" s="365"/>
      <c r="F34" s="366">
        <v>2014</v>
      </c>
      <c r="G34" s="366">
        <v>2015</v>
      </c>
      <c r="H34" s="367"/>
      <c r="I34" s="375"/>
      <c r="J34" s="366">
        <v>2016</v>
      </c>
      <c r="K34" s="367"/>
      <c r="L34" s="366">
        <v>2017</v>
      </c>
      <c r="M34" s="375"/>
      <c r="N34" s="367"/>
      <c r="O34" s="375"/>
      <c r="P34" s="375"/>
      <c r="Q34" s="367"/>
      <c r="R34" s="375"/>
      <c r="S34" s="375"/>
      <c r="T34" s="367"/>
      <c r="U34" s="375"/>
      <c r="V34" s="375"/>
      <c r="X34" s="376" t="s">
        <v>79</v>
      </c>
      <c r="Y34" s="328"/>
      <c r="Z34" s="328"/>
      <c r="AA34" s="328"/>
      <c r="AB34" s="328"/>
      <c r="AC34" s="377">
        <f>I42</f>
        <v>197303</v>
      </c>
      <c r="AD34" s="377">
        <f>M42</f>
        <v>249531.19361328415</v>
      </c>
      <c r="AE34" s="377">
        <f>O42</f>
        <v>356029.379571</v>
      </c>
      <c r="AF34" s="377">
        <f>P42</f>
        <v>390477.19015367079</v>
      </c>
      <c r="AG34" s="377">
        <f>R42</f>
        <v>431924.68447867892</v>
      </c>
      <c r="AH34" s="377" t="e">
        <f>S42</f>
        <v>#REF!</v>
      </c>
      <c r="AI34" s="377" t="e">
        <f>U42</f>
        <v>#REF!</v>
      </c>
      <c r="AJ34" s="377" t="e">
        <f>V42</f>
        <v>#REF!</v>
      </c>
      <c r="AL34" s="367"/>
      <c r="AO34" s="367"/>
    </row>
    <row r="35" spans="1:41">
      <c r="A35" s="370"/>
      <c r="B35" s="378" t="s">
        <v>20</v>
      </c>
      <c r="C35" s="365"/>
      <c r="D35" s="365"/>
      <c r="E35" s="365"/>
      <c r="F35" s="379">
        <v>140729</v>
      </c>
      <c r="G35" s="379">
        <v>144346</v>
      </c>
      <c r="H35" s="367"/>
      <c r="I35" s="380">
        <f t="shared" ref="I35:I43" si="0">AVERAGE(F35:G35)</f>
        <v>142537.5</v>
      </c>
      <c r="J35" s="379">
        <v>155274.46953</v>
      </c>
      <c r="K35" s="367"/>
      <c r="L35" s="379">
        <v>160800.44629999998</v>
      </c>
      <c r="M35" s="380">
        <f t="shared" ref="M35:M43" si="1">AVERAGE(J35:L35)</f>
        <v>158037.45791499998</v>
      </c>
      <c r="N35" s="367"/>
      <c r="O35" s="380">
        <f>AVERAGE('Revenue Requirement'!E5:F5)</f>
        <v>198066.83998450002</v>
      </c>
      <c r="P35" s="380">
        <f>AVERAGE('Revenue Requirement'!G5:H5)</f>
        <v>229083.47850499998</v>
      </c>
      <c r="Q35" s="367"/>
      <c r="R35" s="380">
        <f>AVERAGE('Revenue Requirement'!I5:I5)</f>
        <v>253776.55501000001</v>
      </c>
      <c r="S35" s="380" t="e">
        <f>AVERAGE('Revenue Requirement'!#REF!)</f>
        <v>#REF!</v>
      </c>
      <c r="T35" s="367"/>
      <c r="U35" s="380" t="e">
        <f>AVERAGE('Revenue Requirement'!#REF!)</f>
        <v>#REF!</v>
      </c>
      <c r="V35" s="380" t="e">
        <f>AVERAGE('Revenue Requirement'!#REF!)</f>
        <v>#REF!</v>
      </c>
      <c r="X35" s="381" t="s">
        <v>89</v>
      </c>
      <c r="Y35" s="328"/>
      <c r="Z35" s="328"/>
      <c r="AA35" s="328"/>
      <c r="AB35" s="328"/>
      <c r="AC35" s="377">
        <f>I45</f>
        <v>151868.5</v>
      </c>
      <c r="AD35" s="377">
        <f>M45</f>
        <v>154042.02331722312</v>
      </c>
      <c r="AE35" s="377" t="e">
        <f>O45</f>
        <v>#N/A</v>
      </c>
      <c r="AF35" s="377">
        <f>P45</f>
        <v>222443.72146777334</v>
      </c>
      <c r="AG35" s="377">
        <f>R45</f>
        <v>281056.30317079922</v>
      </c>
      <c r="AH35" s="377" t="e">
        <f>S45</f>
        <v>#REF!</v>
      </c>
      <c r="AI35" s="377" t="e">
        <f>U45</f>
        <v>#REF!</v>
      </c>
      <c r="AJ35" s="377" t="e">
        <f>V45</f>
        <v>#REF!</v>
      </c>
      <c r="AL35" s="367"/>
      <c r="AO35" s="367"/>
    </row>
    <row r="36" spans="1:41">
      <c r="A36" s="370"/>
      <c r="B36" s="378" t="s">
        <v>21</v>
      </c>
      <c r="C36" s="365"/>
      <c r="D36" s="365"/>
      <c r="E36" s="365"/>
      <c r="F36" s="379">
        <v>41638</v>
      </c>
      <c r="G36" s="379">
        <v>41769</v>
      </c>
      <c r="H36" s="367"/>
      <c r="I36" s="380">
        <f t="shared" si="0"/>
        <v>41703.5</v>
      </c>
      <c r="J36" s="379">
        <v>48746.031000000003</v>
      </c>
      <c r="K36" s="367"/>
      <c r="L36" s="379">
        <v>49146.964</v>
      </c>
      <c r="M36" s="380">
        <f t="shared" si="1"/>
        <v>48946.497499999998</v>
      </c>
      <c r="N36" s="367"/>
      <c r="O36" s="380">
        <f>AVERAGE('Revenue Requirement'!E6:F6)</f>
        <v>58580.091838499997</v>
      </c>
      <c r="P36" s="380">
        <f>AVERAGE('Revenue Requirement'!G6:H6)</f>
        <v>75594.723574999996</v>
      </c>
      <c r="Q36" s="367"/>
      <c r="R36" s="380">
        <f>AVERAGE('Revenue Requirement'!I6:I6)</f>
        <v>80792.517080000005</v>
      </c>
      <c r="S36" s="380" t="e">
        <f>AVERAGE('Revenue Requirement'!#REF!)</f>
        <v>#REF!</v>
      </c>
      <c r="T36" s="367"/>
      <c r="U36" s="380" t="e">
        <f>AVERAGE('Revenue Requirement'!#REF!)</f>
        <v>#REF!</v>
      </c>
      <c r="V36" s="380" t="e">
        <f>AVERAGE('Revenue Requirement'!#REF!)</f>
        <v>#REF!</v>
      </c>
      <c r="X36" s="382" t="s">
        <v>150</v>
      </c>
      <c r="Y36" s="328"/>
      <c r="Z36" s="328"/>
      <c r="AA36" s="328"/>
      <c r="AB36" s="328"/>
      <c r="AC36" s="383">
        <f>I49</f>
        <v>138796</v>
      </c>
      <c r="AD36" s="383">
        <f>M49</f>
        <v>98128.280625319749</v>
      </c>
      <c r="AE36" s="383">
        <f>O49</f>
        <v>-32750.798801328667</v>
      </c>
      <c r="AF36" s="383">
        <f>P49</f>
        <v>163813.87195720687</v>
      </c>
      <c r="AG36" s="383">
        <f>R49</f>
        <v>172910.78815747867</v>
      </c>
      <c r="AH36" s="383" t="e">
        <f>S49</f>
        <v>#REF!</v>
      </c>
      <c r="AI36" s="383" t="e">
        <f>U49</f>
        <v>#REF!</v>
      </c>
      <c r="AJ36" s="383" t="e">
        <f>V49</f>
        <v>#REF!</v>
      </c>
      <c r="AL36" s="367"/>
      <c r="AO36" s="367"/>
    </row>
    <row r="37" spans="1:41">
      <c r="A37" s="370"/>
      <c r="B37" s="378" t="s">
        <v>329</v>
      </c>
      <c r="C37" s="365"/>
      <c r="D37" s="365"/>
      <c r="E37" s="365"/>
      <c r="F37" s="379">
        <v>154234</v>
      </c>
      <c r="G37" s="379">
        <v>157893</v>
      </c>
      <c r="H37" s="367"/>
      <c r="I37" s="380">
        <f t="shared" si="0"/>
        <v>156063.5</v>
      </c>
      <c r="J37" s="379">
        <v>162551.64000000001</v>
      </c>
      <c r="K37" s="367"/>
      <c r="L37" s="379">
        <v>164272.17300000001</v>
      </c>
      <c r="M37" s="380">
        <f t="shared" si="1"/>
        <v>163411.90650000001</v>
      </c>
      <c r="N37" s="367"/>
      <c r="O37" s="380">
        <f>AVERAGE('Revenue Requirement'!E7:F7)</f>
        <v>196836.95600200002</v>
      </c>
      <c r="P37" s="380">
        <f>AVERAGE('Revenue Requirement'!G7:H7)</f>
        <v>232092.77936500002</v>
      </c>
      <c r="Q37" s="367"/>
      <c r="R37" s="380">
        <f>AVERAGE('Revenue Requirement'!I7:I7)</f>
        <v>252997.98772000003</v>
      </c>
      <c r="S37" s="380" t="e">
        <f>AVERAGE('Revenue Requirement'!#REF!)</f>
        <v>#REF!</v>
      </c>
      <c r="T37" s="367"/>
      <c r="U37" s="380" t="e">
        <f>AVERAGE('Revenue Requirement'!#REF!)</f>
        <v>#REF!</v>
      </c>
      <c r="V37" s="380" t="e">
        <f>AVERAGE('Revenue Requirement'!#REF!)</f>
        <v>#REF!</v>
      </c>
      <c r="X37" s="328"/>
      <c r="Y37" s="328"/>
      <c r="Z37" s="328"/>
      <c r="AA37" s="328"/>
      <c r="AB37" s="328"/>
      <c r="AC37" s="377">
        <f t="shared" ref="AC37:AJ37" si="2">SUM(AC34:AC36)</f>
        <v>487967.5</v>
      </c>
      <c r="AD37" s="377">
        <f t="shared" si="2"/>
        <v>501701.49755582702</v>
      </c>
      <c r="AE37" s="377" t="e">
        <f t="shared" si="2"/>
        <v>#N/A</v>
      </c>
      <c r="AF37" s="377">
        <f t="shared" si="2"/>
        <v>776734.78357865103</v>
      </c>
      <c r="AG37" s="377">
        <f t="shared" si="2"/>
        <v>885891.77580695681</v>
      </c>
      <c r="AH37" s="377" t="e">
        <f t="shared" si="2"/>
        <v>#REF!</v>
      </c>
      <c r="AI37" s="377" t="e">
        <f t="shared" si="2"/>
        <v>#REF!</v>
      </c>
      <c r="AJ37" s="377" t="e">
        <f t="shared" si="2"/>
        <v>#REF!</v>
      </c>
      <c r="AL37" s="367"/>
      <c r="AO37" s="367"/>
    </row>
    <row r="38" spans="1:41">
      <c r="A38" s="370"/>
      <c r="B38" s="378" t="s">
        <v>76</v>
      </c>
      <c r="C38" s="365"/>
      <c r="D38" s="365"/>
      <c r="E38" s="365"/>
      <c r="F38" s="379">
        <v>131287</v>
      </c>
      <c r="G38" s="379">
        <v>134244</v>
      </c>
      <c r="H38" s="367"/>
      <c r="I38" s="380">
        <f t="shared" si="0"/>
        <v>132765.5</v>
      </c>
      <c r="J38" s="379">
        <v>140766.91652</v>
      </c>
      <c r="K38" s="367"/>
      <c r="L38" s="379">
        <v>140782.48251999999</v>
      </c>
      <c r="M38" s="380">
        <f t="shared" si="1"/>
        <v>140774.69951999999</v>
      </c>
      <c r="N38" s="367"/>
      <c r="O38" s="380">
        <f>AVERAGE('Revenue Requirement'!E8:F8)</f>
        <v>120744.32268849999</v>
      </c>
      <c r="P38" s="380">
        <f>AVERAGE('Revenue Requirement'!G8:H8)</f>
        <v>146360.28667161317</v>
      </c>
      <c r="Q38" s="367"/>
      <c r="R38" s="380">
        <f>AVERAGE('Revenue Requirement'!I8:I8)</f>
        <v>146179.45513593568</v>
      </c>
      <c r="S38" s="380" t="e">
        <f>AVERAGE('Revenue Requirement'!#REF!)</f>
        <v>#REF!</v>
      </c>
      <c r="T38" s="367"/>
      <c r="U38" s="380" t="e">
        <f>AVERAGE('Revenue Requirement'!#REF!)</f>
        <v>#REF!</v>
      </c>
      <c r="V38" s="380" t="e">
        <f>AVERAGE('Revenue Requirement'!#REF!)</f>
        <v>#REF!</v>
      </c>
      <c r="X38" s="328"/>
      <c r="Y38" s="328"/>
      <c r="Z38" s="328"/>
      <c r="AA38" s="328"/>
      <c r="AB38" s="328"/>
      <c r="AC38" s="328"/>
      <c r="AD38" s="328"/>
      <c r="AE38" s="328"/>
      <c r="AF38" s="328"/>
      <c r="AG38" s="328"/>
      <c r="AH38" s="328"/>
      <c r="AI38" s="328"/>
      <c r="AJ38" s="328"/>
    </row>
    <row r="39" spans="1:41">
      <c r="A39" s="370"/>
      <c r="B39" s="378" t="s">
        <v>77</v>
      </c>
      <c r="C39" s="365"/>
      <c r="D39" s="365"/>
      <c r="E39" s="365"/>
      <c r="F39" s="379">
        <v>78428</v>
      </c>
      <c r="G39" s="379">
        <v>80902</v>
      </c>
      <c r="H39" s="367"/>
      <c r="I39" s="380">
        <f t="shared" si="0"/>
        <v>79665</v>
      </c>
      <c r="J39" s="379">
        <v>85106.017999999996</v>
      </c>
      <c r="K39" s="367"/>
      <c r="L39" s="379">
        <v>86914.778000000006</v>
      </c>
      <c r="M39" s="380">
        <f t="shared" si="1"/>
        <v>86010.398000000001</v>
      </c>
      <c r="N39" s="367"/>
      <c r="O39" s="380">
        <f>AVERAGE('Revenue Requirement'!E9:F9)</f>
        <v>137981.334928</v>
      </c>
      <c r="P39" s="380">
        <f>AVERAGE('Revenue Requirement'!G9:H9)</f>
        <v>211334.83036999998</v>
      </c>
      <c r="Q39" s="367"/>
      <c r="R39" s="380">
        <f>AVERAGE('Revenue Requirement'!I9:I9)</f>
        <v>230576.46523000003</v>
      </c>
      <c r="S39" s="380" t="e">
        <f>AVERAGE('Revenue Requirement'!#REF!)</f>
        <v>#REF!</v>
      </c>
      <c r="T39" s="367"/>
      <c r="U39" s="380" t="e">
        <f>AVERAGE('Revenue Requirement'!#REF!)</f>
        <v>#REF!</v>
      </c>
      <c r="V39" s="380" t="e">
        <f>AVERAGE('Revenue Requirement'!#REF!)</f>
        <v>#REF!</v>
      </c>
      <c r="X39" s="382" t="s">
        <v>355</v>
      </c>
      <c r="Y39" s="328"/>
      <c r="Z39" s="328"/>
      <c r="AA39" s="328"/>
      <c r="AB39" s="328"/>
      <c r="AC39" s="377">
        <f>AVERAGE('Capital Input File'!C58:D58)</f>
        <v>477984.25462039863</v>
      </c>
      <c r="AD39" s="377">
        <f>AVERAGE('Capital Input File'!E58:F58)</f>
        <v>511000.79604128707</v>
      </c>
      <c r="AE39" s="377">
        <f>AVERAGE('Capital Input File'!G58:H58)</f>
        <v>448476.49957004213</v>
      </c>
      <c r="AF39" s="377">
        <f>AVERAGE('Capital Input File'!I58:J58)</f>
        <v>423163.16315720882</v>
      </c>
      <c r="AG39" s="377">
        <f>AVERAGE('Capital Input File'!K58:L58)</f>
        <v>401480.42989597877</v>
      </c>
      <c r="AH39" s="377">
        <f>'Capital Input File'!M58</f>
        <v>397945.01227212598</v>
      </c>
      <c r="AI39" s="377">
        <f>AH39</f>
        <v>397945.01227212598</v>
      </c>
      <c r="AJ39" s="377">
        <f>AI39</f>
        <v>397945.01227212598</v>
      </c>
      <c r="AL39" s="367"/>
      <c r="AO39" s="367"/>
    </row>
    <row r="40" spans="1:41">
      <c r="A40" s="370"/>
      <c r="B40" s="378" t="s">
        <v>78</v>
      </c>
      <c r="C40" s="365"/>
      <c r="D40" s="365"/>
      <c r="E40" s="365"/>
      <c r="F40" s="379">
        <v>-20000</v>
      </c>
      <c r="G40" s="379">
        <v>-20000</v>
      </c>
      <c r="H40" s="367"/>
      <c r="I40" s="380">
        <f t="shared" si="0"/>
        <v>-20000</v>
      </c>
      <c r="J40" s="379">
        <v>-2100</v>
      </c>
      <c r="K40" s="367"/>
      <c r="L40" s="379">
        <v>-2100</v>
      </c>
      <c r="M40" s="380">
        <f t="shared" si="1"/>
        <v>-2100</v>
      </c>
      <c r="N40" s="367"/>
      <c r="O40" s="380">
        <f>AVERAGE('Revenue Requirement'!E10:F10)</f>
        <v>0</v>
      </c>
      <c r="P40" s="380">
        <f>AVERAGE('Revenue Requirement'!G10:H10)</f>
        <v>0</v>
      </c>
      <c r="Q40" s="367"/>
      <c r="R40" s="380">
        <f>AVERAGE('Revenue Requirement'!I10:I10)</f>
        <v>0</v>
      </c>
      <c r="S40" s="380" t="e">
        <f>AVERAGE('Revenue Requirement'!#REF!)</f>
        <v>#REF!</v>
      </c>
      <c r="T40" s="367"/>
      <c r="U40" s="380" t="e">
        <f>AVERAGE('Revenue Requirement'!#REF!)</f>
        <v>#REF!</v>
      </c>
      <c r="V40" s="380" t="e">
        <f>AVERAGE('Revenue Requirement'!#REF!)</f>
        <v>#REF!</v>
      </c>
      <c r="X40" s="382" t="s">
        <v>356</v>
      </c>
      <c r="Y40" s="328"/>
      <c r="Z40" s="328"/>
      <c r="AA40" s="328"/>
      <c r="AB40" s="328"/>
      <c r="AC40" s="377" t="e">
        <f>AVERAGE(AFUDC!F18:G18)</f>
        <v>#DIV/0!</v>
      </c>
      <c r="AD40" s="377" t="e">
        <f>AVERAGE(AFUDC!H18:I18)</f>
        <v>#DIV/0!</v>
      </c>
      <c r="AE40" s="377" t="e">
        <f>AVERAGE(AFUDC!J18:K18)</f>
        <v>#DIV/0!</v>
      </c>
      <c r="AF40" s="377" t="e">
        <f>AVERAGE(AFUDC!L18:M18)</f>
        <v>#DIV/0!</v>
      </c>
      <c r="AG40" s="377">
        <f>AVERAGE(AFUDC!N18:O18)</f>
        <v>522644.56570500002</v>
      </c>
      <c r="AH40" s="377">
        <f>AVERAGE(AFUDC!P18:Q18)</f>
        <v>600558.44874999998</v>
      </c>
      <c r="AI40" s="377">
        <f>AVERAGE(AFUDC!R18:S18)</f>
        <v>558546.54297499999</v>
      </c>
      <c r="AJ40" s="377">
        <f>AVERAGE(AFUDC!T18:U18)</f>
        <v>554280.11895999988</v>
      </c>
    </row>
    <row r="41" spans="1:41">
      <c r="A41" s="370"/>
      <c r="B41" s="925" t="s">
        <v>99</v>
      </c>
      <c r="C41" s="925"/>
      <c r="D41" s="365"/>
      <c r="E41" s="365"/>
      <c r="F41" s="379">
        <v>-20000</v>
      </c>
      <c r="G41" s="379">
        <v>-20000</v>
      </c>
      <c r="H41" s="367"/>
      <c r="I41" s="380">
        <f t="shared" si="0"/>
        <v>-20000</v>
      </c>
      <c r="J41" s="379">
        <v>0</v>
      </c>
      <c r="K41" s="367"/>
      <c r="L41" s="379">
        <v>0</v>
      </c>
      <c r="M41" s="380">
        <f t="shared" si="1"/>
        <v>0</v>
      </c>
      <c r="N41" s="367"/>
      <c r="O41" s="380" t="e">
        <f>AVERAGE('Revenue Requirement'!#REF!)</f>
        <v>#REF!</v>
      </c>
      <c r="P41" s="380" t="e">
        <f>AVERAGE('Revenue Requirement'!#REF!)</f>
        <v>#REF!</v>
      </c>
      <c r="Q41" s="367"/>
      <c r="R41" s="380" t="e">
        <f>AVERAGE('Revenue Requirement'!#REF!)</f>
        <v>#REF!</v>
      </c>
      <c r="S41" s="380" t="e">
        <f>AVERAGE('Revenue Requirement'!#REF!)</f>
        <v>#REF!</v>
      </c>
      <c r="T41" s="367"/>
      <c r="U41" s="380" t="e">
        <f>AVERAGE('Revenue Requirement'!#REF!)</f>
        <v>#REF!</v>
      </c>
      <c r="V41" s="380" t="e">
        <f>AVERAGE('Revenue Requirement'!#REF!)</f>
        <v>#REF!</v>
      </c>
    </row>
    <row r="42" spans="1:41">
      <c r="A42" s="370"/>
      <c r="B42" s="378" t="s">
        <v>79</v>
      </c>
      <c r="C42" s="365"/>
      <c r="D42" s="365"/>
      <c r="E42" s="365"/>
      <c r="F42" s="379">
        <v>192141</v>
      </c>
      <c r="G42" s="379">
        <v>202465</v>
      </c>
      <c r="H42" s="367"/>
      <c r="I42" s="380">
        <f t="shared" si="0"/>
        <v>197303</v>
      </c>
      <c r="J42" s="379">
        <v>239852.19361328415</v>
      </c>
      <c r="K42" s="367"/>
      <c r="L42" s="379">
        <v>259210.19361328415</v>
      </c>
      <c r="M42" s="380">
        <f t="shared" si="1"/>
        <v>249531.19361328415</v>
      </c>
      <c r="N42" s="367"/>
      <c r="O42" s="380">
        <f>AVERAGE('Revenue Requirement'!E11:F11)</f>
        <v>356029.379571</v>
      </c>
      <c r="P42" s="380">
        <f>AVERAGE('Revenue Requirement'!G11:H11)</f>
        <v>390477.19015367079</v>
      </c>
      <c r="Q42" s="367"/>
      <c r="R42" s="380">
        <f>AVERAGE('Revenue Requirement'!I11:I11)</f>
        <v>431924.68447867892</v>
      </c>
      <c r="S42" s="380" t="e">
        <f>AVERAGE('Revenue Requirement'!#REF!)</f>
        <v>#REF!</v>
      </c>
      <c r="T42" s="367"/>
      <c r="U42" s="380" t="e">
        <f>AVERAGE('Revenue Requirement'!#REF!)</f>
        <v>#REF!</v>
      </c>
      <c r="V42" s="380" t="e">
        <f>AVERAGE('Revenue Requirement'!#REF!)</f>
        <v>#REF!</v>
      </c>
      <c r="AD42" s="384" t="s">
        <v>358</v>
      </c>
      <c r="AF42" s="384" t="s">
        <v>357</v>
      </c>
    </row>
    <row r="43" spans="1:41">
      <c r="A43" s="385" t="s">
        <v>80</v>
      </c>
      <c r="B43" s="365"/>
      <c r="C43" s="365"/>
      <c r="D43" s="365"/>
      <c r="E43" s="365"/>
      <c r="F43" s="379">
        <f>F35+F36+F37+F38+F39+F40+F42</f>
        <v>718457</v>
      </c>
      <c r="G43" s="379">
        <f>G35+G36+G37+G38+G39+G40+G42</f>
        <v>741619</v>
      </c>
      <c r="H43" s="367"/>
      <c r="I43" s="380">
        <f t="shared" si="0"/>
        <v>730038</v>
      </c>
      <c r="J43" s="379">
        <v>830197.26866328425</v>
      </c>
      <c r="K43" s="367"/>
      <c r="L43" s="379">
        <v>859027.03743328422</v>
      </c>
      <c r="M43" s="380">
        <f t="shared" si="1"/>
        <v>844612.15304828424</v>
      </c>
      <c r="N43" s="367"/>
      <c r="O43" s="380">
        <f>AVERAGE('Revenue Requirement'!E12:F12)</f>
        <v>1068238.9250125</v>
      </c>
      <c r="P43" s="380">
        <f>AVERAGE('Revenue Requirement'!G12:H12)</f>
        <v>1284943.288640284</v>
      </c>
      <c r="Q43" s="367"/>
      <c r="R43" s="380">
        <f>AVERAGE('Revenue Requirement'!I12:I12)</f>
        <v>1396247.6646546146</v>
      </c>
      <c r="S43" s="380" t="e">
        <f>AVERAGE('Revenue Requirement'!#REF!)</f>
        <v>#REF!</v>
      </c>
      <c r="T43" s="367"/>
      <c r="U43" s="380" t="e">
        <f>AVERAGE('Revenue Requirement'!#REF!)</f>
        <v>#REF!</v>
      </c>
      <c r="V43" s="380" t="e">
        <f>AVERAGE('Revenue Requirement'!#REF!)</f>
        <v>#REF!</v>
      </c>
    </row>
    <row r="44" spans="1:41">
      <c r="A44" s="370"/>
      <c r="B44" s="365"/>
      <c r="C44" s="365"/>
      <c r="D44" s="365"/>
      <c r="E44" s="365"/>
      <c r="F44" s="386"/>
      <c r="G44" s="386"/>
      <c r="H44" s="367"/>
      <c r="I44" s="375"/>
      <c r="J44" s="386"/>
      <c r="K44" s="367"/>
      <c r="L44" s="386"/>
      <c r="M44" s="375"/>
      <c r="N44" s="367"/>
      <c r="O44" s="375"/>
      <c r="P44" s="375"/>
      <c r="Q44" s="367"/>
      <c r="R44" s="375"/>
      <c r="S44" s="375"/>
      <c r="T44" s="367"/>
      <c r="U44" s="375"/>
      <c r="V44" s="375"/>
    </row>
    <row r="45" spans="1:41">
      <c r="A45" s="387" t="s">
        <v>89</v>
      </c>
      <c r="B45" s="365"/>
      <c r="C45" s="365"/>
      <c r="D45" s="365"/>
      <c r="E45" s="365"/>
      <c r="F45" s="388">
        <v>143924</v>
      </c>
      <c r="G45" s="388">
        <v>159813</v>
      </c>
      <c r="H45" s="367"/>
      <c r="I45" s="380">
        <f>AVERAGE(F45:G45)</f>
        <v>151868.5</v>
      </c>
      <c r="J45" s="388">
        <v>150702.18057672918</v>
      </c>
      <c r="K45" s="367"/>
      <c r="L45" s="388">
        <v>157381.86605771707</v>
      </c>
      <c r="M45" s="380">
        <f>AVERAGE(J45:L45)</f>
        <v>154042.02331722312</v>
      </c>
      <c r="N45" s="367"/>
      <c r="O45" s="380" t="e">
        <f>AVERAGE('Revenue Requirement'!E26:F26)</f>
        <v>#N/A</v>
      </c>
      <c r="P45" s="380">
        <f>AVERAGE('Revenue Requirement'!G26:H26)</f>
        <v>222443.72146777334</v>
      </c>
      <c r="Q45" s="367"/>
      <c r="R45" s="380">
        <f>AVERAGE('Revenue Requirement'!I26:I26)</f>
        <v>281056.30317079922</v>
      </c>
      <c r="S45" s="380" t="e">
        <f>AVERAGE('Revenue Requirement'!#REF!)</f>
        <v>#REF!</v>
      </c>
      <c r="T45" s="367"/>
      <c r="U45" s="380" t="e">
        <f>AVERAGE('Revenue Requirement'!#REF!)</f>
        <v>#REF!</v>
      </c>
      <c r="V45" s="380" t="e">
        <f>AVERAGE('Revenue Requirement'!#REF!)</f>
        <v>#REF!</v>
      </c>
      <c r="AD45" s="364"/>
      <c r="AE45" s="364"/>
      <c r="AF45" s="364"/>
      <c r="AG45" s="364"/>
      <c r="AH45" s="364"/>
      <c r="AI45" s="364"/>
      <c r="AJ45" s="364"/>
    </row>
    <row r="46" spans="1:41">
      <c r="A46" s="370"/>
      <c r="B46" s="365"/>
      <c r="C46" s="365"/>
      <c r="D46" s="365"/>
      <c r="E46" s="365"/>
      <c r="F46" s="386"/>
      <c r="G46" s="386"/>
      <c r="H46" s="367"/>
      <c r="I46" s="375"/>
      <c r="J46" s="386"/>
      <c r="K46" s="367"/>
      <c r="L46" s="386"/>
      <c r="M46" s="375"/>
      <c r="N46" s="367"/>
      <c r="O46" s="375"/>
      <c r="P46" s="375"/>
      <c r="Q46" s="367"/>
      <c r="R46" s="375"/>
      <c r="S46" s="375"/>
      <c r="T46" s="367"/>
      <c r="U46" s="375"/>
      <c r="V46" s="375"/>
    </row>
    <row r="47" spans="1:41">
      <c r="A47" s="389" t="s">
        <v>94</v>
      </c>
      <c r="B47" s="365"/>
      <c r="C47" s="365"/>
      <c r="D47" s="365"/>
      <c r="E47" s="365"/>
      <c r="F47" s="388">
        <f>F45+F43</f>
        <v>862381</v>
      </c>
      <c r="G47" s="388">
        <f>G45+G43</f>
        <v>901432</v>
      </c>
      <c r="H47" s="367"/>
      <c r="I47" s="380">
        <f>AVERAGE(F47:G47)</f>
        <v>881906.5</v>
      </c>
      <c r="J47" s="388">
        <f>J45+J43+J49</f>
        <v>1090709.1215247675</v>
      </c>
      <c r="K47" s="367"/>
      <c r="L47" s="388">
        <f>L45+L43+L49</f>
        <v>1102855.7924568867</v>
      </c>
      <c r="M47" s="380">
        <f>AVERAGE(J47:L47)</f>
        <v>1096782.4569908271</v>
      </c>
      <c r="N47" s="367"/>
      <c r="O47" s="380" t="e">
        <f>O45+O43+O49</f>
        <v>#N/A</v>
      </c>
      <c r="P47" s="380">
        <f>P45+P43+P49</f>
        <v>1671200.8820652643</v>
      </c>
      <c r="Q47" s="367"/>
      <c r="R47" s="380">
        <f>R45+R43+R49</f>
        <v>1850214.7559828926</v>
      </c>
      <c r="S47" s="380" t="e">
        <f>S45+S43+S49</f>
        <v>#REF!</v>
      </c>
      <c r="T47" s="367"/>
      <c r="U47" s="380" t="e">
        <f>U45+U43+U49</f>
        <v>#REF!</v>
      </c>
      <c r="V47" s="380" t="e">
        <f>V45+V43+V49</f>
        <v>#REF!</v>
      </c>
    </row>
    <row r="48" spans="1:41">
      <c r="A48" s="370"/>
      <c r="B48" s="365"/>
      <c r="C48" s="365"/>
      <c r="D48" s="365"/>
      <c r="E48" s="365"/>
      <c r="F48" s="386"/>
      <c r="G48" s="386"/>
      <c r="H48" s="367"/>
      <c r="I48" s="375"/>
      <c r="J48" s="386"/>
      <c r="K48" s="367"/>
      <c r="L48" s="386"/>
      <c r="M48" s="375"/>
      <c r="N48" s="367"/>
      <c r="O48" s="375"/>
      <c r="P48" s="375"/>
      <c r="Q48" s="367"/>
      <c r="R48" s="375"/>
      <c r="S48" s="375"/>
      <c r="T48" s="367"/>
      <c r="U48" s="375"/>
      <c r="V48" s="375"/>
    </row>
    <row r="49" spans="1:22">
      <c r="A49" s="390" t="s">
        <v>91</v>
      </c>
      <c r="B49" s="365"/>
      <c r="C49" s="365"/>
      <c r="D49" s="365"/>
      <c r="E49" s="365"/>
      <c r="F49" s="388">
        <v>147145</v>
      </c>
      <c r="G49" s="388">
        <v>130447</v>
      </c>
      <c r="H49" s="367"/>
      <c r="I49" s="380">
        <f>AVERAGE(F49:G49)</f>
        <v>138796</v>
      </c>
      <c r="J49" s="388">
        <v>109809.67228475411</v>
      </c>
      <c r="K49" s="367"/>
      <c r="L49" s="388">
        <v>86446.888965885388</v>
      </c>
      <c r="M49" s="380">
        <f>AVERAGE(J49:L49)</f>
        <v>98128.280625319749</v>
      </c>
      <c r="N49" s="367"/>
      <c r="O49" s="380">
        <f>AVERAGE('Revenue Requirement'!E30:F30)</f>
        <v>-32750.798801328667</v>
      </c>
      <c r="P49" s="380">
        <f>AVERAGE('Revenue Requirement'!G30:H30)</f>
        <v>163813.87195720687</v>
      </c>
      <c r="Q49" s="367"/>
      <c r="R49" s="380">
        <f>AVERAGE('Revenue Requirement'!I30:I30)</f>
        <v>172910.78815747867</v>
      </c>
      <c r="S49" s="380" t="e">
        <f>AVERAGE('Revenue Requirement'!#REF!)</f>
        <v>#REF!</v>
      </c>
      <c r="T49" s="367"/>
      <c r="U49" s="380" t="e">
        <f>AVERAGE('Revenue Requirement'!#REF!)</f>
        <v>#REF!</v>
      </c>
      <c r="V49" s="380" t="e">
        <f>AVERAGE('Revenue Requirement'!#REF!)</f>
        <v>#REF!</v>
      </c>
    </row>
    <row r="50" spans="1:22">
      <c r="A50" s="391"/>
      <c r="B50" s="365"/>
      <c r="C50" s="365"/>
      <c r="D50" s="365"/>
      <c r="E50" s="365"/>
      <c r="F50" s="388"/>
      <c r="G50" s="388"/>
      <c r="H50" s="367"/>
      <c r="I50" s="380"/>
      <c r="J50" s="388"/>
      <c r="K50" s="367"/>
      <c r="L50" s="388"/>
      <c r="M50" s="380"/>
      <c r="N50" s="367"/>
      <c r="O50" s="380"/>
      <c r="P50" s="380"/>
      <c r="Q50" s="367"/>
      <c r="R50" s="380"/>
      <c r="S50" s="380"/>
      <c r="T50" s="367"/>
      <c r="U50" s="380"/>
      <c r="V50" s="380"/>
    </row>
    <row r="51" spans="1:22" ht="15.75" thickBot="1">
      <c r="A51" s="392" t="s">
        <v>330</v>
      </c>
      <c r="B51" s="365"/>
      <c r="C51" s="393"/>
      <c r="D51" s="393"/>
      <c r="E51" s="393"/>
      <c r="F51" s="394">
        <f>F49+F45+F42</f>
        <v>483210</v>
      </c>
      <c r="G51" s="395">
        <f>G49+G45+G42</f>
        <v>492725</v>
      </c>
      <c r="H51" s="367"/>
      <c r="I51" s="396">
        <f>I49+I45+I42</f>
        <v>487967.5</v>
      </c>
      <c r="J51" s="394">
        <v>500364.04647476744</v>
      </c>
      <c r="K51" s="367"/>
      <c r="L51" s="395">
        <v>503038.94863688661</v>
      </c>
      <c r="M51" s="396">
        <f>M49+M45+M42</f>
        <v>501701.49755582702</v>
      </c>
      <c r="N51" s="367"/>
      <c r="O51" s="396">
        <v>532434.6665720212</v>
      </c>
      <c r="P51" s="396">
        <v>608911.20919739455</v>
      </c>
      <c r="Q51" s="367"/>
      <c r="R51" s="396">
        <v>657746.81403980451</v>
      </c>
      <c r="S51" s="396">
        <v>704224.75790144107</v>
      </c>
      <c r="T51" s="367"/>
      <c r="U51" s="396">
        <v>743299.56827814097</v>
      </c>
      <c r="V51" s="396">
        <v>790198.13409638009</v>
      </c>
    </row>
    <row r="53" spans="1:22">
      <c r="M53" s="397">
        <f>SUM(M35:M40)</f>
        <v>595080.95943500008</v>
      </c>
      <c r="N53" s="367"/>
      <c r="O53" s="397">
        <f>SUM(O35:O40)-O38</f>
        <v>591465.22275299998</v>
      </c>
      <c r="P53" s="397">
        <f>SUM(P35:P40)-P38</f>
        <v>748105.81181499991</v>
      </c>
      <c r="Q53" s="367"/>
      <c r="R53" s="397">
        <f>SUM(R35:R40)-R38</f>
        <v>818143.52503999998</v>
      </c>
      <c r="S53" s="397" t="e">
        <f>SUM(S35:S40)-S38</f>
        <v>#REF!</v>
      </c>
      <c r="T53" s="367"/>
      <c r="U53" s="397" t="e">
        <f>SUM(U35:U40)-U38</f>
        <v>#REF!</v>
      </c>
      <c r="V53" s="397" t="e">
        <f>SUM(V35:V40)-V38</f>
        <v>#REF!</v>
      </c>
    </row>
    <row r="54" spans="1:22">
      <c r="O54" s="398">
        <f>(O53-M53)/O53</f>
        <v>-6.1131855989275318E-3</v>
      </c>
      <c r="P54" s="398">
        <f>(P53-O53)/P53</f>
        <v>0.20938293298640459</v>
      </c>
      <c r="R54" s="398">
        <f>(R53-P53)/R53</f>
        <v>8.5605656075534969E-2</v>
      </c>
      <c r="S54" s="398" t="e">
        <f>(S53-R53)/S53</f>
        <v>#REF!</v>
      </c>
      <c r="U54" s="398" t="e">
        <f>(U53-S53)/U53</f>
        <v>#REF!</v>
      </c>
      <c r="V54" s="398" t="e">
        <f>(V53-U53)/V53</f>
        <v>#REF!</v>
      </c>
    </row>
    <row r="55" spans="1:22">
      <c r="M55" s="397">
        <f>M38</f>
        <v>140774.69951999999</v>
      </c>
      <c r="N55" s="367"/>
      <c r="O55" s="397">
        <f>O38</f>
        <v>120744.32268849999</v>
      </c>
      <c r="P55" s="397">
        <f>P38</f>
        <v>146360.28667161317</v>
      </c>
      <c r="Q55" s="367"/>
      <c r="R55" s="397">
        <f>R38</f>
        <v>146179.45513593568</v>
      </c>
      <c r="S55" s="397" t="e">
        <f>S38</f>
        <v>#REF!</v>
      </c>
      <c r="T55" s="367"/>
      <c r="U55" s="397" t="e">
        <f>U38</f>
        <v>#REF!</v>
      </c>
      <c r="V55" s="397" t="e">
        <f>V38</f>
        <v>#REF!</v>
      </c>
    </row>
    <row r="56" spans="1:22">
      <c r="O56" s="398">
        <f>(O55-M55)/O55</f>
        <v>-0.1658908376435636</v>
      </c>
      <c r="P56" s="398">
        <f>(P55-O55)/P55</f>
        <v>0.17501990851239183</v>
      </c>
      <c r="R56" s="398">
        <f>(R55-P55)/R55</f>
        <v>-1.2370516466169907E-3</v>
      </c>
      <c r="S56" s="398" t="e">
        <f>(S55-R55)/S55</f>
        <v>#REF!</v>
      </c>
      <c r="U56" s="398" t="e">
        <f>(U55-S55)/U55</f>
        <v>#REF!</v>
      </c>
      <c r="V56" s="398" t="e">
        <f>(V55-U55)/V55</f>
        <v>#REF!</v>
      </c>
    </row>
    <row r="57" spans="1:22">
      <c r="M57" s="397">
        <f>M51</f>
        <v>501701.49755582702</v>
      </c>
      <c r="N57" s="367"/>
      <c r="O57" s="397">
        <f>O51</f>
        <v>532434.6665720212</v>
      </c>
      <c r="P57" s="397">
        <f>P51</f>
        <v>608911.20919739455</v>
      </c>
      <c r="Q57" s="367"/>
      <c r="R57" s="397">
        <f>R51</f>
        <v>657746.81403980451</v>
      </c>
      <c r="S57" s="397">
        <f>S51</f>
        <v>704224.75790144107</v>
      </c>
      <c r="T57" s="367"/>
      <c r="U57" s="397">
        <f>U51</f>
        <v>743299.56827814097</v>
      </c>
      <c r="V57" s="397">
        <f>V51</f>
        <v>790198.13409638009</v>
      </c>
    </row>
    <row r="58" spans="1:22">
      <c r="O58" s="398">
        <f>(O57-M57)/O57</f>
        <v>5.7721953407098403E-2</v>
      </c>
      <c r="P58" s="398">
        <f>(P57-O57)/P57</f>
        <v>0.12559555723432489</v>
      </c>
      <c r="R58" s="398">
        <f>(R57-P57)/R57</f>
        <v>7.4246813211404777E-2</v>
      </c>
      <c r="S58" s="398">
        <f>(S57-R57)/S57</f>
        <v>6.59987359719343E-2</v>
      </c>
      <c r="U58" s="398">
        <f>(U57-S57)/U57</f>
        <v>5.2569397379332521E-2</v>
      </c>
      <c r="V58" s="398">
        <f>(V57-U57)/V57</f>
        <v>5.9350387952850976E-2</v>
      </c>
    </row>
    <row r="60" spans="1:22">
      <c r="M60" s="397">
        <f>M45</f>
        <v>154042.02331722312</v>
      </c>
      <c r="N60" s="367"/>
      <c r="O60" s="397" t="e">
        <f>O45</f>
        <v>#N/A</v>
      </c>
      <c r="P60" s="397">
        <f>P45</f>
        <v>222443.72146777334</v>
      </c>
      <c r="Q60" s="367"/>
      <c r="R60" s="397">
        <f>R45</f>
        <v>281056.30317079922</v>
      </c>
      <c r="S60" s="397" t="e">
        <f>S45</f>
        <v>#REF!</v>
      </c>
      <c r="T60" s="367"/>
      <c r="U60" s="397" t="e">
        <f>U45</f>
        <v>#REF!</v>
      </c>
      <c r="V60" s="397" t="e">
        <f>V45</f>
        <v>#REF!</v>
      </c>
    </row>
    <row r="61" spans="1:22">
      <c r="K61" s="364"/>
      <c r="L61" s="399"/>
      <c r="O61" s="398" t="e">
        <f>(O60-M60)/O60</f>
        <v>#N/A</v>
      </c>
      <c r="P61" s="398" t="e">
        <f>(P60-O60)/P60</f>
        <v>#N/A</v>
      </c>
      <c r="R61" s="398">
        <f>(R60-P60)/R60</f>
        <v>0.20854391465971406</v>
      </c>
      <c r="S61" s="398" t="e">
        <f>(S60-R60)/S60</f>
        <v>#REF!</v>
      </c>
      <c r="U61" s="398" t="e">
        <f>(U60-S60)/U60</f>
        <v>#REF!</v>
      </c>
      <c r="V61" s="398" t="e">
        <f>(V60-U60)/V60</f>
        <v>#REF!</v>
      </c>
    </row>
    <row r="62" spans="1:22">
      <c r="K62" s="364"/>
      <c r="L62" s="399"/>
    </row>
    <row r="63" spans="1:22">
      <c r="K63" s="364"/>
      <c r="L63" s="399"/>
    </row>
    <row r="64" spans="1:22">
      <c r="L64" s="364"/>
    </row>
  </sheetData>
  <customSheetViews>
    <customSheetView guid="{2226E858-00AE-4A92-8CF6-5B54D2FA62D4}" showPageBreaks="1" printArea="1" hiddenRows="1" state="hidden">
      <pageMargins left="0.7" right="0.7" top="0.75" bottom="0.75" header="0.3" footer="0.3"/>
      <pageSetup scale="44" orientation="landscape" r:id="rId1"/>
    </customSheetView>
  </customSheetViews>
  <mergeCells count="12">
    <mergeCell ref="U2:V3"/>
    <mergeCell ref="C2:D3"/>
    <mergeCell ref="F2:G3"/>
    <mergeCell ref="I2:J3"/>
    <mergeCell ref="A7:B7"/>
    <mergeCell ref="B41:C41"/>
    <mergeCell ref="K33:L33"/>
    <mergeCell ref="L2:M3"/>
    <mergeCell ref="O2:P3"/>
    <mergeCell ref="R2:S3"/>
    <mergeCell ref="A32:C32"/>
    <mergeCell ref="F33:G33"/>
  </mergeCells>
  <pageMargins left="0.7" right="0.7" top="0.75" bottom="0.75" header="0.3" footer="0.3"/>
  <pageSetup scale="44" orientation="landscape" r:id="rId2"/>
  <ignoredErrors>
    <ignoredError sqref="C16" evalError="1"/>
    <ignoredError sqref="AC40:AG40" formulaRange="1"/>
  </ignoredErrors>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tabColor theme="6" tint="0.59999389629810485"/>
    <pageSetUpPr autoPageBreaks="0"/>
  </sheetPr>
  <dimension ref="A1:Z38"/>
  <sheetViews>
    <sheetView workbookViewId="0"/>
  </sheetViews>
  <sheetFormatPr defaultColWidth="9.140625" defaultRowHeight="14.25"/>
  <cols>
    <col min="1" max="1" width="44.28515625" style="286" bestFit="1" customWidth="1"/>
    <col min="2" max="3" width="10.5703125" style="286" customWidth="1"/>
    <col min="4" max="4" width="1.42578125" style="286" customWidth="1"/>
    <col min="5" max="6" width="10.5703125" style="286" customWidth="1"/>
    <col min="7" max="7" width="1.42578125" style="286" customWidth="1"/>
    <col min="8" max="9" width="10.5703125" style="286" customWidth="1"/>
    <col min="10" max="10" width="1.42578125" style="286" customWidth="1"/>
    <col min="11" max="12" width="10.5703125" style="286" customWidth="1"/>
    <col min="13" max="13" width="1.42578125" style="286" customWidth="1"/>
    <col min="14" max="15" width="10.5703125" style="286" customWidth="1"/>
    <col min="16" max="17" width="9.140625" style="286" customWidth="1"/>
    <col min="18" max="18" width="7.5703125" style="286" customWidth="1"/>
    <col min="19" max="19" width="53.85546875" style="286" bestFit="1" customWidth="1"/>
    <col min="20" max="20" width="19.7109375" style="286" bestFit="1" customWidth="1"/>
    <col min="21" max="25" width="17" style="286" customWidth="1"/>
    <col min="26" max="27" width="11.5703125" style="286" customWidth="1"/>
    <col min="28" max="16384" width="9.140625" style="286"/>
  </cols>
  <sheetData>
    <row r="1" spans="1:26" s="137" customFormat="1" ht="15">
      <c r="B1" s="309" t="s">
        <v>307</v>
      </c>
      <c r="C1" s="309" t="s">
        <v>308</v>
      </c>
      <c r="E1" s="309" t="s">
        <v>410</v>
      </c>
      <c r="F1" s="309" t="s">
        <v>310</v>
      </c>
      <c r="H1" s="309" t="s">
        <v>311</v>
      </c>
      <c r="I1" s="309" t="s">
        <v>312</v>
      </c>
      <c r="K1" s="309" t="s">
        <v>340</v>
      </c>
      <c r="L1" s="309" t="s">
        <v>341</v>
      </c>
      <c r="N1" s="309" t="s">
        <v>342</v>
      </c>
      <c r="O1" s="309" t="s">
        <v>343</v>
      </c>
    </row>
    <row r="2" spans="1:26" ht="37.5" customHeight="1">
      <c r="B2" s="934" t="s">
        <v>534</v>
      </c>
      <c r="C2" s="934"/>
      <c r="D2" s="310"/>
      <c r="E2" s="934" t="s">
        <v>533</v>
      </c>
      <c r="F2" s="934"/>
      <c r="G2" s="310"/>
      <c r="H2" s="934" t="s">
        <v>535</v>
      </c>
      <c r="I2" s="934"/>
      <c r="J2" s="310"/>
      <c r="K2" s="934" t="s">
        <v>536</v>
      </c>
      <c r="L2" s="934"/>
      <c r="M2" s="310"/>
      <c r="N2" s="934" t="s">
        <v>537</v>
      </c>
      <c r="O2" s="934"/>
      <c r="P2" s="310"/>
      <c r="T2" s="300" t="s">
        <v>530</v>
      </c>
      <c r="U2" s="300"/>
    </row>
    <row r="3" spans="1:26" ht="27.75" customHeight="1">
      <c r="A3" s="311" t="s">
        <v>313</v>
      </c>
      <c r="B3" s="312" t="s">
        <v>411</v>
      </c>
      <c r="C3" s="312" t="s">
        <v>412</v>
      </c>
      <c r="D3" s="313"/>
      <c r="E3" s="312" t="s">
        <v>411</v>
      </c>
      <c r="F3" s="312" t="s">
        <v>412</v>
      </c>
      <c r="G3" s="313"/>
      <c r="H3" s="312" t="s">
        <v>411</v>
      </c>
      <c r="I3" s="312" t="s">
        <v>412</v>
      </c>
      <c r="J3" s="313"/>
      <c r="K3" s="312" t="s">
        <v>411</v>
      </c>
      <c r="L3" s="312" t="s">
        <v>412</v>
      </c>
      <c r="M3" s="313"/>
      <c r="N3" s="312" t="s">
        <v>411</v>
      </c>
      <c r="O3" s="312" t="s">
        <v>412</v>
      </c>
      <c r="R3" s="933" t="s">
        <v>416</v>
      </c>
      <c r="S3" s="933"/>
      <c r="T3" s="308" t="s">
        <v>420</v>
      </c>
      <c r="U3" s="308" t="s">
        <v>417</v>
      </c>
      <c r="V3" s="308" t="s">
        <v>418</v>
      </c>
      <c r="W3" s="308" t="s">
        <v>419</v>
      </c>
      <c r="X3" s="308" t="s">
        <v>528</v>
      </c>
      <c r="Y3" s="308" t="s">
        <v>529</v>
      </c>
      <c r="Z3" s="308"/>
    </row>
    <row r="4" spans="1:26">
      <c r="A4" s="286" t="s">
        <v>413</v>
      </c>
      <c r="B4" s="301">
        <f>(U5-T5)/1000</f>
        <v>30.538177484500046</v>
      </c>
      <c r="C4" s="293" t="e">
        <f>(B4/B$16)*C$16</f>
        <v>#REF!</v>
      </c>
      <c r="E4" s="301">
        <f>(V5-U5)/1000</f>
        <v>31.016638520499953</v>
      </c>
      <c r="F4" s="293" t="e">
        <f>(E4/E$16)*F$16</f>
        <v>#REF!</v>
      </c>
      <c r="H4" s="301">
        <f>(W5-V5)/1000</f>
        <v>24.693076505000032</v>
      </c>
      <c r="I4" s="293" t="e">
        <f>(H4/H$16)*I$16</f>
        <v>#REF!</v>
      </c>
      <c r="K4" s="301" t="e">
        <f>(X5-W5)/1000</f>
        <v>#REF!</v>
      </c>
      <c r="L4" s="293" t="e">
        <f>(K4/K$16)*L$16</f>
        <v>#REF!</v>
      </c>
      <c r="N4" s="301" t="e">
        <f>(Y5-X5)/1000</f>
        <v>#REF!</v>
      </c>
      <c r="O4" s="293" t="e">
        <f>(N4/N$16)*O$16</f>
        <v>#REF!</v>
      </c>
      <c r="R4" s="286" t="s">
        <v>75</v>
      </c>
    </row>
    <row r="5" spans="1:26">
      <c r="A5" s="286" t="s">
        <v>414</v>
      </c>
      <c r="B5" s="301">
        <f>(U7-T7)/1000</f>
        <v>19.484337502000038</v>
      </c>
      <c r="C5" s="293" t="e">
        <f>(B5/B$16)*C$16</f>
        <v>#REF!</v>
      </c>
      <c r="E5" s="301">
        <f>(V7-U7)/1000</f>
        <v>35.255823363000005</v>
      </c>
      <c r="F5" s="293" t="e">
        <f>(E5/E$16)*F$16</f>
        <v>#REF!</v>
      </c>
      <c r="H5" s="301">
        <f>(W7-V7)/1000</f>
        <v>20.90520835500001</v>
      </c>
      <c r="I5" s="293" t="e">
        <f>(H5/H$16)*I$16</f>
        <v>#REF!</v>
      </c>
      <c r="K5" s="301" t="e">
        <f>(X7-W7)/1000</f>
        <v>#REF!</v>
      </c>
      <c r="L5" s="293" t="e">
        <f>(K5/K$16)*L$16</f>
        <v>#REF!</v>
      </c>
      <c r="N5" s="301" t="e">
        <f>(Y7-X7)/1000</f>
        <v>#REF!</v>
      </c>
      <c r="O5" s="293" t="e">
        <f>(N5/N$16)*O$16</f>
        <v>#REF!</v>
      </c>
      <c r="S5" s="286" t="s">
        <v>20</v>
      </c>
      <c r="T5" s="291">
        <v>167528.66249999998</v>
      </c>
      <c r="U5" s="291">
        <f>AVERAGE('Revenue Requirement'!E5:F5)</f>
        <v>198066.83998450002</v>
      </c>
      <c r="V5" s="291">
        <f>AVERAGE('Revenue Requirement'!G5:H5)</f>
        <v>229083.47850499998</v>
      </c>
      <c r="W5" s="291">
        <f>AVERAGE('Revenue Requirement'!I5:I5)</f>
        <v>253776.55501000001</v>
      </c>
      <c r="X5" s="291" t="e">
        <f>AVERAGE('Revenue Requirement'!#REF!)</f>
        <v>#REF!</v>
      </c>
      <c r="Y5" s="291" t="e">
        <f>AVERAGE('Revenue Requirement'!#REF!)</f>
        <v>#REF!</v>
      </c>
      <c r="Z5" s="284"/>
    </row>
    <row r="6" spans="1:26">
      <c r="A6" s="286" t="s">
        <v>415</v>
      </c>
      <c r="B6" s="301">
        <f>(U6-T6)/1000</f>
        <v>1.5460163384999979</v>
      </c>
      <c r="C6" s="293" t="e">
        <f>(B6/B$16)*C$16</f>
        <v>#REF!</v>
      </c>
      <c r="E6" s="301">
        <f>(V6-U6)/1000</f>
        <v>17.0146317365</v>
      </c>
      <c r="F6" s="293" t="e">
        <f>(E6/E$16)*F$16</f>
        <v>#REF!</v>
      </c>
      <c r="H6" s="301">
        <f>(W6-V6)/1000</f>
        <v>5.1977935050000088</v>
      </c>
      <c r="I6" s="293" t="e">
        <f>(H6/H$16)*I$16</f>
        <v>#REF!</v>
      </c>
      <c r="K6" s="301" t="e">
        <f>(X6-W6)/1000</f>
        <v>#REF!</v>
      </c>
      <c r="L6" s="293" t="e">
        <f>(K6/K$16)*L$16</f>
        <v>#REF!</v>
      </c>
      <c r="N6" s="301" t="e">
        <f>(Y6-X6)/1000</f>
        <v>#REF!</v>
      </c>
      <c r="O6" s="293" t="e">
        <f>(N6/N$16)*O$16</f>
        <v>#REF!</v>
      </c>
      <c r="S6" s="286" t="s">
        <v>21</v>
      </c>
      <c r="T6" s="291">
        <v>57034.075499999999</v>
      </c>
      <c r="U6" s="291">
        <f>AVERAGE('Revenue Requirement'!E6:F6)</f>
        <v>58580.091838499997</v>
      </c>
      <c r="V6" s="291">
        <f>AVERAGE('Revenue Requirement'!G6:H6)</f>
        <v>75594.723574999996</v>
      </c>
      <c r="W6" s="291">
        <f>AVERAGE('Revenue Requirement'!I6:I6)</f>
        <v>80792.517080000005</v>
      </c>
      <c r="X6" s="291" t="e">
        <f>AVERAGE('Revenue Requirement'!#REF!)</f>
        <v>#REF!</v>
      </c>
      <c r="Y6" s="291" t="e">
        <f>AVERAGE('Revenue Requirement'!#REF!)</f>
        <v>#REF!</v>
      </c>
      <c r="Z6" s="284"/>
    </row>
    <row r="7" spans="1:26">
      <c r="A7" s="286" t="s">
        <v>640</v>
      </c>
      <c r="B7" s="301">
        <f>(U24-T24)/1000</f>
        <v>-6.0674889749999998</v>
      </c>
      <c r="C7" s="293" t="e">
        <f>(B7/B$16)*C$16</f>
        <v>#REF!</v>
      </c>
      <c r="E7" s="301">
        <f>(V24-U24)/1000</f>
        <v>-0.32992984599999908</v>
      </c>
      <c r="F7" s="293" t="e">
        <f>(E7/E$16)*F$16</f>
        <v>#REF!</v>
      </c>
      <c r="H7" s="301">
        <f>(W24-V24)/1000</f>
        <v>-0.51476536900000114</v>
      </c>
      <c r="I7" s="293" t="e">
        <f>(H7/H$16)*I$16</f>
        <v>#REF!</v>
      </c>
      <c r="K7" s="301">
        <f>(X24-W24)/1000</f>
        <v>0</v>
      </c>
      <c r="L7" s="293" t="e">
        <f>(K7/K$16)*L$16</f>
        <v>#REF!</v>
      </c>
      <c r="N7" s="301" t="e">
        <f>(Y24-X24)/1000</f>
        <v>#REF!</v>
      </c>
      <c r="O7" s="293" t="e">
        <f>(N7/N$16)*O$16</f>
        <v>#REF!</v>
      </c>
      <c r="S7" s="286" t="s">
        <v>286</v>
      </c>
      <c r="T7" s="291">
        <v>177352.61849999998</v>
      </c>
      <c r="U7" s="291">
        <f>AVERAGE('Revenue Requirement'!E7:F7)</f>
        <v>196836.95600200002</v>
      </c>
      <c r="V7" s="291">
        <f>AVERAGE('Revenue Requirement'!G7:H7)</f>
        <v>232092.77936500002</v>
      </c>
      <c r="W7" s="291">
        <f>AVERAGE('Revenue Requirement'!I7:I7)</f>
        <v>252997.98772000003</v>
      </c>
      <c r="X7" s="291" t="e">
        <f>AVERAGE('Revenue Requirement'!#REF!)</f>
        <v>#REF!</v>
      </c>
      <c r="Y7" s="291" t="e">
        <f>AVERAGE('Revenue Requirement'!#REF!)</f>
        <v>#REF!</v>
      </c>
      <c r="Z7" s="284"/>
    </row>
    <row r="8" spans="1:26">
      <c r="A8" s="314" t="s">
        <v>452</v>
      </c>
      <c r="B8" s="315">
        <f>((SUM(U9:U10))-(SUM(T9:T10)))/1000</f>
        <v>51.25139242800001</v>
      </c>
      <c r="C8" s="316" t="e">
        <f>(B8/B$16)*C$16</f>
        <v>#REF!</v>
      </c>
      <c r="D8" s="314"/>
      <c r="E8" s="315">
        <f>((SUM(V9:V10))-(SUM(U9:U10)))/1000</f>
        <v>73.353495441999982</v>
      </c>
      <c r="F8" s="316" t="e">
        <f>(E8/E$16)*F$16</f>
        <v>#REF!</v>
      </c>
      <c r="G8" s="314"/>
      <c r="H8" s="315">
        <f>((SUM(W9:W10))-(SUM(V9:V10)))/1000</f>
        <v>19.241634860000048</v>
      </c>
      <c r="I8" s="316" t="e">
        <f>(H8/H$16)*I$16</f>
        <v>#REF!</v>
      </c>
      <c r="J8" s="314"/>
      <c r="K8" s="315" t="e">
        <f>((SUM(X9:X10))-(SUM(W9:W10)))/1000</f>
        <v>#REF!</v>
      </c>
      <c r="L8" s="316" t="e">
        <f>(K8/K$16)*L$16</f>
        <v>#REF!</v>
      </c>
      <c r="M8" s="314"/>
      <c r="N8" s="315" t="e">
        <f>((SUM(Y9:Y10))-(SUM(X9:X10)))/1000</f>
        <v>#REF!</v>
      </c>
      <c r="O8" s="316" t="e">
        <f>(N8/N$16)*O$16</f>
        <v>#REF!</v>
      </c>
      <c r="S8" s="286" t="s">
        <v>76</v>
      </c>
      <c r="T8" s="291">
        <v>115721.525471</v>
      </c>
      <c r="U8" s="291">
        <f>AVERAGE('Revenue Requirement'!E8:F8)</f>
        <v>120744.32268849999</v>
      </c>
      <c r="V8" s="291">
        <f>AVERAGE('Revenue Requirement'!G8:H8)</f>
        <v>146360.28667161317</v>
      </c>
      <c r="W8" s="291">
        <f>AVERAGE('Revenue Requirement'!I8:I8)</f>
        <v>146179.45513593568</v>
      </c>
      <c r="X8" s="291" t="e">
        <f>AVERAGE('Revenue Requirement'!#REF!)</f>
        <v>#REF!</v>
      </c>
      <c r="Y8" s="291" t="e">
        <f>AVERAGE('Revenue Requirement'!#REF!)</f>
        <v>#REF!</v>
      </c>
      <c r="Z8" s="284"/>
    </row>
    <row r="9" spans="1:26" ht="15">
      <c r="A9" s="124" t="s">
        <v>453</v>
      </c>
      <c r="B9" s="302">
        <f>SUM(B4:B8)</f>
        <v>96.752434778000094</v>
      </c>
      <c r="C9" s="303" t="e">
        <f>SUM(C4:C8)</f>
        <v>#REF!</v>
      </c>
      <c r="D9" s="124"/>
      <c r="E9" s="302">
        <f>SUM(E4:E8)</f>
        <v>156.31065921599992</v>
      </c>
      <c r="F9" s="303" t="e">
        <f>SUM(F4:F8)</f>
        <v>#REF!</v>
      </c>
      <c r="G9" s="124"/>
      <c r="H9" s="302">
        <f>SUM(H4:H8)</f>
        <v>69.522947856000087</v>
      </c>
      <c r="I9" s="303" t="e">
        <f>SUM(I4:I8)</f>
        <v>#REF!</v>
      </c>
      <c r="J9" s="124"/>
      <c r="K9" s="302" t="e">
        <f>SUM(K4:K8)</f>
        <v>#REF!</v>
      </c>
      <c r="L9" s="303" t="e">
        <f>SUM(L4:L8)</f>
        <v>#REF!</v>
      </c>
      <c r="M9" s="124"/>
      <c r="N9" s="302" t="e">
        <f>SUM(N4:N8)</f>
        <v>#REF!</v>
      </c>
      <c r="O9" s="303" t="e">
        <f>SUM(O4:O8)</f>
        <v>#REF!</v>
      </c>
      <c r="S9" s="286" t="s">
        <v>77</v>
      </c>
      <c r="T9" s="291">
        <v>94773.398499999996</v>
      </c>
      <c r="U9" s="291">
        <f>AVERAGE('Revenue Requirement'!E9:F9)</f>
        <v>137981.334928</v>
      </c>
      <c r="V9" s="291">
        <f>AVERAGE('Revenue Requirement'!G9:H9)</f>
        <v>211334.83036999998</v>
      </c>
      <c r="W9" s="291">
        <f>AVERAGE('Revenue Requirement'!I9:I9)</f>
        <v>230576.46523000003</v>
      </c>
      <c r="X9" s="291" t="e">
        <f>AVERAGE('Revenue Requirement'!#REF!)</f>
        <v>#REF!</v>
      </c>
      <c r="Y9" s="291" t="e">
        <f>AVERAGE('Revenue Requirement'!#REF!)</f>
        <v>#REF!</v>
      </c>
      <c r="Z9" s="284"/>
    </row>
    <row r="10" spans="1:26">
      <c r="B10" s="301"/>
      <c r="C10" s="293"/>
      <c r="E10" s="301"/>
      <c r="F10" s="293"/>
      <c r="H10" s="301"/>
      <c r="I10" s="293"/>
      <c r="K10" s="301"/>
      <c r="L10" s="293"/>
      <c r="N10" s="301"/>
      <c r="O10" s="293"/>
      <c r="S10" s="286" t="s">
        <v>78</v>
      </c>
      <c r="T10" s="291">
        <v>-8043.4560000000001</v>
      </c>
      <c r="U10" s="291">
        <f>AVERAGE('Revenue Requirement'!E10:F10)</f>
        <v>0</v>
      </c>
      <c r="V10" s="291">
        <f>AVERAGE('Revenue Requirement'!G10:H10)</f>
        <v>0</v>
      </c>
      <c r="W10" s="291">
        <f>AVERAGE('Revenue Requirement'!I10:I10)</f>
        <v>0</v>
      </c>
      <c r="X10" s="291" t="e">
        <f>AVERAGE('Revenue Requirement'!#REF!)</f>
        <v>#REF!</v>
      </c>
      <c r="Y10" s="291" t="e">
        <f>AVERAGE('Revenue Requirement'!#REF!)</f>
        <v>#REF!</v>
      </c>
      <c r="Z10" s="284"/>
    </row>
    <row r="11" spans="1:26">
      <c r="A11" s="314" t="s">
        <v>641</v>
      </c>
      <c r="B11" s="315">
        <f>(U23-T23)/1000</f>
        <v>-0.72919415017000577</v>
      </c>
      <c r="C11" s="316" t="e">
        <f>(B11/B$16)*C$16</f>
        <v>#REF!</v>
      </c>
      <c r="D11" s="314"/>
      <c r="E11" s="315">
        <f>(V23-U23)/1000</f>
        <v>7.84075501216999</v>
      </c>
      <c r="F11" s="316" t="e">
        <f>(E11/E$16)*F$16</f>
        <v>#REF!</v>
      </c>
      <c r="G11" s="314"/>
      <c r="H11" s="315">
        <f>(W23-V23)/1000</f>
        <v>29.302894408613181</v>
      </c>
      <c r="I11" s="316" t="e">
        <f>(H11/H$16)*I$16</f>
        <v>#REF!</v>
      </c>
      <c r="J11" s="314"/>
      <c r="K11" s="315">
        <f>(X23-W23)/1000</f>
        <v>-0.18083153567748378</v>
      </c>
      <c r="L11" s="316" t="e">
        <f>(K11/K$16)*L$16</f>
        <v>#REF!</v>
      </c>
      <c r="M11" s="314"/>
      <c r="N11" s="315" t="e">
        <f>(Y23-X23)/1000</f>
        <v>#REF!</v>
      </c>
      <c r="O11" s="316" t="e">
        <f>(N11/N$16)*O$16</f>
        <v>#REF!</v>
      </c>
      <c r="T11" s="291"/>
      <c r="U11" s="291"/>
      <c r="V11" s="291"/>
      <c r="W11" s="291"/>
      <c r="X11" s="291"/>
      <c r="Y11" s="291"/>
      <c r="Z11" s="284"/>
    </row>
    <row r="12" spans="1:26" ht="15">
      <c r="A12" s="124" t="s">
        <v>454</v>
      </c>
      <c r="B12" s="302">
        <f>SUM(B11:B11)</f>
        <v>-0.72919415017000577</v>
      </c>
      <c r="C12" s="303" t="e">
        <f>SUM(C11)</f>
        <v>#REF!</v>
      </c>
      <c r="D12" s="124"/>
      <c r="E12" s="302">
        <f>SUM(E11:E11)</f>
        <v>7.84075501216999</v>
      </c>
      <c r="F12" s="303" t="e">
        <f>SUM(F11)</f>
        <v>#REF!</v>
      </c>
      <c r="G12" s="124"/>
      <c r="H12" s="302">
        <f>SUM(H11:H11)</f>
        <v>29.302894408613181</v>
      </c>
      <c r="I12" s="303" t="e">
        <f>SUM(I11)</f>
        <v>#REF!</v>
      </c>
      <c r="J12" s="124"/>
      <c r="K12" s="302">
        <f>SUM(K11:K11)</f>
        <v>-0.18083153567748378</v>
      </c>
      <c r="L12" s="303" t="e">
        <f>SUM(L11)</f>
        <v>#REF!</v>
      </c>
      <c r="M12" s="124"/>
      <c r="N12" s="302" t="e">
        <f>SUM(N11:N11)</f>
        <v>#REF!</v>
      </c>
      <c r="O12" s="303" t="e">
        <f>SUM(O11)</f>
        <v>#REF!</v>
      </c>
      <c r="S12" s="286" t="s">
        <v>79</v>
      </c>
      <c r="T12" s="291">
        <v>278792.94196548354</v>
      </c>
      <c r="U12" s="291">
        <f>AVERAGE('Revenue Requirement'!E11:F11)</f>
        <v>356029.379571</v>
      </c>
      <c r="V12" s="291">
        <f>AVERAGE('Revenue Requirement'!G11:H11)</f>
        <v>390477.19015367079</v>
      </c>
      <c r="W12" s="291">
        <f>AVERAGE('Revenue Requirement'!I11:I11)</f>
        <v>431924.68447867892</v>
      </c>
      <c r="X12" s="291" t="e">
        <f>AVERAGE('Revenue Requirement'!#REF!)</f>
        <v>#REF!</v>
      </c>
      <c r="Y12" s="291" t="e">
        <f>AVERAGE('Revenue Requirement'!#REF!)</f>
        <v>#REF!</v>
      </c>
      <c r="Z12" s="284"/>
    </row>
    <row r="13" spans="1:26" ht="15">
      <c r="A13" s="124"/>
      <c r="B13" s="302"/>
      <c r="C13" s="303"/>
      <c r="D13" s="124"/>
      <c r="E13" s="302"/>
      <c r="F13" s="303"/>
      <c r="G13" s="124"/>
      <c r="H13" s="302"/>
      <c r="I13" s="303"/>
      <c r="J13" s="124"/>
      <c r="K13" s="302"/>
      <c r="L13" s="303"/>
      <c r="M13" s="124"/>
      <c r="N13" s="302"/>
      <c r="O13" s="303"/>
      <c r="R13" s="286" t="s">
        <v>80</v>
      </c>
      <c r="T13" s="291">
        <v>883159.76643648348</v>
      </c>
      <c r="U13" s="291">
        <f>AVERAGE('Revenue Requirement'!E12:F12)</f>
        <v>1068238.9250125</v>
      </c>
      <c r="V13" s="291">
        <f>AVERAGE('Revenue Requirement'!G12:H12)</f>
        <v>1284943.288640284</v>
      </c>
      <c r="W13" s="291">
        <f>AVERAGE('Revenue Requirement'!I12:I12)</f>
        <v>1396247.6646546146</v>
      </c>
      <c r="X13" s="291" t="e">
        <f>AVERAGE('Revenue Requirement'!#REF!)</f>
        <v>#REF!</v>
      </c>
      <c r="Y13" s="291" t="e">
        <f>AVERAGE('Revenue Requirement'!#REF!)</f>
        <v>#REF!</v>
      </c>
      <c r="Z13" s="284"/>
    </row>
    <row r="14" spans="1:26" ht="17.25">
      <c r="A14" s="124" t="s">
        <v>642</v>
      </c>
      <c r="B14" s="302" t="e">
        <f>(U21-T21)/1000</f>
        <v>#REF!</v>
      </c>
      <c r="C14" s="303" t="e">
        <f>(B14/B$16)*C$16</f>
        <v>#REF!</v>
      </c>
      <c r="D14" s="124"/>
      <c r="E14" s="302" t="e">
        <f>(V21-U21)/1000</f>
        <v>#REF!</v>
      </c>
      <c r="F14" s="303" t="e">
        <f>(E14/E$16)*F$16</f>
        <v>#REF!</v>
      </c>
      <c r="G14" s="124"/>
      <c r="H14" s="302" t="e">
        <f>(W21-V21)/1000</f>
        <v>#REF!</v>
      </c>
      <c r="I14" s="303" t="e">
        <f>(H14/H$16)*I$16</f>
        <v>#REF!</v>
      </c>
      <c r="J14" s="124"/>
      <c r="K14" s="302" t="e">
        <f>(X21-W21)/1000</f>
        <v>#REF!</v>
      </c>
      <c r="L14" s="303" t="e">
        <f>(K14/K$16)*L$16</f>
        <v>#REF!</v>
      </c>
      <c r="M14" s="124"/>
      <c r="N14" s="302" t="e">
        <f>(Y21-X21)/1000</f>
        <v>#REF!</v>
      </c>
      <c r="O14" s="303" t="e">
        <f>(N14/N$16)*O$16</f>
        <v>#REF!</v>
      </c>
      <c r="T14" s="291"/>
      <c r="U14" s="291"/>
      <c r="V14" s="291"/>
      <c r="W14" s="291"/>
      <c r="X14" s="291"/>
      <c r="Y14" s="291"/>
      <c r="Z14" s="284"/>
    </row>
    <row r="15" spans="1:26" ht="15.75" customHeight="1">
      <c r="B15" s="301"/>
      <c r="C15" s="293"/>
      <c r="E15" s="301"/>
      <c r="F15" s="293"/>
      <c r="H15" s="301"/>
      <c r="I15" s="293"/>
      <c r="K15" s="301"/>
      <c r="L15" s="293"/>
      <c r="N15" s="301"/>
      <c r="O15" s="293"/>
      <c r="R15" s="286" t="s">
        <v>89</v>
      </c>
      <c r="T15" s="291">
        <v>156196.29733591771</v>
      </c>
      <c r="U15" s="291" t="e">
        <f>AVERAGE('Revenue Requirement'!E26:F26)</f>
        <v>#N/A</v>
      </c>
      <c r="V15" s="291">
        <f>AVERAGE('Revenue Requirement'!G26:H26)</f>
        <v>222443.72146777334</v>
      </c>
      <c r="W15" s="291">
        <f>AVERAGE('Revenue Requirement'!I26:I26)</f>
        <v>281056.30317079922</v>
      </c>
      <c r="X15" s="291" t="e">
        <f>AVERAGE('Revenue Requirement'!#REF!)</f>
        <v>#REF!</v>
      </c>
      <c r="Y15" s="291" t="e">
        <f>AVERAGE('Revenue Requirement'!#REF!)</f>
        <v>#REF!</v>
      </c>
      <c r="Z15" s="284"/>
    </row>
    <row r="16" spans="1:26" ht="17.25">
      <c r="A16" s="317" t="s">
        <v>643</v>
      </c>
      <c r="B16" s="302" t="e">
        <f>SUM(B14,B12,B9)</f>
        <v>#REF!</v>
      </c>
      <c r="C16" s="303" t="e">
        <f>(B16/B$20)*C$20</f>
        <v>#REF!</v>
      </c>
      <c r="D16" s="124"/>
      <c r="E16" s="302" t="e">
        <f>SUM(E9,E12,E14)</f>
        <v>#REF!</v>
      </c>
      <c r="F16" s="303" t="e">
        <f>(E16/E$20)*F$20</f>
        <v>#REF!</v>
      </c>
      <c r="G16" s="124"/>
      <c r="H16" s="302" t="e">
        <f>SUM(H9,H12,H14)</f>
        <v>#REF!</v>
      </c>
      <c r="I16" s="303" t="e">
        <f>(H16/H$20)*I$20</f>
        <v>#REF!</v>
      </c>
      <c r="J16" s="124"/>
      <c r="K16" s="302" t="e">
        <f>SUM(K9,K12,K14)</f>
        <v>#REF!</v>
      </c>
      <c r="L16" s="303" t="e">
        <f>(K16/K$20)*L$20</f>
        <v>#REF!</v>
      </c>
      <c r="M16" s="124"/>
      <c r="N16" s="302" t="e">
        <f>SUM(N9,N12,N14)</f>
        <v>#REF!</v>
      </c>
      <c r="O16" s="303" t="e">
        <f>(N16/N$20)*O$20</f>
        <v>#REF!</v>
      </c>
      <c r="T16" s="291"/>
      <c r="U16" s="291"/>
      <c r="V16" s="291"/>
      <c r="W16" s="291"/>
      <c r="X16" s="291"/>
      <c r="Y16" s="291"/>
      <c r="Z16" s="284"/>
    </row>
    <row r="17" spans="1:26">
      <c r="A17" s="304"/>
      <c r="B17" s="305"/>
      <c r="C17" s="304"/>
      <c r="E17" s="306"/>
      <c r="H17" s="306"/>
      <c r="K17" s="301"/>
      <c r="N17" s="306"/>
      <c r="R17" s="286" t="s">
        <v>91</v>
      </c>
      <c r="T17" s="291">
        <v>4486.9294903865375</v>
      </c>
      <c r="U17" s="291">
        <f>AVERAGE('Revenue Requirement'!E32:F32)</f>
        <v>-32750.798801328667</v>
      </c>
      <c r="V17" s="291">
        <f>AVERAGE('Revenue Requirement'!G32:H32)</f>
        <v>163813.87195720687</v>
      </c>
      <c r="W17" s="291">
        <f>AVERAGE('Revenue Requirement'!I32:I32)</f>
        <v>172910.78815747867</v>
      </c>
      <c r="X17" s="291" t="e">
        <f>AVERAGE('Revenue Requirement'!#REF!)</f>
        <v>#REF!</v>
      </c>
      <c r="Y17" s="291" t="e">
        <f>AVERAGE('Revenue Requirement'!#REF!)</f>
        <v>#REF!</v>
      </c>
      <c r="Z17" s="284"/>
    </row>
    <row r="18" spans="1:26" ht="15">
      <c r="A18" s="317" t="s">
        <v>455</v>
      </c>
      <c r="B18" s="302">
        <f>U28</f>
        <v>0</v>
      </c>
      <c r="C18" s="303" t="e">
        <f>(-B18/B$20)*C$20</f>
        <v>#REF!</v>
      </c>
      <c r="D18" s="124"/>
      <c r="E18" s="302">
        <f>U29</f>
        <v>0</v>
      </c>
      <c r="F18" s="303" t="e">
        <f>(-E18/E$20)*F$20</f>
        <v>#REF!</v>
      </c>
      <c r="G18" s="124"/>
      <c r="H18" s="302">
        <f>U30</f>
        <v>0</v>
      </c>
      <c r="I18" s="303" t="e">
        <f>(-H18/H$20)*I$20</f>
        <v>#REF!</v>
      </c>
      <c r="J18" s="124"/>
      <c r="K18" s="302">
        <f>U31</f>
        <v>0</v>
      </c>
      <c r="L18" s="303" t="e">
        <f>(-K18/K$20)*L$20</f>
        <v>#REF!</v>
      </c>
      <c r="M18" s="124"/>
      <c r="N18" s="302">
        <f>U32</f>
        <v>0</v>
      </c>
      <c r="O18" s="303" t="e">
        <f>(-N18/N$20)*O$20</f>
        <v>#REF!</v>
      </c>
      <c r="T18" s="291"/>
      <c r="U18" s="291"/>
      <c r="V18" s="291"/>
      <c r="W18" s="291"/>
      <c r="X18" s="291"/>
      <c r="Y18" s="291"/>
      <c r="Z18" s="284"/>
    </row>
    <row r="19" spans="1:26">
      <c r="A19" s="304"/>
      <c r="B19" s="305"/>
      <c r="C19" s="304"/>
      <c r="E19" s="306"/>
      <c r="H19" s="306"/>
      <c r="K19" s="301"/>
      <c r="N19" s="306"/>
      <c r="Q19" s="284"/>
      <c r="R19" s="286" t="s">
        <v>94</v>
      </c>
      <c r="T19" s="291">
        <v>1043842.9932627878</v>
      </c>
      <c r="U19" s="291" t="e">
        <f>AVERAGE('Revenue Requirement'!E34:F34)</f>
        <v>#N/A</v>
      </c>
      <c r="V19" s="291">
        <f>AVERAGE('Revenue Requirement'!G34:H34)</f>
        <v>1671200.882065264</v>
      </c>
      <c r="W19" s="291">
        <f>AVERAGE('Revenue Requirement'!I34:I34)</f>
        <v>1850214.7559828926</v>
      </c>
      <c r="X19" s="291" t="e">
        <f>AVERAGE('Revenue Requirement'!#REF!)</f>
        <v>#REF!</v>
      </c>
      <c r="Y19" s="291" t="e">
        <f>AVERAGE('Revenue Requirement'!#REF!)</f>
        <v>#REF!</v>
      </c>
      <c r="Z19" s="284"/>
    </row>
    <row r="20" spans="1:26" ht="15">
      <c r="A20" s="317" t="s">
        <v>467</v>
      </c>
      <c r="B20" s="302" t="e">
        <f>B16-B18</f>
        <v>#REF!</v>
      </c>
      <c r="C20" s="303">
        <f>T28</f>
        <v>0</v>
      </c>
      <c r="D20" s="124"/>
      <c r="E20" s="302" t="e">
        <f>E16-E18</f>
        <v>#REF!</v>
      </c>
      <c r="F20" s="303">
        <f>T29</f>
        <v>0</v>
      </c>
      <c r="G20" s="124"/>
      <c r="H20" s="302" t="e">
        <f>H16-H18</f>
        <v>#REF!</v>
      </c>
      <c r="I20" s="303">
        <f>T30</f>
        <v>0</v>
      </c>
      <c r="J20" s="124"/>
      <c r="K20" s="302" t="e">
        <f>K16-K18</f>
        <v>#REF!</v>
      </c>
      <c r="L20" s="303">
        <f>T31</f>
        <v>0</v>
      </c>
      <c r="M20" s="124"/>
      <c r="N20" s="302" t="e">
        <f>N16-N18</f>
        <v>#REF!</v>
      </c>
      <c r="O20" s="303">
        <f>T32</f>
        <v>0</v>
      </c>
      <c r="T20" s="291"/>
      <c r="U20" s="291"/>
      <c r="V20" s="291"/>
      <c r="W20" s="291"/>
      <c r="X20" s="291"/>
      <c r="Y20" s="291"/>
      <c r="Z20" s="284"/>
    </row>
    <row r="21" spans="1:26">
      <c r="A21" s="307"/>
      <c r="B21" s="307"/>
      <c r="C21" s="307"/>
      <c r="K21" s="291"/>
      <c r="R21" s="286" t="s">
        <v>291</v>
      </c>
      <c r="T21" s="291">
        <v>439476.16879178776</v>
      </c>
      <c r="U21" s="291" t="e">
        <f>AVERAGE('Revenue Requirement'!#REF!)</f>
        <v>#REF!</v>
      </c>
      <c r="V21" s="291" t="e">
        <f>AVERAGE('Revenue Requirement'!#REF!)</f>
        <v>#REF!</v>
      </c>
      <c r="W21" s="291" t="e">
        <f>AVERAGE('Revenue Requirement'!#REF!)</f>
        <v>#REF!</v>
      </c>
      <c r="X21" s="291" t="e">
        <f>AVERAGE('Revenue Requirement'!#REF!)</f>
        <v>#REF!</v>
      </c>
      <c r="Y21" s="291" t="e">
        <f>AVERAGE('Revenue Requirement'!#REF!)</f>
        <v>#REF!</v>
      </c>
      <c r="Z21" s="284"/>
    </row>
    <row r="22" spans="1:26">
      <c r="A22" s="932" t="s">
        <v>459</v>
      </c>
      <c r="B22" s="932"/>
      <c r="C22" s="932"/>
      <c r="D22" s="932"/>
      <c r="E22" s="932"/>
      <c r="F22" s="932"/>
      <c r="G22" s="932"/>
      <c r="H22" s="932"/>
      <c r="T22" s="291"/>
      <c r="U22" s="291"/>
      <c r="V22" s="291"/>
      <c r="W22" s="291"/>
      <c r="X22" s="291"/>
      <c r="Y22" s="291"/>
      <c r="Z22" s="284"/>
    </row>
    <row r="23" spans="1:26" ht="15" customHeight="1">
      <c r="A23" s="932" t="s">
        <v>431</v>
      </c>
      <c r="B23" s="932"/>
      <c r="C23" s="307"/>
      <c r="E23" s="294"/>
      <c r="R23" s="286" t="s">
        <v>456</v>
      </c>
      <c r="T23" s="291">
        <v>104974.45147100001</v>
      </c>
      <c r="U23" s="291">
        <f>AVERAGE('Expense Input File'!F90:G90)</f>
        <v>104245.25732083</v>
      </c>
      <c r="V23" s="291">
        <f>AVERAGE('Expense Input File'!H90:I90)</f>
        <v>112086.01233299999</v>
      </c>
      <c r="W23" s="291">
        <f>AVERAGE('Expense Input File'!J90:K90)</f>
        <v>141388.90674161317</v>
      </c>
      <c r="X23" s="291">
        <f>AVERAGE('Expense Input File'!L90:L90)</f>
        <v>141208.07520593569</v>
      </c>
      <c r="Y23" s="291" t="e">
        <f>AVERAGE('Expense Input File'!#REF!)</f>
        <v>#REF!</v>
      </c>
      <c r="Z23" s="284"/>
    </row>
    <row r="24" spans="1:26">
      <c r="A24" s="932"/>
      <c r="B24" s="932"/>
      <c r="C24" s="932"/>
      <c r="R24" s="286" t="s">
        <v>457</v>
      </c>
      <c r="T24" s="291">
        <v>10747.074000000001</v>
      </c>
      <c r="U24" s="291">
        <f>AVERAGE('Expense Input File'!F89:G89)</f>
        <v>4679.5850250000003</v>
      </c>
      <c r="V24" s="291">
        <f>AVERAGE('Expense Input File'!H89:I89)</f>
        <v>4349.6551790000012</v>
      </c>
      <c r="W24" s="291">
        <f>AVERAGE('Expense Input File'!J89:K89)</f>
        <v>3834.8898100000001</v>
      </c>
      <c r="X24" s="291">
        <f>AVERAGE('Expense Input File'!L89:L89)</f>
        <v>3834.8898100000001</v>
      </c>
      <c r="Y24" s="291" t="e">
        <f>AVERAGE('Expense Input File'!#REF!)</f>
        <v>#REF!</v>
      </c>
      <c r="Z24" s="284"/>
    </row>
    <row r="25" spans="1:26">
      <c r="R25" s="318" t="s">
        <v>458</v>
      </c>
      <c r="S25" s="318"/>
      <c r="T25" s="319" t="b">
        <f t="shared" ref="T25:Y25" si="0">(SUM(T23:T24))=T8</f>
        <v>1</v>
      </c>
      <c r="U25" s="319" t="b">
        <f t="shared" si="0"/>
        <v>0</v>
      </c>
      <c r="V25" s="319" t="b">
        <f t="shared" si="0"/>
        <v>0</v>
      </c>
      <c r="W25" s="319" t="b">
        <f t="shared" si="0"/>
        <v>0</v>
      </c>
      <c r="X25" s="319" t="e">
        <f t="shared" si="0"/>
        <v>#REF!</v>
      </c>
      <c r="Y25" s="319" t="e">
        <f t="shared" si="0"/>
        <v>#REF!</v>
      </c>
    </row>
    <row r="26" spans="1:26" ht="15" customHeight="1" thickBot="1">
      <c r="T26" s="308"/>
      <c r="U26" s="308"/>
      <c r="V26" s="308"/>
      <c r="W26" s="308"/>
      <c r="X26" s="308"/>
      <c r="Y26" s="308"/>
    </row>
    <row r="27" spans="1:26" ht="15" customHeight="1">
      <c r="S27" s="124" t="s">
        <v>421</v>
      </c>
      <c r="T27" s="320" t="s">
        <v>446</v>
      </c>
      <c r="U27" s="320" t="s">
        <v>447</v>
      </c>
    </row>
    <row r="28" spans="1:26" ht="15" customHeight="1">
      <c r="S28" s="321" t="s">
        <v>466</v>
      </c>
      <c r="T28" s="322"/>
      <c r="U28" s="323"/>
    </row>
    <row r="29" spans="1:26" ht="15" customHeight="1">
      <c r="S29" s="321" t="s">
        <v>422</v>
      </c>
      <c r="T29" s="322"/>
      <c r="U29" s="323"/>
    </row>
    <row r="30" spans="1:26">
      <c r="S30" s="321" t="s">
        <v>423</v>
      </c>
      <c r="T30" s="322"/>
      <c r="U30" s="323"/>
    </row>
    <row r="31" spans="1:26">
      <c r="S31" s="321" t="s">
        <v>531</v>
      </c>
      <c r="T31" s="322"/>
      <c r="U31" s="323"/>
    </row>
    <row r="32" spans="1:26" ht="15" thickBot="1">
      <c r="S32" s="321" t="s">
        <v>532</v>
      </c>
      <c r="T32" s="324"/>
      <c r="U32" s="325"/>
    </row>
    <row r="34" spans="9:20" ht="15">
      <c r="S34" s="326" t="s">
        <v>425</v>
      </c>
    </row>
    <row r="35" spans="9:20" ht="15">
      <c r="I35" s="291"/>
      <c r="J35" s="291"/>
      <c r="K35" s="291"/>
      <c r="L35" s="291"/>
      <c r="M35" s="291"/>
      <c r="N35" s="291"/>
      <c r="O35" s="291"/>
      <c r="S35" s="326" t="s">
        <v>424</v>
      </c>
      <c r="T35" s="327"/>
    </row>
    <row r="38" spans="9:20">
      <c r="I38" s="291"/>
      <c r="J38" s="291"/>
      <c r="K38" s="291"/>
      <c r="L38" s="291"/>
      <c r="M38" s="291"/>
      <c r="N38" s="291"/>
      <c r="O38" s="291"/>
    </row>
  </sheetData>
  <customSheetViews>
    <customSheetView guid="{2226E858-00AE-4A92-8CF6-5B54D2FA62D4}" scale="85" showPageBreaks="1" showGridLines="0">
      <selection activeCell="A33" sqref="A33"/>
      <pageMargins left="0.7" right="0.7" top="0.75" bottom="0.75" header="0.3" footer="0.3"/>
      <pageSetup orientation="portrait" r:id="rId1"/>
    </customSheetView>
  </customSheetViews>
  <mergeCells count="9">
    <mergeCell ref="A24:C24"/>
    <mergeCell ref="R3:S3"/>
    <mergeCell ref="E2:F2"/>
    <mergeCell ref="H2:I2"/>
    <mergeCell ref="K2:L2"/>
    <mergeCell ref="N2:O2"/>
    <mergeCell ref="A23:B23"/>
    <mergeCell ref="B2:C2"/>
    <mergeCell ref="A22:H22"/>
  </mergeCells>
  <pageMargins left="0.7" right="0.7" top="0.75" bottom="0.75" header="0.3" footer="0.3"/>
  <pageSetup orientation="portrait"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5">
    <tabColor rgb="FF00B0F0"/>
    <pageSetUpPr autoPageBreaks="0" fitToPage="1"/>
  </sheetPr>
  <dimension ref="A1:I84"/>
  <sheetViews>
    <sheetView tabSelected="1" topLeftCell="A36" zoomScale="90" zoomScaleNormal="90" workbookViewId="0">
      <selection activeCell="L63" sqref="L63"/>
    </sheetView>
  </sheetViews>
  <sheetFormatPr defaultColWidth="9.140625" defaultRowHeight="14.25"/>
  <cols>
    <col min="1" max="1" width="20.5703125" style="746" customWidth="1"/>
    <col min="2" max="2" width="48.42578125" style="746" customWidth="1"/>
    <col min="3" max="3" width="31.140625" style="746" hidden="1" customWidth="1"/>
    <col min="4" max="4" width="31.7109375" style="746" hidden="1" customWidth="1"/>
    <col min="5" max="5" width="19.140625" style="746" hidden="1" customWidth="1"/>
    <col min="6" max="6" width="16.7109375" style="746" hidden="1" customWidth="1"/>
    <col min="7" max="7" width="18.5703125" style="746" bestFit="1" customWidth="1"/>
    <col min="8" max="8" width="15.42578125" style="746" bestFit="1" customWidth="1"/>
    <col min="9" max="9" width="14.5703125" style="746" customWidth="1"/>
    <col min="10" max="16384" width="9.140625" style="746"/>
  </cols>
  <sheetData>
    <row r="1" spans="1:9" ht="21.75" customHeight="1">
      <c r="A1" s="769"/>
      <c r="B1" s="769"/>
      <c r="C1" s="936" t="s">
        <v>740</v>
      </c>
      <c r="D1" s="936"/>
      <c r="E1" s="936" t="s">
        <v>720</v>
      </c>
      <c r="F1" s="936"/>
      <c r="G1" s="936"/>
      <c r="H1" s="936"/>
      <c r="I1" s="936"/>
    </row>
    <row r="2" spans="1:9" ht="15.75" customHeight="1">
      <c r="A2" s="935" t="s">
        <v>97</v>
      </c>
      <c r="B2" s="935"/>
      <c r="C2" s="806">
        <v>2022</v>
      </c>
      <c r="D2" s="806">
        <f>C2+1</f>
        <v>2023</v>
      </c>
      <c r="E2" s="806">
        <v>2024</v>
      </c>
      <c r="F2" s="806">
        <f>E2+1</f>
        <v>2025</v>
      </c>
      <c r="G2" s="806">
        <v>2026</v>
      </c>
      <c r="H2" s="806">
        <f>G2+1</f>
        <v>2027</v>
      </c>
      <c r="I2" s="806">
        <f>H2+1</f>
        <v>2028</v>
      </c>
    </row>
    <row r="4" spans="1:9">
      <c r="A4" s="807" t="s">
        <v>75</v>
      </c>
      <c r="C4" s="285"/>
      <c r="D4" s="285"/>
      <c r="E4" s="285"/>
      <c r="F4" s="285"/>
      <c r="G4" s="285"/>
      <c r="H4" s="285"/>
      <c r="I4" s="285"/>
    </row>
    <row r="5" spans="1:9">
      <c r="B5" s="808" t="s">
        <v>20</v>
      </c>
      <c r="C5" s="285">
        <v>168710.52734000003</v>
      </c>
      <c r="D5" s="285">
        <v>171594.52619000003</v>
      </c>
      <c r="E5" s="285">
        <f>HLOOKUP(E$2,'Expense Input File'!$D$14:$L$21,2,FALSE)</f>
        <v>194646.81275799999</v>
      </c>
      <c r="F5" s="285">
        <f>HLOOKUP(F$2,'Expense Input File'!$D$14:$L$21,2,FALSE)</f>
        <v>201486.86721100003</v>
      </c>
      <c r="G5" s="285">
        <f>HLOOKUP(G$2,'Expense Input File'!$D$14:$L$21,2,FALSE)</f>
        <v>220399.58391999995</v>
      </c>
      <c r="H5" s="285">
        <f>HLOOKUP(H$2,'Expense Input File'!$D$14:$L$21,2,FALSE)</f>
        <v>237767.37309000001</v>
      </c>
      <c r="I5" s="285">
        <f>HLOOKUP(I$2,'Expense Input File'!$D$14:$L$21,2,FALSE)</f>
        <v>253776.55501000001</v>
      </c>
    </row>
    <row r="6" spans="1:9">
      <c r="B6" s="808" t="s">
        <v>21</v>
      </c>
      <c r="C6" s="285">
        <v>56569.629559999987</v>
      </c>
      <c r="D6" s="285">
        <v>57094.455739999998</v>
      </c>
      <c r="E6" s="285">
        <f>HLOOKUP(E$2,'Expense Input File'!$D$14:$L$21,3,FALSE)</f>
        <v>58098.645994000006</v>
      </c>
      <c r="F6" s="285">
        <f>HLOOKUP(F$2,'Expense Input File'!$D$14:$L$21,3,FALSE)</f>
        <v>59061.537682999995</v>
      </c>
      <c r="G6" s="285">
        <f>HLOOKUP(G$2,'Expense Input File'!$D$14:$L$21,3,FALSE)</f>
        <v>73816.910199999984</v>
      </c>
      <c r="H6" s="285">
        <f>HLOOKUP(H$2,'Expense Input File'!$D$14:$L$21,3,FALSE)</f>
        <v>77372.536950000009</v>
      </c>
      <c r="I6" s="285">
        <f>HLOOKUP(I$2,'Expense Input File'!$D$14:$L$21,3,FALSE)</f>
        <v>80792.517080000005</v>
      </c>
    </row>
    <row r="7" spans="1:9">
      <c r="B7" s="808" t="s">
        <v>286</v>
      </c>
      <c r="C7" s="285">
        <v>177560.31468000001</v>
      </c>
      <c r="D7" s="285">
        <v>179860.30659999995</v>
      </c>
      <c r="E7" s="285">
        <f>HLOOKUP(E$2,'Expense Input File'!$D$14:$L$21,4,FALSE)</f>
        <v>193858.08862600001</v>
      </c>
      <c r="F7" s="285">
        <f>HLOOKUP(F$2,'Expense Input File'!$D$14:$L$21,4,FALSE)</f>
        <v>199815.823378</v>
      </c>
      <c r="G7" s="285">
        <f>HLOOKUP(G$2,'Expense Input File'!$D$14:$L$21,4,FALSE)</f>
        <v>224667.20569000003</v>
      </c>
      <c r="H7" s="285">
        <f>HLOOKUP(H$2,'Expense Input File'!$D$14:$L$21,4,FALSE)</f>
        <v>239518.35303999999</v>
      </c>
      <c r="I7" s="285">
        <f>HLOOKUP(I$2,'Expense Input File'!$D$14:$L$21,4,FALSE)</f>
        <v>252997.98772000003</v>
      </c>
    </row>
    <row r="8" spans="1:9">
      <c r="B8" s="808" t="s">
        <v>76</v>
      </c>
      <c r="C8" s="285">
        <v>109596.63737083001</v>
      </c>
      <c r="D8" s="285">
        <v>110278.04732083</v>
      </c>
      <c r="E8" s="285">
        <f>HLOOKUP(E$2,'Expense Input File'!$D$14:$L$94,6,FALSE)+HLOOKUP(E$2,'Expense Input File'!$D$14:$L$94,70,FALSE)</f>
        <v>120743.10041100001</v>
      </c>
      <c r="F8" s="285">
        <f>HLOOKUP(F$2,'Expense Input File'!$D$14:$L$94,6,FALSE)+HLOOKUP(F$2,'Expense Input File'!$D$14:$L$94,70,FALSE)</f>
        <v>120745.54496599997</v>
      </c>
      <c r="G8" s="285">
        <f>+'Expense Input File'!J91+'Expense Input File'!J$94</f>
        <v>146541.11820729065</v>
      </c>
      <c r="H8" s="285">
        <f>+'Expense Input File'!K91+'Expense Input File'!K$94</f>
        <v>146179.45513593568</v>
      </c>
      <c r="I8" s="285">
        <f>+'Expense Input File'!L91+'Expense Input File'!L$94</f>
        <v>146179.45513593568</v>
      </c>
    </row>
    <row r="9" spans="1:9">
      <c r="B9" s="808" t="s">
        <v>77</v>
      </c>
      <c r="C9" s="285">
        <v>103195.49569999998</v>
      </c>
      <c r="D9" s="285">
        <v>104681.43609999996</v>
      </c>
      <c r="E9" s="285">
        <f>HLOOKUP(E$2,'Expense Input File'!$D$14:$L$21,7,FALSE)</f>
        <v>136027.42654299998</v>
      </c>
      <c r="F9" s="285">
        <f>HLOOKUP(F$2,'Expense Input File'!$D$14:$L$21,7,FALSE)</f>
        <v>139935.24331299998</v>
      </c>
      <c r="G9" s="285">
        <f>HLOOKUP(G$2,'Expense Input File'!$D$14:$L$21,7,FALSE)</f>
        <v>202978.68783000001</v>
      </c>
      <c r="H9" s="285">
        <f>HLOOKUP(H$2,'Expense Input File'!$D$14:$L$21,7,FALSE)</f>
        <v>219690.97290999998</v>
      </c>
      <c r="I9" s="285">
        <f>HLOOKUP(I$2,'Expense Input File'!$D$14:$L$21,7,FALSE)</f>
        <v>230576.46523000003</v>
      </c>
    </row>
    <row r="10" spans="1:9">
      <c r="B10" s="808" t="s">
        <v>78</v>
      </c>
      <c r="C10" s="285">
        <v>0</v>
      </c>
      <c r="D10" s="285">
        <v>0</v>
      </c>
      <c r="E10" s="285">
        <f>HLOOKUP(E$2,'Expense Input File'!$D$14:$L$21,8,FALSE)</f>
        <v>0</v>
      </c>
      <c r="F10" s="285">
        <f>HLOOKUP(F$2,'Expense Input File'!$D$14:$L$21,8,FALSE)</f>
        <v>0</v>
      </c>
      <c r="G10" s="285">
        <f>HLOOKUP(G$2,'Expense Input File'!$D$14:$L$21,8,FALSE)</f>
        <v>0</v>
      </c>
      <c r="H10" s="285">
        <f>HLOOKUP(H$2,'Expense Input File'!$D$14:$L$21,8,FALSE)</f>
        <v>0</v>
      </c>
      <c r="I10" s="285">
        <f>HLOOKUP(I$2,'Expense Input File'!$D$14:$L$21,8,FALSE)</f>
        <v>0</v>
      </c>
    </row>
    <row r="11" spans="1:9">
      <c r="B11" s="808" t="s">
        <v>79</v>
      </c>
      <c r="C11" s="285">
        <v>345302.92000340577</v>
      </c>
      <c r="D11" s="285">
        <v>349991.26402862382</v>
      </c>
      <c r="E11" s="285">
        <v>359415.71375599998</v>
      </c>
      <c r="F11" s="285">
        <v>352643.04538600001</v>
      </c>
      <c r="G11" s="285">
        <v>377162.04538600001</v>
      </c>
      <c r="H11" s="285">
        <v>403792.33492134156</v>
      </c>
      <c r="I11" s="285">
        <v>431924.68447867892</v>
      </c>
    </row>
    <row r="12" spans="1:9">
      <c r="A12" s="780" t="s">
        <v>80</v>
      </c>
      <c r="C12" s="285">
        <v>960935.52465423581</v>
      </c>
      <c r="D12" s="285">
        <v>973500.03597945382</v>
      </c>
      <c r="E12" s="285">
        <f>SUM(E5:E10,E11)</f>
        <v>1062789.7880879999</v>
      </c>
      <c r="F12" s="285">
        <f>SUM(F5:F10,F11)</f>
        <v>1073688.0619369999</v>
      </c>
      <c r="G12" s="285">
        <f>SUM(G5:G10,G11)</f>
        <v>1245565.5512332907</v>
      </c>
      <c r="H12" s="285">
        <f t="shared" ref="H12:I12" si="0">SUM(H5:H10,H11)</f>
        <v>1324321.0260472773</v>
      </c>
      <c r="I12" s="285">
        <f t="shared" si="0"/>
        <v>1396247.6646546146</v>
      </c>
    </row>
    <row r="13" spans="1:9">
      <c r="A13" s="780"/>
      <c r="C13" s="285"/>
      <c r="D13" s="285"/>
      <c r="E13" s="285"/>
      <c r="F13" s="285"/>
      <c r="G13" s="285"/>
      <c r="H13" s="285"/>
      <c r="I13" s="285"/>
    </row>
    <row r="15" spans="1:9">
      <c r="A15" s="781" t="s">
        <v>81</v>
      </c>
      <c r="C15" s="285"/>
      <c r="D15" s="285"/>
      <c r="E15" s="285"/>
      <c r="F15" s="285"/>
      <c r="G15" s="285"/>
      <c r="H15" s="285"/>
      <c r="I15" s="285"/>
    </row>
    <row r="16" spans="1:9">
      <c r="B16" s="782" t="s">
        <v>81</v>
      </c>
    </row>
    <row r="17" spans="1:9">
      <c r="B17" s="783" t="s">
        <v>82</v>
      </c>
      <c r="C17" s="285">
        <v>0</v>
      </c>
      <c r="D17" s="285">
        <v>0</v>
      </c>
      <c r="E17" s="285">
        <f>HLOOKUP(E$2,'Repayment Inputs'!$D$2:$J$44,4,FALSE)</f>
        <v>0</v>
      </c>
      <c r="F17" s="285">
        <f>HLOOKUP(F$2,'Repayment Inputs'!$D$2:$J$44,4,FALSE)</f>
        <v>0</v>
      </c>
      <c r="G17" s="285">
        <f>HLOOKUP(G$2,'Repayment Inputs'!$D$2:$J$44,4,FALSE)</f>
        <v>0</v>
      </c>
      <c r="H17" s="285">
        <f>HLOOKUP(H$2,'Repayment Inputs'!$D$2:$J$44,4,FALSE)</f>
        <v>0</v>
      </c>
      <c r="I17" s="285">
        <f>HLOOKUP(I$2,'Repayment Inputs'!$D$2:$J$44,4,FALSE)</f>
        <v>0</v>
      </c>
    </row>
    <row r="18" spans="1:9">
      <c r="B18" s="783" t="s">
        <v>83</v>
      </c>
      <c r="C18" s="285">
        <v>-18968</v>
      </c>
      <c r="D18" s="285">
        <v>-18968</v>
      </c>
      <c r="E18" s="285">
        <v>-18968</v>
      </c>
      <c r="F18" s="285">
        <v>-18968</v>
      </c>
      <c r="G18" s="285">
        <v>-18968</v>
      </c>
      <c r="H18" s="285">
        <v>-18968</v>
      </c>
      <c r="I18" s="285">
        <v>-18968</v>
      </c>
    </row>
    <row r="19" spans="1:9">
      <c r="B19" s="783" t="s">
        <v>84</v>
      </c>
      <c r="C19" s="285">
        <v>108188.94100000001</v>
      </c>
      <c r="D19" s="285">
        <v>115052.02100000001</v>
      </c>
      <c r="E19" s="285">
        <f>HLOOKUP(E$2,'Repayment Inputs'!$D$2:$J$44,5,FALSE)</f>
        <v>130463</v>
      </c>
      <c r="F19" s="285">
        <f>HLOOKUP(F$2,'Repayment Inputs'!$D$2:$J$44,5,FALSE)</f>
        <v>171274</v>
      </c>
      <c r="G19" s="285">
        <f>HLOOKUP(G$2,'Repayment Inputs'!$D$2:$J$44,11,FALSE)</f>
        <v>212946</v>
      </c>
      <c r="H19" s="285">
        <f>HLOOKUP(H$2,'Repayment Inputs'!$D$2:$J$44,11,FALSE)</f>
        <v>258415</v>
      </c>
      <c r="I19" s="285">
        <f>HLOOKUP(I$2,'Repayment Inputs'!$D$2:$J$44,11,FALSE)</f>
        <v>305688</v>
      </c>
    </row>
    <row r="20" spans="1:9">
      <c r="B20" s="783" t="s">
        <v>85</v>
      </c>
      <c r="C20" s="285">
        <v>558.55197882977905</v>
      </c>
      <c r="D20" s="285">
        <v>558.55197882977905</v>
      </c>
      <c r="E20" s="285">
        <v>558.55197882977905</v>
      </c>
      <c r="F20" s="285">
        <v>558.55197882977905</v>
      </c>
      <c r="G20" s="285">
        <v>558.55197882977905</v>
      </c>
      <c r="H20" s="285">
        <v>558.55197882977905</v>
      </c>
      <c r="I20" s="285">
        <v>527.31600660755669</v>
      </c>
    </row>
    <row r="21" spans="1:9">
      <c r="B21" s="783" t="s">
        <v>86</v>
      </c>
      <c r="C21" s="285">
        <v>2959.694</v>
      </c>
      <c r="D21" s="285">
        <v>1927.3420000000001</v>
      </c>
      <c r="E21" s="285">
        <f>HLOOKUP(E$2,'Repayment Inputs'!$D$2:$J$44,14,FALSE)</f>
        <v>843.24800000000005</v>
      </c>
      <c r="F21" s="285">
        <f>HLOOKUP(F$2,'Repayment Inputs'!$D$2:$J$44,14,FALSE)</f>
        <v>0</v>
      </c>
      <c r="G21" s="285">
        <f>HLOOKUP(G$2,'Repayment Inputs'!$D$2:$J$44,14,FALSE)</f>
        <v>0</v>
      </c>
      <c r="H21" s="285">
        <f>HLOOKUP(H$2,'Repayment Inputs'!$D$2:$J$44,14,FALSE)</f>
        <v>0</v>
      </c>
      <c r="I21" s="285">
        <f>HLOOKUP(I$2,'Repayment Inputs'!$D$2:$J$44,14,FALSE)</f>
        <v>0</v>
      </c>
    </row>
    <row r="22" spans="1:9">
      <c r="B22" s="783" t="s">
        <v>484</v>
      </c>
      <c r="C22" s="285">
        <v>67410.732764960689</v>
      </c>
      <c r="D22" s="285">
        <v>65176.244244571259</v>
      </c>
      <c r="E22" s="285">
        <f>HLOOKUP(E$2,'Repayment Inputs'!$D$2:$J$44,23,FALSE)-HLOOKUP(E$2,'Repayment Inputs'!$D$2:$J$44,14,FALSE)</f>
        <v>64239.408583700693</v>
      </c>
      <c r="F22" s="285">
        <f>HLOOKUP(F$2,'Repayment Inputs'!$D$2:$J$44,23,FALSE)-HLOOKUP(F$2,'Repayment Inputs'!$D$2:$J$44,14,FALSE)</f>
        <v>67730.053444851481</v>
      </c>
      <c r="G22" s="285">
        <f>HLOOKUP(G$2,'Repayment Inputs'!$D$2:$J$44,23,FALSE)-HLOOKUP(G$2,'Repayment Inputs'!$D$2:$J$44,14,FALSE)</f>
        <v>65494.619933985647</v>
      </c>
      <c r="H22" s="285">
        <f>HLOOKUP(H$2,'Repayment Inputs'!$D$2:$J$44,23,FALSE)-HLOOKUP(H$2,'Repayment Inputs'!$D$2:$J$44,14,FALSE)</f>
        <v>62384.971003317638</v>
      </c>
      <c r="I22" s="285">
        <f>HLOOKUP(I$2,'Repayment Inputs'!$D$2:$J$44,23,FALSE)-HLOOKUP(I$2,'Repayment Inputs'!$D$2:$J$44,14,FALSE)</f>
        <v>57781.581766043317</v>
      </c>
    </row>
    <row r="23" spans="1:9">
      <c r="B23" s="730" t="s">
        <v>120</v>
      </c>
      <c r="C23" s="285">
        <v>0</v>
      </c>
      <c r="D23" s="285">
        <v>0</v>
      </c>
      <c r="E23" s="285">
        <f>HLOOKUP(E$2,'Repayment Inputs'!$D$2:$J$44,6,FALSE)+HLOOKUP(E$2,'Repayment Inputs'!$D$2:$J$44,7,FALSE)</f>
        <v>0</v>
      </c>
      <c r="F23" s="285">
        <f>HLOOKUP(F$2,'Repayment Inputs'!$D$2:$J$44,6,FALSE)+HLOOKUP(F$2,'Repayment Inputs'!$D$2:$J$44,7,FALSE)</f>
        <v>5055</v>
      </c>
      <c r="G23" s="285">
        <f>HLOOKUP(G$2,'Repayment Inputs'!$D$2:$J$44,6,FALSE)+HLOOKUP(G$2,'Repayment Inputs'!$D$2:$J$44,7,FALSE)</f>
        <v>10</v>
      </c>
      <c r="H23" s="285">
        <f>HLOOKUP(H$2,'Repayment Inputs'!$D$2:$J$44,6,FALSE)+HLOOKUP(H$2,'Repayment Inputs'!$D$2:$J$44,7,FALSE)</f>
        <v>15</v>
      </c>
      <c r="I23" s="285">
        <f>HLOOKUP(I$2,'Repayment Inputs'!$D$2:$J$44,6,FALSE)+HLOOKUP(I$2,'Repayment Inputs'!$D$2:$J$44,7,FALSE)</f>
        <v>31</v>
      </c>
    </row>
    <row r="24" spans="1:9">
      <c r="B24" s="784" t="s">
        <v>87</v>
      </c>
      <c r="C24" s="285">
        <v>-15937.166675230948</v>
      </c>
      <c r="D24" s="285">
        <v>-16016.208382180472</v>
      </c>
      <c r="E24" s="285">
        <f>-HLOOKUP(E$2,AFUDC!$I$13:$AJ$38,26,FALSE)</f>
        <v>-15100.440427803152</v>
      </c>
      <c r="F24" s="285">
        <f>-HLOOKUP(F$2,AFUDC!$I$13:$AJ$38,26,FALSE)</f>
        <v>-13934.14639728439</v>
      </c>
      <c r="G24" s="285">
        <v>-45332.84559106332</v>
      </c>
      <c r="H24" s="285">
        <v>-50507.921185540341</v>
      </c>
      <c r="I24" s="285">
        <v>-52940.498909664151</v>
      </c>
    </row>
    <row r="25" spans="1:9">
      <c r="B25" s="784" t="s">
        <v>88</v>
      </c>
      <c r="C25" s="285">
        <v>-2002.4389893993607</v>
      </c>
      <c r="D25" s="285">
        <v>-1809.9139477692374</v>
      </c>
      <c r="E25" s="285" t="e">
        <f>-HLOOKUP(E2,'Interest Income'!$A$2:$D$22,21,FALSE)</f>
        <v>#N/A</v>
      </c>
      <c r="F25" s="285" t="e">
        <f>-HLOOKUP(F2,'Interest Income'!$A$2:$D$22,21,FALSE)</f>
        <v>#N/A</v>
      </c>
      <c r="G25" s="285">
        <f>-HLOOKUP(G2,'Interest Income'!$A$2:$D$22,21,FALSE)</f>
        <v>-10979.39096875</v>
      </c>
      <c r="H25" s="285">
        <f>-HLOOKUP(H2,'Interest Income'!$A$2:$D$22,21,FALSE)</f>
        <v>-10739.094214062499</v>
      </c>
      <c r="I25" s="285">
        <f>-HLOOKUP(I2,'Interest Income'!$A$2:$D$22,21,FALSE)</f>
        <v>-11063.095692187499</v>
      </c>
    </row>
    <row r="26" spans="1:9">
      <c r="A26" s="785" t="s">
        <v>89</v>
      </c>
      <c r="C26" s="759">
        <v>142210.31407916016</v>
      </c>
      <c r="D26" s="759">
        <v>145920.03689345132</v>
      </c>
      <c r="E26" s="759" t="e">
        <f>SUM(E17:E25)</f>
        <v>#N/A</v>
      </c>
      <c r="F26" s="759" t="e">
        <f t="shared" ref="F26" si="1">SUM(F17:F25)</f>
        <v>#N/A</v>
      </c>
      <c r="G26" s="759">
        <f t="shared" ref="G26:I26" si="2">SUM(G17:G25)</f>
        <v>203728.9353530021</v>
      </c>
      <c r="H26" s="759">
        <f t="shared" si="2"/>
        <v>241158.50758254458</v>
      </c>
      <c r="I26" s="759">
        <f t="shared" si="2"/>
        <v>281056.30317079922</v>
      </c>
    </row>
    <row r="27" spans="1:9">
      <c r="C27" s="285"/>
      <c r="D27" s="285"/>
      <c r="E27" s="285"/>
      <c r="F27" s="285"/>
      <c r="G27" s="285"/>
      <c r="H27" s="285"/>
      <c r="I27" s="285"/>
    </row>
    <row r="28" spans="1:9">
      <c r="A28" s="786" t="s">
        <v>90</v>
      </c>
      <c r="C28" s="759">
        <v>1103145.838733396</v>
      </c>
      <c r="D28" s="759">
        <v>1119420.0728729051</v>
      </c>
      <c r="E28" s="759" t="e">
        <f>SUM(E12,E26)</f>
        <v>#N/A</v>
      </c>
      <c r="F28" s="759" t="e">
        <f t="shared" ref="F28" si="3">SUM(F12,F26)</f>
        <v>#N/A</v>
      </c>
      <c r="G28" s="759">
        <f t="shared" ref="G28:I28" si="4">SUM(G12,G26)</f>
        <v>1449294.4865862927</v>
      </c>
      <c r="H28" s="759">
        <f t="shared" si="4"/>
        <v>1565479.5336298218</v>
      </c>
      <c r="I28" s="759">
        <f t="shared" si="4"/>
        <v>1677303.9678254139</v>
      </c>
    </row>
    <row r="30" spans="1:9">
      <c r="A30" s="787" t="s">
        <v>480</v>
      </c>
      <c r="C30" s="759">
        <v>40022.921330264944</v>
      </c>
      <c r="D30" s="759">
        <v>40012.201427157735</v>
      </c>
      <c r="E30" s="759">
        <f>E40</f>
        <v>-104980.14384542074</v>
      </c>
      <c r="F30" s="759">
        <f t="shared" ref="F30" si="5">F40</f>
        <v>39478.546242763405</v>
      </c>
      <c r="G30" s="759">
        <f>G40</f>
        <v>177401.26576231886</v>
      </c>
      <c r="H30" s="759">
        <f t="shared" ref="H30:I30" si="6">H40</f>
        <v>150226.47815209487</v>
      </c>
      <c r="I30" s="759">
        <f t="shared" si="6"/>
        <v>172910.78815747867</v>
      </c>
    </row>
    <row r="31" spans="1:9">
      <c r="A31" s="787" t="s">
        <v>92</v>
      </c>
      <c r="C31" s="285">
        <v>0</v>
      </c>
      <c r="D31" s="285">
        <v>0</v>
      </c>
      <c r="E31" s="809">
        <f>E68</f>
        <v>0</v>
      </c>
      <c r="F31" s="733">
        <f t="shared" ref="F31" si="7">F68</f>
        <v>0</v>
      </c>
      <c r="G31" s="809">
        <f t="shared" ref="G31:I31" si="8">G68</f>
        <v>0</v>
      </c>
      <c r="H31" s="733">
        <f t="shared" si="8"/>
        <v>0</v>
      </c>
      <c r="I31" s="285">
        <f t="shared" si="8"/>
        <v>0</v>
      </c>
    </row>
    <row r="32" spans="1:9">
      <c r="A32" s="787" t="s">
        <v>93</v>
      </c>
      <c r="C32" s="759">
        <v>40022.921330264944</v>
      </c>
      <c r="D32" s="759">
        <v>40012.201427157735</v>
      </c>
      <c r="E32" s="759">
        <f>SUM(E30:E31)</f>
        <v>-104980.14384542074</v>
      </c>
      <c r="F32" s="759">
        <f t="shared" ref="F32" si="9">SUM(F30:F31)</f>
        <v>39478.546242763405</v>
      </c>
      <c r="G32" s="759">
        <f t="shared" ref="G32:I32" si="10">SUM(G30:G31)</f>
        <v>177401.26576231886</v>
      </c>
      <c r="H32" s="759">
        <f t="shared" si="10"/>
        <v>150226.47815209487</v>
      </c>
      <c r="I32" s="759">
        <f t="shared" si="10"/>
        <v>172910.78815747867</v>
      </c>
    </row>
    <row r="33" spans="1:9">
      <c r="A33" s="787"/>
    </row>
    <row r="34" spans="1:9">
      <c r="A34" s="788" t="s">
        <v>94</v>
      </c>
      <c r="C34" s="759">
        <v>1143168.760063661</v>
      </c>
      <c r="D34" s="759">
        <v>1159432.2743000628</v>
      </c>
      <c r="E34" s="759" t="e">
        <f>SUM(E28,E32)</f>
        <v>#N/A</v>
      </c>
      <c r="F34" s="759" t="e">
        <f>SUM(F28,F32)</f>
        <v>#N/A</v>
      </c>
      <c r="G34" s="759">
        <f t="shared" ref="G34:I34" si="11">SUM(G28,G32)</f>
        <v>1626695.7523486116</v>
      </c>
      <c r="H34" s="759">
        <f t="shared" si="11"/>
        <v>1715706.0117819167</v>
      </c>
      <c r="I34" s="759">
        <f t="shared" si="11"/>
        <v>1850214.7559828926</v>
      </c>
    </row>
    <row r="35" spans="1:9">
      <c r="C35" s="789"/>
      <c r="D35" s="789"/>
      <c r="E35" s="789"/>
      <c r="F35" s="789"/>
      <c r="G35" s="789"/>
      <c r="H35" s="789"/>
      <c r="I35" s="789"/>
    </row>
    <row r="36" spans="1:9" ht="20.25" customHeight="1">
      <c r="A36" s="769"/>
      <c r="B36" s="769"/>
      <c r="C36" s="731"/>
      <c r="D36" s="731"/>
      <c r="E36" s="731"/>
      <c r="F36" s="731"/>
      <c r="G36" s="731"/>
      <c r="H36" s="731"/>
      <c r="I36" s="731"/>
    </row>
    <row r="37" spans="1:9" ht="15">
      <c r="A37" s="935" t="s">
        <v>121</v>
      </c>
      <c r="B37" s="935"/>
      <c r="C37" s="732">
        <f>+C2</f>
        <v>2022</v>
      </c>
      <c r="D37" s="732">
        <f>+D2</f>
        <v>2023</v>
      </c>
      <c r="E37" s="732">
        <f>+E2</f>
        <v>2024</v>
      </c>
      <c r="F37" s="732">
        <f>+F2</f>
        <v>2025</v>
      </c>
      <c r="G37" s="732">
        <f t="shared" ref="G37:I37" si="12">G2</f>
        <v>2026</v>
      </c>
      <c r="H37" s="732">
        <f t="shared" si="12"/>
        <v>2027</v>
      </c>
      <c r="I37" s="732">
        <f t="shared" si="12"/>
        <v>2028</v>
      </c>
    </row>
    <row r="39" spans="1:9">
      <c r="A39" s="790" t="s">
        <v>122</v>
      </c>
      <c r="B39" s="810"/>
      <c r="C39" s="285"/>
      <c r="D39" s="285"/>
      <c r="E39" s="285"/>
      <c r="F39" s="285"/>
      <c r="G39" s="285"/>
      <c r="H39" s="285"/>
      <c r="I39" s="285"/>
    </row>
    <row r="40" spans="1:9">
      <c r="A40" s="790"/>
      <c r="B40" s="811" t="s">
        <v>185</v>
      </c>
      <c r="C40" s="285">
        <v>40022.921330264944</v>
      </c>
      <c r="D40" s="285">
        <v>40012.201427157735</v>
      </c>
      <c r="E40" s="285">
        <f>SUM(E41:E42)</f>
        <v>-104980.14384542074</v>
      </c>
      <c r="F40" s="285">
        <f t="shared" ref="F40" si="13">SUM(F41:F42)</f>
        <v>39478.546242763405</v>
      </c>
      <c r="G40" s="285">
        <f>SUM(G41:G42)</f>
        <v>177401.26576231886</v>
      </c>
      <c r="H40" s="285">
        <f t="shared" ref="H40:I40" si="14">SUM(H41:H42)</f>
        <v>150226.47815209487</v>
      </c>
      <c r="I40" s="285">
        <f t="shared" si="14"/>
        <v>172910.78815747867</v>
      </c>
    </row>
    <row r="41" spans="1:9">
      <c r="B41" s="812" t="s">
        <v>613</v>
      </c>
      <c r="C41" s="285">
        <v>22.921330264944118</v>
      </c>
      <c r="D41" s="285">
        <v>12.201427157735452</v>
      </c>
      <c r="E41" s="285">
        <f>IF(E71&lt;0,-E71,(IF((OR(E42&gt;E71,E42=E71)),-E71,(IF((AND(E42&gt;0,E42&lt;E71)),-(E71-E42),0)))))</f>
        <v>-159980.14384542074</v>
      </c>
      <c r="F41" s="285">
        <f t="shared" ref="F41" si="15">IF(F71&lt;0,-F71,(IF((OR(F42&gt;F71,F42=F71)),-F71,(IF((AND(F42&gt;0,F42&lt;F71)),-(F71-F42),0)))))</f>
        <v>-15521.453757236595</v>
      </c>
      <c r="G41" s="285">
        <f>IF(G71&lt;0,-G71,(IF((OR(G42&gt;G71,G42=G71)),-G71,(IF((AND(G42&gt;0,G42&lt;G71)),-(G71-G42),0)))))</f>
        <v>52401.265762318857</v>
      </c>
      <c r="H41" s="285">
        <f t="shared" ref="H41:I41" si="16">IF(H71&lt;0,-H71,(IF((OR(H42&gt;H71,H42=H71)),-H71,(IF((AND(H42&gt;0,H42&lt;H71)),-(H71-H42),0)))))</f>
        <v>25226.478152094875</v>
      </c>
      <c r="I41" s="285">
        <f t="shared" si="16"/>
        <v>47910.788157478673</v>
      </c>
    </row>
    <row r="42" spans="1:9">
      <c r="B42" s="812" t="s">
        <v>472</v>
      </c>
      <c r="C42" s="285">
        <v>40000</v>
      </c>
      <c r="D42" s="285">
        <v>40000</v>
      </c>
      <c r="E42" s="285">
        <f>HLOOKUP(E$37,'Capital Input File'!$D$12:$AE$14,3,FALSE)</f>
        <v>55000</v>
      </c>
      <c r="F42" s="285">
        <f>HLOOKUP(F$37,'Capital Input File'!$D$12:$AE$14,3,FALSE)</f>
        <v>55000</v>
      </c>
      <c r="G42" s="285">
        <v>125000</v>
      </c>
      <c r="H42" s="285">
        <v>125000</v>
      </c>
      <c r="I42" s="285">
        <v>125000</v>
      </c>
    </row>
    <row r="43" spans="1:9">
      <c r="B43" s="812" t="s">
        <v>471</v>
      </c>
      <c r="C43" s="285">
        <v>0</v>
      </c>
      <c r="D43" s="285">
        <v>0</v>
      </c>
      <c r="E43" s="285">
        <f>HLOOKUP(E37,'Capital Input File'!$D$12:$AE$14,2,FALSE)</f>
        <v>0</v>
      </c>
      <c r="F43" s="285">
        <f>HLOOKUP(F37,'Capital Input File'!$D$12:$AE$14,2,FALSE)</f>
        <v>0</v>
      </c>
      <c r="G43" s="285">
        <f>HLOOKUP(G37,'Capital Input File'!$D$12:$AE$14,2,FALSE)</f>
        <v>0</v>
      </c>
      <c r="H43" s="285">
        <f>HLOOKUP(H37,'Capital Input File'!$D$12:$AE$14,2,FALSE)</f>
        <v>0</v>
      </c>
      <c r="I43" s="285">
        <f>HLOOKUP(I37,'Capital Input File'!$D$12:$AE$14,2,FALSE)</f>
        <v>0</v>
      </c>
    </row>
    <row r="44" spans="1:9">
      <c r="B44" s="811" t="s">
        <v>149</v>
      </c>
      <c r="F44" s="759"/>
      <c r="H44" s="759"/>
      <c r="I44" s="759"/>
    </row>
    <row r="45" spans="1:9">
      <c r="B45" s="791" t="s">
        <v>79</v>
      </c>
      <c r="C45" s="759">
        <v>345302.92000340577</v>
      </c>
      <c r="D45" s="759">
        <v>349991.26402862382</v>
      </c>
      <c r="E45" s="759">
        <f>E11</f>
        <v>359415.71375599998</v>
      </c>
      <c r="F45" s="759">
        <f t="shared" ref="F45" si="17">F11</f>
        <v>352643.04538600001</v>
      </c>
      <c r="G45" s="759">
        <f>G11</f>
        <v>377162.04538600001</v>
      </c>
      <c r="H45" s="759">
        <f t="shared" ref="H45:I45" si="18">H11</f>
        <v>403792.33492134156</v>
      </c>
      <c r="I45" s="759">
        <f t="shared" si="18"/>
        <v>431924.68447867892</v>
      </c>
    </row>
    <row r="46" spans="1:9">
      <c r="B46" s="791" t="s">
        <v>490</v>
      </c>
      <c r="C46" s="759">
        <v>4303.9977649606953</v>
      </c>
      <c r="D46" s="759">
        <v>3736.3402445712541</v>
      </c>
      <c r="E46" s="759">
        <f>((HLOOKUP(E$2,'Repayment Inputs'!$C$2:$J$44,19,FALSE))+(HLOOKUP(E$2,'Repayment Inputs'!$C$2:$J$44,20,FALSE)))-(HLOOKUP(E$2,AFUDC!$I$13:$AJ$38,25,FALSE))</f>
        <v>7558.7265837006889</v>
      </c>
      <c r="F46" s="759">
        <f>((HLOOKUP(F$2,'Repayment Inputs'!$C$2:$J$44,19,FALSE))+(HLOOKUP(F$2,'Repayment Inputs'!$C$2:$J$44,20,FALSE)))-(HLOOKUP(F$2,AFUDC!$I$13:$AJ$38,25,FALSE))</f>
        <v>7521.7604448514721</v>
      </c>
      <c r="G46" s="759">
        <f>'Repayment Inputs'!H20</f>
        <v>8634.4849339856464</v>
      </c>
      <c r="H46" s="759">
        <f>'Repayment Inputs'!I20</f>
        <v>8526.2600033176459</v>
      </c>
      <c r="I46" s="759">
        <f>'Repayment Inputs'!J20</f>
        <v>7054.0287660433196</v>
      </c>
    </row>
    <row r="47" spans="1:9">
      <c r="B47" s="791" t="s">
        <v>85</v>
      </c>
      <c r="C47" s="285">
        <v>558.55197882977905</v>
      </c>
      <c r="D47" s="285">
        <v>558.55197882977905</v>
      </c>
      <c r="E47" s="285">
        <f t="shared" ref="E47:F47" si="19">E20</f>
        <v>558.55197882977905</v>
      </c>
      <c r="F47" s="285">
        <f t="shared" si="19"/>
        <v>558.55197882977905</v>
      </c>
      <c r="G47" s="285">
        <f t="shared" ref="G47:I47" si="20">G20</f>
        <v>558.55197882977905</v>
      </c>
      <c r="H47" s="285">
        <f t="shared" si="20"/>
        <v>558.55197882977905</v>
      </c>
      <c r="I47" s="285">
        <f t="shared" si="20"/>
        <v>527.31600660755669</v>
      </c>
    </row>
    <row r="48" spans="1:9">
      <c r="B48" s="791" t="s">
        <v>83</v>
      </c>
      <c r="C48" s="759">
        <v>-18968</v>
      </c>
      <c r="D48" s="759">
        <v>-18968</v>
      </c>
      <c r="E48" s="759">
        <f t="shared" ref="E48:I48" si="21">E18</f>
        <v>-18968</v>
      </c>
      <c r="F48" s="759">
        <f t="shared" si="21"/>
        <v>-18968</v>
      </c>
      <c r="G48" s="759">
        <f t="shared" si="21"/>
        <v>-18968</v>
      </c>
      <c r="H48" s="759">
        <f t="shared" si="21"/>
        <v>-18968</v>
      </c>
      <c r="I48" s="759">
        <f t="shared" si="21"/>
        <v>-18968</v>
      </c>
    </row>
    <row r="49" spans="1:9">
      <c r="B49" s="792" t="s">
        <v>152</v>
      </c>
    </row>
    <row r="50" spans="1:9">
      <c r="B50" s="792" t="s">
        <v>485</v>
      </c>
      <c r="C50" s="285">
        <v>-27441.719077461217</v>
      </c>
      <c r="D50" s="285">
        <v>-26071.088679182656</v>
      </c>
      <c r="E50" s="285">
        <f>-(HLOOKUP(E$2,'Repayment Inputs'!$C$2:$J$43,38,FALSE)+HLOOKUP(E$2,'Repayment Inputs'!$C$2:$J$43,39,FALSE))</f>
        <v>-19849.163473109675</v>
      </c>
      <c r="F50" s="285">
        <f>-(HLOOKUP(F$2,'Repayment Inputs'!$C$2:$J$43,38,FALSE)+HLOOKUP(F$2,'Repayment Inputs'!$C$2:$J$43,39,FALSE))</f>
        <v>-24376.50005244475</v>
      </c>
      <c r="G50" s="285">
        <f>-'Repayment Inputs'!H39</f>
        <v>-48108.044061134184</v>
      </c>
      <c r="H50" s="285">
        <f>-'Repayment Inputs'!I39</f>
        <v>-70528.665055584017</v>
      </c>
      <c r="I50" s="285">
        <f>-'Repayment Inputs'!J39</f>
        <v>-69806.194408808558</v>
      </c>
    </row>
    <row r="51" spans="1:9">
      <c r="B51" s="793" t="s">
        <v>153</v>
      </c>
      <c r="C51" s="285">
        <v>-3507</v>
      </c>
      <c r="D51" s="285">
        <v>-3507</v>
      </c>
      <c r="E51" s="285">
        <v>-3778</v>
      </c>
      <c r="F51" s="285">
        <v>-3568</v>
      </c>
      <c r="G51" s="285">
        <v>-3568</v>
      </c>
      <c r="H51" s="285">
        <v>-3568</v>
      </c>
      <c r="I51" s="285">
        <v>-3568</v>
      </c>
    </row>
    <row r="52" spans="1:9">
      <c r="B52" s="794" t="s">
        <v>154</v>
      </c>
      <c r="C52" s="285">
        <v>340271.67199999996</v>
      </c>
      <c r="D52" s="285">
        <v>345752.26899999997</v>
      </c>
      <c r="E52" s="285">
        <f>SUM(E41:E51)</f>
        <v>219957.68500000003</v>
      </c>
      <c r="F52" s="285">
        <f t="shared" ref="F52" si="22">SUM(F41:F51)</f>
        <v>353289.40399999992</v>
      </c>
      <c r="G52" s="285">
        <f>SUM(G41:G51)</f>
        <v>493112.30400000018</v>
      </c>
      <c r="H52" s="285">
        <f t="shared" ref="H52:I52" si="23">SUM(H41:H51)</f>
        <v>470038.95999999985</v>
      </c>
      <c r="I52" s="285">
        <f t="shared" si="23"/>
        <v>520074.62300000008</v>
      </c>
    </row>
    <row r="53" spans="1:9">
      <c r="D53" s="746" t="s">
        <v>633</v>
      </c>
    </row>
    <row r="54" spans="1:9" ht="15">
      <c r="A54" s="795" t="s">
        <v>157</v>
      </c>
      <c r="B54" s="769"/>
    </row>
    <row r="55" spans="1:9">
      <c r="B55" s="796" t="s">
        <v>158</v>
      </c>
    </row>
    <row r="56" spans="1:9">
      <c r="B56" s="797" t="s">
        <v>159</v>
      </c>
      <c r="C56" s="285">
        <v>-470869.62978661113</v>
      </c>
      <c r="D56" s="285">
        <v>-489393.03966053645</v>
      </c>
      <c r="E56" s="285">
        <v>-777000</v>
      </c>
      <c r="F56" s="285">
        <v>-1001800</v>
      </c>
      <c r="G56" s="285">
        <v>-1365200</v>
      </c>
      <c r="H56" s="285">
        <v>-1539400</v>
      </c>
      <c r="I56" s="285">
        <v>-1439400</v>
      </c>
    </row>
    <row r="57" spans="1:9">
      <c r="B57" s="798" t="s">
        <v>160</v>
      </c>
      <c r="C57" s="285">
        <v>-470869.62978661113</v>
      </c>
      <c r="D57" s="285">
        <v>-489393.03966053645</v>
      </c>
      <c r="E57" s="285">
        <f>E56</f>
        <v>-777000</v>
      </c>
      <c r="F57" s="285">
        <f t="shared" ref="F57" si="24">F56</f>
        <v>-1001800</v>
      </c>
      <c r="G57" s="285">
        <f>G56</f>
        <v>-1365200</v>
      </c>
      <c r="H57" s="285">
        <f t="shared" ref="H57:I57" si="25">H56</f>
        <v>-1539400</v>
      </c>
      <c r="I57" s="285">
        <f t="shared" si="25"/>
        <v>-1439400</v>
      </c>
    </row>
    <row r="58" spans="1:9" ht="15">
      <c r="B58" s="769"/>
    </row>
    <row r="59" spans="1:9">
      <c r="A59" s="799" t="s">
        <v>161</v>
      </c>
    </row>
    <row r="60" spans="1:9">
      <c r="B60" s="800" t="s">
        <v>162</v>
      </c>
      <c r="C60" s="285">
        <v>430869.62978661113</v>
      </c>
      <c r="D60" s="285">
        <v>449393.03966053645</v>
      </c>
      <c r="E60" s="285">
        <v>722000</v>
      </c>
      <c r="F60" s="285">
        <v>946800</v>
      </c>
      <c r="G60" s="285">
        <v>1240200</v>
      </c>
      <c r="H60" s="285">
        <v>1414400</v>
      </c>
      <c r="I60" s="285">
        <v>1314400</v>
      </c>
    </row>
    <row r="61" spans="1:9">
      <c r="B61" s="800" t="s">
        <v>163</v>
      </c>
      <c r="C61" s="285">
        <v>-21595.974999999999</v>
      </c>
      <c r="D61" s="285">
        <v>-22678.366999999998</v>
      </c>
      <c r="E61" s="285">
        <f>-HLOOKUP(E$2,'Repayment Inputs'!$C$2:$J$44,33,FALSE)</f>
        <v>-17640.059000000001</v>
      </c>
      <c r="F61" s="285">
        <f>-HLOOKUP(F$2,'Repayment Inputs'!$C$2:$J$44,33,FALSE)</f>
        <v>0</v>
      </c>
      <c r="G61" s="285">
        <f>-HLOOKUP(G$2,'Repayment Inputs'!$C$2:$J$44,33,FALSE)</f>
        <v>0</v>
      </c>
      <c r="H61" s="285">
        <f>-HLOOKUP(H$2,'Repayment Inputs'!$C$2:$J$44,33,FALSE)</f>
        <v>0</v>
      </c>
      <c r="I61" s="285">
        <f>-HLOOKUP(I$2,'Repayment Inputs'!$C$2:$J$44,33,FALSE)</f>
        <v>0</v>
      </c>
    </row>
    <row r="62" spans="1:9">
      <c r="B62" s="800" t="s">
        <v>164</v>
      </c>
      <c r="C62" s="285">
        <v>-74478.697</v>
      </c>
      <c r="D62" s="285">
        <v>-73694.902000000002</v>
      </c>
      <c r="E62" s="285">
        <f>HLOOKUP(E$2,'Repayment Inputs'!$C$2:$J$44,43,FALSE)</f>
        <v>-92317.626000000004</v>
      </c>
      <c r="F62" s="285">
        <f>HLOOKUP(F$2,'Repayment Inputs'!$C$2:$J$44,43,FALSE)</f>
        <v>-110851.40399999999</v>
      </c>
      <c r="G62" s="285">
        <f>HLOOKUP(G$2,'Repayment Inputs'!$C$2:$J$44,43,FALSE)</f>
        <v>-111497.228</v>
      </c>
      <c r="H62" s="285">
        <f>HLOOKUP(H$2,'Repayment Inputs'!$C$2:$J$44,43,FALSE)</f>
        <v>-88994.811000000002</v>
      </c>
      <c r="I62" s="285">
        <f>HLOOKUP(I$2,'Repayment Inputs'!$C$2:$J$44,43,FALSE)</f>
        <v>-78175.566000000006</v>
      </c>
    </row>
    <row r="63" spans="1:9">
      <c r="B63" s="800" t="s">
        <v>165</v>
      </c>
      <c r="C63" s="285">
        <v>-204197</v>
      </c>
      <c r="D63" s="285">
        <v>-209379</v>
      </c>
      <c r="E63" s="285">
        <f>-HLOOKUP(E$2,'Repayment Inputs'!$C$2:$J$44,28,FALSE)</f>
        <v>0</v>
      </c>
      <c r="F63" s="285">
        <f>-HLOOKUP(F$2,'Repayment Inputs'!$C$2:$J$44,28,FALSE)</f>
        <v>-187438</v>
      </c>
      <c r="G63" s="285">
        <f>-HLOOKUP(G$2,'Repayment Inputs'!$C$2:$J$44,28,FALSE)</f>
        <v>-256615.076</v>
      </c>
      <c r="H63" s="285">
        <f>-HLOOKUP(H$2,'Repayment Inputs'!$C$2:$J$44,28,FALSE)</f>
        <v>-256044.149</v>
      </c>
      <c r="I63" s="285">
        <f>-HLOOKUP(I$2,'Repayment Inputs'!$C$2:$J$44,28,FALSE)</f>
        <v>-316899.05699999997</v>
      </c>
    </row>
    <row r="64" spans="1:9">
      <c r="B64" s="800" t="s">
        <v>166</v>
      </c>
      <c r="C64" s="285">
        <v>0</v>
      </c>
      <c r="D64" s="285">
        <v>0</v>
      </c>
      <c r="E64" s="285">
        <f>-HLOOKUP(E$2,'Repayment Inputs'!$C$2:$J$44,27,FALSE)</f>
        <v>0</v>
      </c>
      <c r="F64" s="285">
        <f>-HLOOKUP(F$2,'Repayment Inputs'!$C$2:$J$44,27,FALSE)</f>
        <v>0</v>
      </c>
      <c r="G64" s="285">
        <f>-HLOOKUP(G$2,'Repayment Inputs'!$C$2:$J$44,27,FALSE)</f>
        <v>0</v>
      </c>
      <c r="H64" s="285">
        <f>-HLOOKUP(H$2,'Repayment Inputs'!$C$2:$J$44,27,FALSE)</f>
        <v>0</v>
      </c>
      <c r="I64" s="285">
        <f>-HLOOKUP(I$2,'Repayment Inputs'!$C$2:$J$44,27,FALSE)</f>
        <v>0</v>
      </c>
    </row>
    <row r="65" spans="1:9">
      <c r="B65" s="801" t="s">
        <v>634</v>
      </c>
      <c r="C65" s="759">
        <v>130597.95778661116</v>
      </c>
      <c r="D65" s="759">
        <v>143640.77066053648</v>
      </c>
      <c r="E65" s="759">
        <f>SUM(E60:E64)</f>
        <v>612042.31499999994</v>
      </c>
      <c r="F65" s="759">
        <f>SUM(F60:F64)</f>
        <v>648510.59600000002</v>
      </c>
      <c r="G65" s="759">
        <f>SUM(G60:G64)</f>
        <v>872087.69599999988</v>
      </c>
      <c r="H65" s="759">
        <f>SUM(H60:H64)</f>
        <v>1069361.04</v>
      </c>
      <c r="I65" s="759">
        <f t="shared" ref="I65" si="26">SUM(I60:I64)</f>
        <v>919325.37699999986</v>
      </c>
    </row>
    <row r="66" spans="1:9">
      <c r="G66" s="759"/>
      <c r="H66" s="759"/>
      <c r="I66" s="759"/>
    </row>
    <row r="67" spans="1:9">
      <c r="A67" s="802" t="s">
        <v>167</v>
      </c>
      <c r="C67" s="285">
        <v>0</v>
      </c>
      <c r="D67" s="285">
        <v>0</v>
      </c>
      <c r="E67" s="285">
        <f>E65+E57+E52</f>
        <v>54999.999999999971</v>
      </c>
      <c r="F67" s="285">
        <f t="shared" ref="F67" si="27">F65+F57+F52</f>
        <v>0</v>
      </c>
      <c r="G67" s="285">
        <f>G65+G57+G52</f>
        <v>0</v>
      </c>
      <c r="H67" s="285">
        <f t="shared" ref="H67:I67" si="28">H65+H57+H52</f>
        <v>0</v>
      </c>
      <c r="I67" s="285">
        <f t="shared" si="28"/>
        <v>0</v>
      </c>
    </row>
    <row r="68" spans="1:9">
      <c r="A68" s="803" t="s">
        <v>92</v>
      </c>
      <c r="C68" s="285">
        <v>0</v>
      </c>
      <c r="D68" s="285">
        <v>0</v>
      </c>
      <c r="E68" s="285">
        <v>0</v>
      </c>
      <c r="F68" s="285">
        <v>0</v>
      </c>
      <c r="G68" s="285">
        <v>0</v>
      </c>
      <c r="H68" s="285">
        <v>0</v>
      </c>
      <c r="I68" s="285">
        <v>0</v>
      </c>
    </row>
    <row r="69" spans="1:9">
      <c r="A69" s="804" t="s">
        <v>168</v>
      </c>
      <c r="C69" s="285">
        <v>0</v>
      </c>
      <c r="D69" s="285">
        <v>0</v>
      </c>
      <c r="E69" s="285">
        <f>SUM(E67:E68)</f>
        <v>54999.999999999971</v>
      </c>
      <c r="F69" s="285">
        <f t="shared" ref="F69" si="29">SUM(F67:F68)</f>
        <v>0</v>
      </c>
      <c r="G69" s="285">
        <f t="shared" ref="G69:I69" si="30">SUM(G67:G68)</f>
        <v>0</v>
      </c>
      <c r="H69" s="285">
        <f t="shared" si="30"/>
        <v>0</v>
      </c>
      <c r="I69" s="285">
        <f t="shared" si="30"/>
        <v>0</v>
      </c>
    </row>
    <row r="71" spans="1:9">
      <c r="A71" s="804" t="s">
        <v>659</v>
      </c>
      <c r="C71" s="733">
        <v>-22.921330264944118</v>
      </c>
      <c r="D71" s="734">
        <v>-12.201427157735452</v>
      </c>
      <c r="E71" s="285">
        <f>SUM(E42:E51)+E57+E65</f>
        <v>214980.14384542074</v>
      </c>
      <c r="F71" s="285">
        <f t="shared" ref="F71:I71" si="31">SUM(F42:F51)+F57+F65</f>
        <v>15521.453757236595</v>
      </c>
      <c r="G71" s="813">
        <f t="shared" si="31"/>
        <v>-52401.265762318857</v>
      </c>
      <c r="H71" s="285">
        <f t="shared" si="31"/>
        <v>-25226.478152094875</v>
      </c>
      <c r="I71" s="285">
        <f t="shared" si="31"/>
        <v>-47910.788157478673</v>
      </c>
    </row>
    <row r="72" spans="1:9">
      <c r="A72" s="804"/>
      <c r="C72" s="759"/>
      <c r="D72" s="759"/>
      <c r="E72" s="759"/>
      <c r="F72" s="759"/>
      <c r="G72" s="759"/>
      <c r="H72" s="759"/>
      <c r="I72" s="759"/>
    </row>
    <row r="73" spans="1:9">
      <c r="C73" s="759"/>
      <c r="D73" s="759"/>
      <c r="E73" s="759"/>
      <c r="F73" s="759"/>
      <c r="G73" s="759"/>
      <c r="H73" s="759"/>
      <c r="I73" s="759"/>
    </row>
    <row r="78" spans="1:9">
      <c r="D78" s="814"/>
      <c r="E78" s="285"/>
      <c r="F78" s="285"/>
    </row>
    <row r="79" spans="1:9">
      <c r="D79" s="814"/>
      <c r="E79" s="759"/>
      <c r="F79" s="759"/>
    </row>
    <row r="83" spans="5:6">
      <c r="E83" s="285"/>
      <c r="F83" s="285"/>
    </row>
    <row r="84" spans="5:6">
      <c r="E84" s="759"/>
      <c r="F84" s="759"/>
    </row>
  </sheetData>
  <customSheetViews>
    <customSheetView guid="{2226E858-00AE-4A92-8CF6-5B54D2FA62D4}" showPageBreaks="1" fitToPage="1">
      <selection activeCell="E8" sqref="E8"/>
      <pageMargins left="0.25" right="0.25" top="0.75" bottom="0.75" header="0.3" footer="0.3"/>
      <pageSetup scale="19" orientation="portrait" r:id="rId1"/>
    </customSheetView>
  </customSheetViews>
  <mergeCells count="5">
    <mergeCell ref="A37:B37"/>
    <mergeCell ref="A2:B2"/>
    <mergeCell ref="G1:I1"/>
    <mergeCell ref="C1:D1"/>
    <mergeCell ref="E1:F1"/>
  </mergeCells>
  <conditionalFormatting sqref="C71:I71">
    <cfRule type="cellIs" dxfId="0" priority="3" operator="greaterThan">
      <formula>0</formula>
    </cfRule>
    <cfRule type="expression" priority="4">
      <formula>"&gt;0"</formula>
    </cfRule>
  </conditionalFormatting>
  <pageMargins left="0.25" right="0.25" top="0.75" bottom="0.75" header="0.3" footer="0.3"/>
  <pageSetup scale="16" orientation="portrait" r:id="rId2"/>
  <legacyDrawing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10">
    <tabColor rgb="FF92D050"/>
    <pageSetUpPr autoPageBreaks="0"/>
  </sheetPr>
  <dimension ref="A1:AM47"/>
  <sheetViews>
    <sheetView topLeftCell="A11" workbookViewId="0">
      <selection activeCell="B3" sqref="B3"/>
    </sheetView>
  </sheetViews>
  <sheetFormatPr defaultColWidth="9.140625" defaultRowHeight="14.25" outlineLevelRow="1" outlineLevelCol="1"/>
  <cols>
    <col min="1" max="1" width="20.42578125" style="262" customWidth="1"/>
    <col min="2" max="2" width="35.140625" style="262" customWidth="1"/>
    <col min="3" max="3" width="11.7109375" style="262" hidden="1" customWidth="1" outlineLevel="1"/>
    <col min="4" max="4" width="14.7109375" style="262" hidden="1" customWidth="1" outlineLevel="1"/>
    <col min="5" max="5" width="11.140625" style="262" hidden="1" customWidth="1" outlineLevel="1"/>
    <col min="6" max="6" width="11.7109375" style="262" hidden="1" customWidth="1" outlineLevel="1"/>
    <col min="7" max="12" width="13.28515625" style="262" hidden="1" customWidth="1" outlineLevel="1"/>
    <col min="13" max="13" width="25" style="262" bestFit="1" customWidth="1" collapsed="1"/>
    <col min="14" max="15" width="12.28515625" style="262" bestFit="1" customWidth="1"/>
    <col min="16" max="16" width="11.28515625" style="262" customWidth="1"/>
    <col min="17" max="23" width="12.28515625" style="262" bestFit="1" customWidth="1"/>
    <col min="24" max="24" width="13.140625" style="262" bestFit="1" customWidth="1"/>
    <col min="25" max="25" width="12.28515625" style="262" bestFit="1" customWidth="1"/>
    <col min="26" max="27" width="13.140625" style="262" bestFit="1" customWidth="1"/>
    <col min="28" max="36" width="15.42578125" style="262" bestFit="1" customWidth="1"/>
    <col min="37" max="37" width="12.28515625" style="262" bestFit="1" customWidth="1"/>
    <col min="38" max="38" width="12.7109375" style="263" bestFit="1" customWidth="1"/>
    <col min="39" max="39" width="9.85546875" style="262" bestFit="1" customWidth="1"/>
    <col min="40" max="16384" width="9.140625" style="262"/>
  </cols>
  <sheetData>
    <row r="1" spans="1:38" ht="18">
      <c r="A1" s="940" t="s">
        <v>123</v>
      </c>
      <c r="B1" s="941"/>
      <c r="C1" s="941"/>
      <c r="D1" s="941"/>
      <c r="E1" s="941"/>
      <c r="F1" s="941"/>
      <c r="G1" s="941"/>
      <c r="H1" s="941"/>
      <c r="I1" s="941"/>
      <c r="J1" s="941"/>
      <c r="K1" s="941"/>
      <c r="L1" s="941"/>
      <c r="M1" s="941"/>
      <c r="N1" s="941"/>
      <c r="O1" s="942"/>
    </row>
    <row r="2" spans="1:38" ht="15" outlineLevel="1">
      <c r="A2" s="433"/>
      <c r="B2" s="439"/>
      <c r="C2" s="440"/>
      <c r="D2" s="441"/>
      <c r="E2" s="442"/>
      <c r="F2" s="442"/>
      <c r="G2" s="442"/>
      <c r="M2" s="443" t="s">
        <v>397</v>
      </c>
      <c r="P2" s="442"/>
      <c r="Q2" s="443" t="s">
        <v>399</v>
      </c>
      <c r="R2" s="442"/>
    </row>
    <row r="3" spans="1:38" ht="15.75" outlineLevel="1" thickBot="1">
      <c r="A3" s="433" t="s">
        <v>73</v>
      </c>
      <c r="B3" s="723"/>
      <c r="C3" s="442"/>
      <c r="D3" s="289" t="s">
        <v>369</v>
      </c>
      <c r="E3" s="442"/>
      <c r="G3" s="442"/>
      <c r="M3" s="451" t="s">
        <v>65</v>
      </c>
      <c r="N3" s="452" t="s">
        <v>190</v>
      </c>
      <c r="O3" s="442"/>
      <c r="P3" s="442"/>
      <c r="Q3" s="453" t="s">
        <v>388</v>
      </c>
      <c r="R3" s="442"/>
    </row>
    <row r="4" spans="1:38" ht="15.75" outlineLevel="1" thickBot="1">
      <c r="A4" s="433" t="s">
        <v>131</v>
      </c>
      <c r="B4" s="444">
        <v>0.03</v>
      </c>
      <c r="C4" s="442"/>
      <c r="D4" s="290" t="s">
        <v>363</v>
      </c>
      <c r="E4" s="442"/>
      <c r="G4" s="442"/>
      <c r="M4" s="449"/>
      <c r="N4" s="702" t="s">
        <v>738</v>
      </c>
      <c r="O4" s="442"/>
      <c r="P4" s="442"/>
      <c r="Q4" s="721" t="s">
        <v>401</v>
      </c>
      <c r="R4" s="442"/>
      <c r="W4" s="725"/>
    </row>
    <row r="5" spans="1:38" ht="15" customHeight="1" outlineLevel="1" thickBot="1">
      <c r="A5" s="434" t="s">
        <v>70</v>
      </c>
      <c r="B5" s="445">
        <v>0.65</v>
      </c>
      <c r="C5" s="442"/>
      <c r="D5" s="414" t="s">
        <v>362</v>
      </c>
      <c r="E5" s="442"/>
      <c r="G5" s="442"/>
      <c r="M5" s="449"/>
      <c r="N5" s="704" t="s">
        <v>739</v>
      </c>
      <c r="O5" s="442"/>
      <c r="P5" s="442"/>
      <c r="Q5" s="443" t="s">
        <v>397</v>
      </c>
      <c r="W5" s="725"/>
    </row>
    <row r="6" spans="1:38" ht="15" outlineLevel="1">
      <c r="A6" s="434"/>
      <c r="B6" s="437"/>
      <c r="C6" s="446"/>
      <c r="D6" s="415" t="s">
        <v>181</v>
      </c>
      <c r="E6" s="442"/>
      <c r="G6" s="442"/>
      <c r="M6" s="449"/>
      <c r="N6"/>
      <c r="O6" s="442"/>
      <c r="P6" s="442"/>
      <c r="Q6" s="451" t="s">
        <v>65</v>
      </c>
      <c r="R6" s="452" t="s">
        <v>190</v>
      </c>
      <c r="U6" s="466"/>
      <c r="V6" s="466"/>
      <c r="W6" s="466"/>
      <c r="X6" s="466"/>
      <c r="Y6" s="466"/>
      <c r="Z6" s="466"/>
      <c r="AA6" s="466"/>
      <c r="AB6" s="466"/>
      <c r="AC6" s="466"/>
      <c r="AD6" s="466"/>
      <c r="AE6" s="466"/>
    </row>
    <row r="7" spans="1:38" ht="15" outlineLevel="1">
      <c r="A7" s="434"/>
      <c r="B7" s="437"/>
      <c r="C7" s="442"/>
      <c r="D7" s="442"/>
      <c r="E7" s="442"/>
      <c r="F7" s="442"/>
      <c r="G7" s="442"/>
      <c r="M7" s="449"/>
      <c r="N7" s="705" t="s">
        <v>678</v>
      </c>
      <c r="O7" s="442"/>
      <c r="P7" s="442"/>
      <c r="Q7" s="440"/>
      <c r="R7" s="454"/>
    </row>
    <row r="8" spans="1:38" ht="15" outlineLevel="1">
      <c r="A8" s="433"/>
      <c r="B8" s="263"/>
      <c r="C8" s="447"/>
      <c r="D8" s="447"/>
      <c r="E8" s="447"/>
      <c r="F8" s="442"/>
      <c r="G8" s="442"/>
      <c r="M8" s="450"/>
      <c r="N8" t="s">
        <v>368</v>
      </c>
      <c r="O8" s="442"/>
      <c r="P8" s="442"/>
      <c r="Q8" s="440"/>
      <c r="R8" s="455" t="s">
        <v>516</v>
      </c>
      <c r="T8" s="727"/>
    </row>
    <row r="9" spans="1:38" ht="15" customHeight="1" outlineLevel="1">
      <c r="A9" s="434" t="s">
        <v>100</v>
      </c>
      <c r="B9" s="700" t="s">
        <v>734</v>
      </c>
      <c r="C9" s="436"/>
      <c r="D9" s="436"/>
      <c r="E9" s="448"/>
      <c r="F9" s="448"/>
      <c r="G9" s="448"/>
      <c r="M9" s="449"/>
      <c r="N9" s="456" t="s">
        <v>515</v>
      </c>
      <c r="O9" s="448"/>
      <c r="P9" s="442"/>
      <c r="Q9" s="441" t="s">
        <v>510</v>
      </c>
      <c r="R9" s="442"/>
    </row>
    <row r="10" spans="1:38" ht="15" outlineLevel="1">
      <c r="A10" s="434"/>
      <c r="B10" s="436"/>
      <c r="C10" s="436"/>
      <c r="D10" s="448"/>
      <c r="E10" s="448"/>
      <c r="F10" s="448"/>
      <c r="G10" s="448"/>
      <c r="M10" s="449"/>
      <c r="N10" s="448"/>
      <c r="O10" s="448"/>
      <c r="P10" s="448"/>
      <c r="Q10" s="457" t="s">
        <v>511</v>
      </c>
      <c r="R10" s="448"/>
    </row>
    <row r="11" spans="1:38" ht="22.5" customHeight="1" outlineLevel="1">
      <c r="A11" s="434" t="s">
        <v>13</v>
      </c>
      <c r="B11" s="437">
        <v>2024</v>
      </c>
      <c r="C11" s="437"/>
      <c r="D11" s="943" t="s">
        <v>555</v>
      </c>
      <c r="E11" s="943"/>
      <c r="F11" s="943"/>
      <c r="G11" s="943"/>
      <c r="H11" s="943"/>
      <c r="I11" s="943"/>
      <c r="J11" s="943"/>
      <c r="K11" s="943"/>
      <c r="L11" s="943"/>
      <c r="M11" s="943"/>
      <c r="N11" s="943"/>
      <c r="O11" s="944"/>
      <c r="R11" s="508" t="s">
        <v>699</v>
      </c>
    </row>
    <row r="12" spans="1:38" ht="22.5" customHeight="1" outlineLevel="1">
      <c r="A12" s="435" t="s">
        <v>14</v>
      </c>
      <c r="B12" s="438">
        <v>2032</v>
      </c>
      <c r="C12" s="438"/>
      <c r="D12" s="945"/>
      <c r="E12" s="945"/>
      <c r="F12" s="945"/>
      <c r="G12" s="945"/>
      <c r="H12" s="945"/>
      <c r="I12" s="945"/>
      <c r="J12" s="945"/>
      <c r="K12" s="945"/>
      <c r="L12" s="945"/>
      <c r="M12" s="945"/>
      <c r="N12" s="945"/>
      <c r="O12" s="946"/>
    </row>
    <row r="13" spans="1:38">
      <c r="C13" s="262">
        <v>2011</v>
      </c>
      <c r="D13" s="262">
        <v>2012</v>
      </c>
      <c r="E13" s="262">
        <v>2013</v>
      </c>
      <c r="F13" s="262">
        <v>2014</v>
      </c>
      <c r="G13" s="262">
        <v>2015</v>
      </c>
      <c r="H13" s="262">
        <v>2016</v>
      </c>
      <c r="I13" s="262">
        <v>2017</v>
      </c>
      <c r="J13" s="262">
        <v>2018</v>
      </c>
      <c r="K13" s="262">
        <v>2019</v>
      </c>
      <c r="L13" s="262">
        <v>2020</v>
      </c>
      <c r="M13" s="262">
        <v>2021</v>
      </c>
      <c r="N13" s="262">
        <v>2022</v>
      </c>
      <c r="O13" s="262">
        <v>2023</v>
      </c>
      <c r="P13" s="262">
        <v>2024</v>
      </c>
      <c r="Q13" s="262">
        <v>2025</v>
      </c>
      <c r="R13" s="262">
        <v>2026</v>
      </c>
      <c r="S13" s="262">
        <v>2027</v>
      </c>
      <c r="T13" s="262">
        <v>2028</v>
      </c>
      <c r="U13" s="262">
        <v>2029</v>
      </c>
      <c r="V13" s="262">
        <v>2030</v>
      </c>
      <c r="W13" s="262">
        <v>2031</v>
      </c>
      <c r="X13" s="262">
        <v>2032</v>
      </c>
      <c r="Y13" s="262">
        <v>2033</v>
      </c>
      <c r="Z13" s="262">
        <v>2034</v>
      </c>
      <c r="AA13" s="262">
        <v>2035</v>
      </c>
      <c r="AB13" s="262">
        <v>2036</v>
      </c>
      <c r="AC13" s="262">
        <v>2037</v>
      </c>
      <c r="AD13" s="262">
        <v>2038</v>
      </c>
      <c r="AE13" s="262">
        <v>2039</v>
      </c>
      <c r="AF13" s="262">
        <v>2040</v>
      </c>
      <c r="AG13" s="262">
        <v>2041</v>
      </c>
      <c r="AH13" s="262">
        <v>2042</v>
      </c>
      <c r="AI13" s="262">
        <v>2043</v>
      </c>
      <c r="AJ13" s="262">
        <v>2044</v>
      </c>
      <c r="AK13" s="262">
        <v>2045</v>
      </c>
    </row>
    <row r="14" spans="1:38" ht="15">
      <c r="A14" s="443"/>
      <c r="B14" s="443"/>
      <c r="C14" s="937" t="s">
        <v>382</v>
      </c>
      <c r="D14" s="937"/>
      <c r="E14" s="937"/>
      <c r="F14" s="937"/>
      <c r="G14" s="937"/>
      <c r="H14" s="937"/>
      <c r="I14" s="937"/>
      <c r="J14" s="937" t="s">
        <v>334</v>
      </c>
      <c r="K14" s="937"/>
      <c r="L14" s="937" t="s">
        <v>335</v>
      </c>
      <c r="M14" s="937"/>
      <c r="N14" s="937" t="s">
        <v>336</v>
      </c>
      <c r="O14" s="937"/>
      <c r="P14" s="937" t="s">
        <v>383</v>
      </c>
      <c r="Q14" s="937"/>
      <c r="R14" s="937"/>
      <c r="S14" s="937"/>
      <c r="T14" s="937"/>
      <c r="U14" s="937"/>
      <c r="V14" s="937"/>
      <c r="W14" s="937"/>
      <c r="X14" s="937"/>
      <c r="Y14" s="937" t="s">
        <v>479</v>
      </c>
      <c r="Z14" s="937"/>
      <c r="AA14" s="937"/>
      <c r="AB14" s="937"/>
      <c r="AC14" s="937"/>
      <c r="AD14" s="937"/>
      <c r="AE14" s="937"/>
      <c r="AF14" s="937"/>
      <c r="AG14" s="937"/>
      <c r="AH14" s="937"/>
      <c r="AI14" s="937"/>
      <c r="AJ14" s="937"/>
      <c r="AK14" s="937"/>
    </row>
    <row r="15" spans="1:38" ht="15">
      <c r="A15" s="501"/>
      <c r="B15" s="458"/>
      <c r="C15" s="458">
        <v>2011</v>
      </c>
      <c r="D15" s="458">
        <f>C15+1</f>
        <v>2012</v>
      </c>
      <c r="E15" s="458">
        <f t="shared" ref="E15:AK15" si="0">D15+1</f>
        <v>2013</v>
      </c>
      <c r="F15" s="458">
        <f t="shared" si="0"/>
        <v>2014</v>
      </c>
      <c r="G15" s="458">
        <f t="shared" si="0"/>
        <v>2015</v>
      </c>
      <c r="H15" s="458">
        <f t="shared" si="0"/>
        <v>2016</v>
      </c>
      <c r="I15" s="458">
        <f t="shared" si="0"/>
        <v>2017</v>
      </c>
      <c r="J15" s="458">
        <f>I15+1</f>
        <v>2018</v>
      </c>
      <c r="K15" s="458">
        <f t="shared" si="0"/>
        <v>2019</v>
      </c>
      <c r="L15" s="458">
        <f t="shared" si="0"/>
        <v>2020</v>
      </c>
      <c r="M15" s="458">
        <f t="shared" si="0"/>
        <v>2021</v>
      </c>
      <c r="N15" s="458">
        <f t="shared" si="0"/>
        <v>2022</v>
      </c>
      <c r="O15" s="458">
        <f t="shared" si="0"/>
        <v>2023</v>
      </c>
      <c r="P15" s="458">
        <f t="shared" si="0"/>
        <v>2024</v>
      </c>
      <c r="Q15" s="458">
        <f t="shared" si="0"/>
        <v>2025</v>
      </c>
      <c r="R15" s="458">
        <f t="shared" si="0"/>
        <v>2026</v>
      </c>
      <c r="S15" s="458">
        <f t="shared" si="0"/>
        <v>2027</v>
      </c>
      <c r="T15" s="458">
        <f t="shared" si="0"/>
        <v>2028</v>
      </c>
      <c r="U15" s="458">
        <f t="shared" si="0"/>
        <v>2029</v>
      </c>
      <c r="V15" s="458">
        <f t="shared" si="0"/>
        <v>2030</v>
      </c>
      <c r="W15" s="458">
        <f t="shared" si="0"/>
        <v>2031</v>
      </c>
      <c r="X15" s="458">
        <f t="shared" si="0"/>
        <v>2032</v>
      </c>
      <c r="Y15" s="458">
        <f t="shared" si="0"/>
        <v>2033</v>
      </c>
      <c r="Z15" s="458">
        <f t="shared" si="0"/>
        <v>2034</v>
      </c>
      <c r="AA15" s="458">
        <f t="shared" si="0"/>
        <v>2035</v>
      </c>
      <c r="AB15" s="458">
        <f t="shared" si="0"/>
        <v>2036</v>
      </c>
      <c r="AC15" s="458">
        <f t="shared" si="0"/>
        <v>2037</v>
      </c>
      <c r="AD15" s="458">
        <f t="shared" si="0"/>
        <v>2038</v>
      </c>
      <c r="AE15" s="458">
        <f t="shared" si="0"/>
        <v>2039</v>
      </c>
      <c r="AF15" s="458">
        <f t="shared" si="0"/>
        <v>2040</v>
      </c>
      <c r="AG15" s="458">
        <f t="shared" si="0"/>
        <v>2041</v>
      </c>
      <c r="AH15" s="458">
        <f t="shared" si="0"/>
        <v>2042</v>
      </c>
      <c r="AI15" s="458">
        <f t="shared" si="0"/>
        <v>2043</v>
      </c>
      <c r="AJ15" s="458">
        <f t="shared" si="0"/>
        <v>2044</v>
      </c>
      <c r="AK15" s="458">
        <f t="shared" si="0"/>
        <v>2045</v>
      </c>
      <c r="AL15" s="502"/>
    </row>
    <row r="16" spans="1:38" ht="15">
      <c r="A16" s="443" t="s">
        <v>124</v>
      </c>
      <c r="F16" s="460"/>
      <c r="I16" s="461"/>
      <c r="J16" s="503"/>
      <c r="K16" s="503"/>
      <c r="L16" s="503"/>
      <c r="M16" s="503"/>
      <c r="N16" s="947" t="s">
        <v>626</v>
      </c>
      <c r="O16" s="947"/>
      <c r="P16" s="947"/>
      <c r="Q16" s="947"/>
      <c r="R16" s="947"/>
      <c r="S16" s="947"/>
      <c r="T16" s="947"/>
      <c r="U16" s="947"/>
      <c r="V16" s="947"/>
      <c r="W16" s="947"/>
      <c r="X16" s="947"/>
      <c r="Y16" s="462">
        <f>VLOOKUP(Y$15,'GI Forecast(Tbls 4 &amp; 9)'!$B$51:$M$95,5,0)</f>
        <v>2.3076460973977881E-2</v>
      </c>
      <c r="Z16" s="462">
        <f>VLOOKUP(Z$15,'GI Forecast(Tbls 4 &amp; 9)'!$B$51:$M$95,5,0)</f>
        <v>2.2917152977660071E-2</v>
      </c>
      <c r="AA16" s="462">
        <f>VLOOKUP(AA$15,'GI Forecast(Tbls 4 &amp; 9)'!$B$51:$M$95,5,0)</f>
        <v>2.2406324197609118E-2</v>
      </c>
      <c r="AB16" s="462">
        <f>VLOOKUP(AB$15,'GI Forecast(Tbls 4 &amp; 9)'!$B$51:$M$95,5,0)</f>
        <v>2.1846855571652543E-2</v>
      </c>
      <c r="AC16" s="462">
        <f>VLOOKUP(AC$15,'GI Forecast(Tbls 4 &amp; 9)'!$B$51:$M$95,5,0)</f>
        <v>2.1418040273141946E-2</v>
      </c>
      <c r="AD16" s="462">
        <f>VLOOKUP(AD$15,'GI Forecast(Tbls 4 &amp; 9)'!$B$51:$M$95,5,0)</f>
        <v>2.1253626110516535E-2</v>
      </c>
      <c r="AE16" s="462">
        <f>VLOOKUP(AE$15,'GI Forecast(Tbls 4 &amp; 9)'!$B$51:$M$95,5,0)</f>
        <v>2.1018422109408623E-2</v>
      </c>
      <c r="AF16" s="462">
        <f>VLOOKUP(AF$15,'GI Forecast(Tbls 4 &amp; 9)'!$B$51:$M$95,5,0)</f>
        <v>2.1082762255665997E-2</v>
      </c>
      <c r="AG16" s="462">
        <f>VLOOKUP(AG$15,'GI Forecast(Tbls 4 &amp; 9)'!$B$51:$M$95,5,0)</f>
        <v>2.105857666207591E-2</v>
      </c>
      <c r="AH16" s="462">
        <f>VLOOKUP(AH$15,'GI Forecast(Tbls 4 &amp; 9)'!$B$51:$M$95,5,0)</f>
        <v>2.0913364942279182E-2</v>
      </c>
      <c r="AI16" s="462">
        <f>VLOOKUP(AI$15,'GI Forecast(Tbls 4 &amp; 9)'!$B$51:$M$95,5,0)</f>
        <v>2.0767072487729851E-2</v>
      </c>
      <c r="AJ16" s="462">
        <f>VLOOKUP(AJ$15,'GI Forecast(Tbls 4 &amp; 9)'!$B$51:$M$95,5,0)</f>
        <v>2.0785617289562148E-2</v>
      </c>
      <c r="AK16" s="462">
        <f>VLOOKUP(AK$15,'GI Forecast(Tbls 4 &amp; 9)'!$B$51:$M$95,5,0)</f>
        <v>2.0791212790438655E-2</v>
      </c>
    </row>
    <row r="17" spans="1:39">
      <c r="A17" s="504" t="s">
        <v>130</v>
      </c>
      <c r="F17" s="461"/>
      <c r="G17" s="463"/>
      <c r="H17" s="461"/>
      <c r="I17" s="464"/>
      <c r="J17" s="505"/>
      <c r="K17" s="506"/>
      <c r="L17" s="506"/>
      <c r="M17" s="506"/>
      <c r="N17" s="261">
        <f t="array" ref="N17">SUM(HLOOKUP(N15,'Capital Input File'!$C$28:$ZZ$44,{2,3,4,5,6},0))</f>
        <v>442589</v>
      </c>
      <c r="O17" s="261">
        <f t="array" ref="O17">SUM(HLOOKUP(O15,'Capital Input File'!$C$28:$ZZ$44,{2,3,4,5,6},0))</f>
        <v>494611.35149021464</v>
      </c>
      <c r="P17" s="261">
        <f t="array" ref="P17">SUM(HLOOKUP(P15,'Capital Input File'!$C$28:$ZZ$44,{2,3,4,5,6},0))</f>
        <v>547897.0872531943</v>
      </c>
      <c r="Q17" s="261">
        <f t="array" ref="Q17">SUM(HLOOKUP(Q15,'Capital Input File'!$C$28:$ZZ$44,{2,3,4,5,6},0))</f>
        <v>531745.31800429232</v>
      </c>
      <c r="R17" s="261">
        <f t="array" ref="R17">SUM(HLOOKUP(R15,'Capital Input File'!$C$28:$ZZ$44,{2,3,4,5,6},0))</f>
        <v>505380.59539485577</v>
      </c>
      <c r="S17" s="261">
        <f t="array" ref="S17">SUM(HLOOKUP(S15,'Capital Input File'!$C$28:$ZZ$44,{2,3,4,5,6},0))</f>
        <v>483314.20017491688</v>
      </c>
      <c r="T17" s="261">
        <f t="array" ref="T17">SUM(HLOOKUP(T15,'Capital Input File'!$C$28:$ZZ$44,{2,3,4,5,6},0))</f>
        <v>493268.64725926885</v>
      </c>
      <c r="U17" s="261">
        <f t="array" ref="U17">SUM(HLOOKUP(U15,'Capital Input File'!$C$28:$ZZ$44,{2,3,4,5,6},0))</f>
        <v>481208.17755669297</v>
      </c>
      <c r="V17" s="261">
        <f t="array" ref="V17">SUM(HLOOKUP(V15,'Capital Input File'!$C$28:$ZZ$44,{2,3,4,5,6},0))</f>
        <v>483666.23179260094</v>
      </c>
      <c r="W17" s="261">
        <f t="array" ref="W17">SUM(HLOOKUP(W15,'Capital Input File'!$C$28:$ZZ$44,{2,3,4,5,6},0))</f>
        <v>483311.41414706409</v>
      </c>
      <c r="X17" s="261">
        <f t="array" ref="X17">SUM(HLOOKUP(X15,'Capital Input File'!$C$28:$ZZ$44,{2,3,4,5,6},0))</f>
        <v>484682.34852692822</v>
      </c>
      <c r="Y17" s="261">
        <f t="array" ref="Y17">SUM(HLOOKUP(Y15,'Capital Input File'!$C$28:$ZZ$44,{2,3,4,5,6},0))</f>
        <v>488790.92919965228</v>
      </c>
      <c r="Z17" s="261">
        <f t="array" ref="Z17">SUM(HLOOKUP(Z15,'Capital Input File'!$C$28:$ZZ$44,{2,3,4,5,6},0))</f>
        <v>499992.62569821341</v>
      </c>
      <c r="AA17" s="261">
        <f t="array" ref="AA17">SUM(HLOOKUP(AA15,'Capital Input File'!$C$28:$ZZ$44,{2,3,4,5,6},0))</f>
        <v>511195.62256602145</v>
      </c>
      <c r="AB17" s="261">
        <f t="array" ref="AB17">SUM(HLOOKUP(AB15,'Capital Input File'!$C$28:$ZZ$44,{2,3,4,5,6},0))</f>
        <v>522363.63950108219</v>
      </c>
      <c r="AC17" s="261">
        <f t="array" ref="AC17">SUM(HLOOKUP(AC15,'Capital Input File'!$C$28:$ZZ$44,{2,3,4,5,6},0))</f>
        <v>533551.64496914134</v>
      </c>
      <c r="AD17" s="261">
        <f t="array" ref="AD17">SUM(HLOOKUP(AD15,'Capital Input File'!$C$28:$ZZ$44,{2,3,4,5,6},0))</f>
        <v>544891.55214196653</v>
      </c>
      <c r="AE17" s="261">
        <f t="array" ref="AE17">SUM(HLOOKUP(AE15,'Capital Input File'!$C$28:$ZZ$44,{2,3,4,5,6},0))</f>
        <v>556344.31278873724</v>
      </c>
      <c r="AF17" s="261">
        <f t="array" ref="AF17">SUM(HLOOKUP(AF15,'Capital Input File'!$C$28:$ZZ$44,{2,3,4,5,6},0))</f>
        <v>568073.58766755403</v>
      </c>
      <c r="AG17" s="261">
        <f t="array" ref="AG17">SUM(HLOOKUP(AG15,'Capital Input File'!$C$28:$ZZ$44,{2,3,4,5,6},0))</f>
        <v>580036.40886315168</v>
      </c>
      <c r="AH17" s="261">
        <f t="array" ref="AH17">SUM(HLOOKUP(AH15,'Capital Input File'!$C$28:$ZZ$44,{2,3,4,5,6},0))</f>
        <v>592166.92196151579</v>
      </c>
      <c r="AI17" s="261">
        <f t="array" ref="AI17">SUM(HLOOKUP(AI15,'Capital Input File'!$C$28:$ZZ$44,{2,3,4,5,6},0))</f>
        <v>604464.49535472656</v>
      </c>
      <c r="AJ17" s="261">
        <f t="array" ref="AJ17">SUM(HLOOKUP(AJ15,'Capital Input File'!$C$28:$ZZ$44,{2,3,4,5,6},0))</f>
        <v>617028.66302029812</v>
      </c>
      <c r="AK17" s="261">
        <f t="array" ref="AK17">SUM(HLOOKUP(AK15,'Capital Input File'!$C$28:$ZZ$44,{2,3,4,5,6},0))</f>
        <v>629857.43725095305</v>
      </c>
      <c r="AL17" s="268"/>
    </row>
    <row r="18" spans="1:39">
      <c r="A18" s="504" t="s">
        <v>125</v>
      </c>
      <c r="F18" s="461"/>
      <c r="G18" s="463"/>
      <c r="H18" s="461"/>
      <c r="I18" s="465"/>
      <c r="J18" s="505"/>
      <c r="K18" s="503"/>
      <c r="L18" s="503"/>
      <c r="M18" s="503"/>
      <c r="N18" s="265">
        <v>556213.56171000004</v>
      </c>
      <c r="O18" s="265">
        <v>489075.56969999999</v>
      </c>
      <c r="P18" s="265">
        <v>604926.54583000008</v>
      </c>
      <c r="Q18" s="265">
        <v>596190.35167</v>
      </c>
      <c r="R18" s="265">
        <v>568759.94886999996</v>
      </c>
      <c r="S18" s="265">
        <v>548333.13708000001</v>
      </c>
      <c r="T18" s="265">
        <v>559552.59413999994</v>
      </c>
      <c r="U18" s="265">
        <v>549007.64377999993</v>
      </c>
      <c r="V18" s="265">
        <v>552779.70786428801</v>
      </c>
      <c r="W18" s="265">
        <v>552093.80447738012</v>
      </c>
      <c r="X18" s="265">
        <v>553282.00180151348</v>
      </c>
      <c r="Y18" s="265">
        <v>557193.35422492248</v>
      </c>
      <c r="Z18" s="265">
        <v>621729.63665</v>
      </c>
      <c r="AA18" s="131">
        <f>Z18*(1+AA16)</f>
        <v>635660.31245204166</v>
      </c>
      <c r="AB18" s="131">
        <f t="shared" ref="AB18:AK18" si="1">AA18*(1+AB16)</f>
        <v>649547.49149081286</v>
      </c>
      <c r="AC18" s="131">
        <f t="shared" si="1"/>
        <v>663459.52582288138</v>
      </c>
      <c r="AD18" s="131">
        <f t="shared" si="1"/>
        <v>677560.44652418152</v>
      </c>
      <c r="AE18" s="131">
        <f t="shared" si="1"/>
        <v>691801.69799386605</v>
      </c>
      <c r="AF18" s="131">
        <f t="shared" si="1"/>
        <v>706386.78872073675</v>
      </c>
      <c r="AG18" s="131">
        <f t="shared" si="1"/>
        <v>721262.28906409</v>
      </c>
      <c r="AH18" s="131">
        <f t="shared" si="1"/>
        <v>736346.31053439097</v>
      </c>
      <c r="AI18" s="131">
        <f t="shared" si="1"/>
        <v>751638.06774133106</v>
      </c>
      <c r="AJ18" s="131">
        <f t="shared" si="1"/>
        <v>767261.32895766839</v>
      </c>
      <c r="AK18" s="131">
        <f t="shared" si="1"/>
        <v>783213.62251390202</v>
      </c>
    </row>
    <row r="19" spans="1:39">
      <c r="A19" s="504" t="s">
        <v>126</v>
      </c>
      <c r="F19" s="461"/>
      <c r="G19" s="466"/>
      <c r="H19" s="466"/>
      <c r="I19" s="466"/>
      <c r="J19" s="505"/>
      <c r="K19" s="505"/>
      <c r="L19" s="505"/>
      <c r="M19" s="505"/>
      <c r="N19" s="466">
        <f>M20</f>
        <v>738620.77268200007</v>
      </c>
      <c r="O19" s="466">
        <f t="shared" ref="O19:X19" si="2">N20</f>
        <v>624996.21097200003</v>
      </c>
      <c r="P19" s="466">
        <f t="shared" si="2"/>
        <v>630531.99276221474</v>
      </c>
      <c r="Q19" s="466">
        <f t="shared" si="2"/>
        <v>573502.53418540896</v>
      </c>
      <c r="R19" s="466">
        <f t="shared" si="2"/>
        <v>509057.50051970128</v>
      </c>
      <c r="S19" s="466">
        <f t="shared" si="2"/>
        <v>445678.14704455709</v>
      </c>
      <c r="T19" s="466">
        <f t="shared" si="2"/>
        <v>380659.21013947396</v>
      </c>
      <c r="U19" s="466">
        <f t="shared" si="2"/>
        <v>314375.26325874287</v>
      </c>
      <c r="V19" s="466">
        <f t="shared" si="2"/>
        <v>246575.79703543591</v>
      </c>
      <c r="W19" s="466">
        <f t="shared" si="2"/>
        <v>177462.32096374885</v>
      </c>
      <c r="X19" s="466">
        <f t="shared" si="2"/>
        <v>108679.93063343281</v>
      </c>
      <c r="Y19" s="466">
        <f t="shared" ref="Y19:AJ19" si="3">X20</f>
        <v>40080.277358847554</v>
      </c>
      <c r="Z19" s="466">
        <f t="shared" si="3"/>
        <v>-28322.14766642265</v>
      </c>
      <c r="AA19" s="466">
        <f t="shared" si="3"/>
        <v>-150059.15861820924</v>
      </c>
      <c r="AB19" s="466">
        <f t="shared" si="3"/>
        <v>-274523.84850422945</v>
      </c>
      <c r="AC19" s="466">
        <f t="shared" si="3"/>
        <v>-401707.70049396012</v>
      </c>
      <c r="AD19" s="466">
        <f t="shared" si="3"/>
        <v>-531615.58134770021</v>
      </c>
      <c r="AE19" s="466">
        <f t="shared" si="3"/>
        <v>-664284.4757299152</v>
      </c>
      <c r="AF19" s="466">
        <f t="shared" si="3"/>
        <v>-799741.86093504401</v>
      </c>
      <c r="AG19" s="466">
        <f t="shared" si="3"/>
        <v>-938055.06198822672</v>
      </c>
      <c r="AH19" s="466">
        <f t="shared" si="3"/>
        <v>-1079280.9421891649</v>
      </c>
      <c r="AI19" s="466">
        <f t="shared" si="3"/>
        <v>-1223460.3307620401</v>
      </c>
      <c r="AJ19" s="466">
        <f t="shared" si="3"/>
        <v>-1370633.9031486446</v>
      </c>
      <c r="AK19" s="466">
        <f>AJ20</f>
        <v>-1520866.5690860148</v>
      </c>
      <c r="AL19" s="268"/>
      <c r="AM19" s="466"/>
    </row>
    <row r="20" spans="1:39" ht="15">
      <c r="A20" s="504" t="s">
        <v>127</v>
      </c>
      <c r="E20" s="461"/>
      <c r="F20" s="461"/>
      <c r="G20" s="461"/>
      <c r="H20" s="467"/>
      <c r="I20" s="465"/>
      <c r="J20" s="503"/>
      <c r="K20" s="505"/>
      <c r="L20" s="505"/>
      <c r="M20" s="507">
        <f>738620772.682/1000</f>
        <v>738620.77268200007</v>
      </c>
      <c r="N20" s="466">
        <f>N17-N18+N19</f>
        <v>624996.21097200003</v>
      </c>
      <c r="O20" s="466">
        <f t="shared" ref="O20:X20" si="4">O17-O18+O19</f>
        <v>630531.99276221474</v>
      </c>
      <c r="P20" s="466">
        <f t="shared" si="4"/>
        <v>573502.53418540896</v>
      </c>
      <c r="Q20" s="466">
        <f t="shared" si="4"/>
        <v>509057.50051970128</v>
      </c>
      <c r="R20" s="466">
        <f t="shared" si="4"/>
        <v>445678.14704455709</v>
      </c>
      <c r="S20" s="466">
        <f t="shared" si="4"/>
        <v>380659.21013947396</v>
      </c>
      <c r="T20" s="466">
        <f t="shared" si="4"/>
        <v>314375.26325874287</v>
      </c>
      <c r="U20" s="466">
        <f t="shared" si="4"/>
        <v>246575.79703543591</v>
      </c>
      <c r="V20" s="466">
        <f t="shared" si="4"/>
        <v>177462.32096374885</v>
      </c>
      <c r="W20" s="466">
        <f t="shared" si="4"/>
        <v>108679.93063343281</v>
      </c>
      <c r="X20" s="466">
        <f t="shared" si="4"/>
        <v>40080.277358847554</v>
      </c>
      <c r="Y20" s="466">
        <f t="shared" ref="Y20:AJ20" si="5">Y17-Y18+Y19</f>
        <v>-28322.14766642265</v>
      </c>
      <c r="Z20" s="466">
        <f t="shared" si="5"/>
        <v>-150059.15861820924</v>
      </c>
      <c r="AA20" s="466">
        <f t="shared" si="5"/>
        <v>-274523.84850422945</v>
      </c>
      <c r="AB20" s="466">
        <f t="shared" si="5"/>
        <v>-401707.70049396012</v>
      </c>
      <c r="AC20" s="466">
        <f t="shared" si="5"/>
        <v>-531615.58134770021</v>
      </c>
      <c r="AD20" s="466">
        <f t="shared" si="5"/>
        <v>-664284.4757299152</v>
      </c>
      <c r="AE20" s="466">
        <f t="shared" si="5"/>
        <v>-799741.86093504401</v>
      </c>
      <c r="AF20" s="466">
        <f t="shared" si="5"/>
        <v>-938055.06198822672</v>
      </c>
      <c r="AG20" s="466">
        <f t="shared" si="5"/>
        <v>-1079280.9421891649</v>
      </c>
      <c r="AH20" s="466">
        <f t="shared" si="5"/>
        <v>-1223460.3307620401</v>
      </c>
      <c r="AI20" s="466">
        <f t="shared" si="5"/>
        <v>-1370633.9031486446</v>
      </c>
      <c r="AJ20" s="466">
        <f t="shared" si="5"/>
        <v>-1520866.5690860148</v>
      </c>
      <c r="AK20" s="466">
        <f>AK17-AK18+AK19</f>
        <v>-1674222.7543489637</v>
      </c>
    </row>
    <row r="21" spans="1:39">
      <c r="A21" s="504" t="s">
        <v>128</v>
      </c>
      <c r="F21" s="461"/>
      <c r="G21" s="461"/>
      <c r="H21" s="461"/>
      <c r="I21" s="461"/>
      <c r="J21" s="503"/>
      <c r="K21" s="503"/>
      <c r="L21" s="503"/>
      <c r="M21" s="503"/>
      <c r="N21" s="461">
        <f>AVERAGE(N19:N20)</f>
        <v>681808.49182700005</v>
      </c>
      <c r="O21" s="461">
        <f t="shared" ref="O21:AJ21" si="6">AVERAGE(O19:O20)</f>
        <v>627764.10186710744</v>
      </c>
      <c r="P21" s="461">
        <f t="shared" si="6"/>
        <v>602017.26347381179</v>
      </c>
      <c r="Q21" s="461">
        <f t="shared" si="6"/>
        <v>541280.01735255518</v>
      </c>
      <c r="R21" s="461">
        <f t="shared" si="6"/>
        <v>477367.82378212921</v>
      </c>
      <c r="S21" s="461">
        <f t="shared" si="6"/>
        <v>413168.67859201552</v>
      </c>
      <c r="T21" s="461">
        <f t="shared" si="6"/>
        <v>347517.23669910838</v>
      </c>
      <c r="U21" s="461">
        <f t="shared" si="6"/>
        <v>280475.53014708939</v>
      </c>
      <c r="V21" s="461">
        <f t="shared" si="6"/>
        <v>212019.05899959238</v>
      </c>
      <c r="W21" s="461">
        <f t="shared" si="6"/>
        <v>143071.12579859083</v>
      </c>
      <c r="X21" s="461">
        <f t="shared" si="6"/>
        <v>74380.103996140184</v>
      </c>
      <c r="Y21" s="461">
        <f t="shared" si="6"/>
        <v>5879.0648462124518</v>
      </c>
      <c r="Z21" s="461">
        <f t="shared" si="6"/>
        <v>-89190.653142315947</v>
      </c>
      <c r="AA21" s="461">
        <f t="shared" si="6"/>
        <v>-212291.50356121935</v>
      </c>
      <c r="AB21" s="461">
        <f t="shared" si="6"/>
        <v>-338115.77449909481</v>
      </c>
      <c r="AC21" s="461">
        <f t="shared" si="6"/>
        <v>-466661.64092083019</v>
      </c>
      <c r="AD21" s="461">
        <f>AVERAGE(AD19:AD20)</f>
        <v>-597950.02853880776</v>
      </c>
      <c r="AE21" s="461">
        <f t="shared" si="6"/>
        <v>-732013.16833247966</v>
      </c>
      <c r="AF21" s="461">
        <f t="shared" si="6"/>
        <v>-868898.46146163531</v>
      </c>
      <c r="AG21" s="461">
        <f t="shared" si="6"/>
        <v>-1008668.0020886958</v>
      </c>
      <c r="AH21" s="461">
        <f t="shared" si="6"/>
        <v>-1151370.6364756026</v>
      </c>
      <c r="AI21" s="461">
        <f t="shared" si="6"/>
        <v>-1297047.1169553422</v>
      </c>
      <c r="AJ21" s="461">
        <f t="shared" si="6"/>
        <v>-1445750.2361173297</v>
      </c>
      <c r="AK21" s="461">
        <f>AVERAGE(AK19:AK20)</f>
        <v>-1597544.6617174894</v>
      </c>
    </row>
    <row r="22" spans="1:39">
      <c r="A22" s="504"/>
      <c r="J22" s="508"/>
      <c r="K22" s="508"/>
      <c r="L22" s="508"/>
      <c r="M22" s="508"/>
    </row>
    <row r="23" spans="1:39">
      <c r="A23" s="504" t="s">
        <v>129</v>
      </c>
      <c r="E23" s="468"/>
      <c r="G23" s="469"/>
      <c r="I23" s="470"/>
      <c r="J23" s="509"/>
      <c r="K23" s="509"/>
      <c r="L23" s="509"/>
      <c r="M23" s="703">
        <v>2.5600000000000001E-2</v>
      </c>
      <c r="N23" s="703">
        <v>2.3699999999999999E-2</v>
      </c>
      <c r="O23" s="470">
        <f>N23+O24</f>
        <v>2.4199999999999999E-2</v>
      </c>
      <c r="P23" s="470">
        <f>O23+P24</f>
        <v>2.47E-2</v>
      </c>
      <c r="Q23" s="470">
        <f>P23+Q24</f>
        <v>2.52E-2</v>
      </c>
      <c r="R23" s="470">
        <f>Q23+R24</f>
        <v>2.5700000000000001E-2</v>
      </c>
      <c r="S23" s="470">
        <f t="shared" ref="S23:AK23" si="7">R23+S24</f>
        <v>2.6200000000000001E-2</v>
      </c>
      <c r="T23" s="470">
        <f t="shared" si="7"/>
        <v>2.6700000000000002E-2</v>
      </c>
      <c r="U23" s="470">
        <f t="shared" si="7"/>
        <v>2.7200000000000002E-2</v>
      </c>
      <c r="V23" s="470">
        <f>U23+V24</f>
        <v>2.7700000000000002E-2</v>
      </c>
      <c r="W23" s="470">
        <f t="shared" si="7"/>
        <v>2.8200000000000003E-2</v>
      </c>
      <c r="X23" s="470">
        <f t="shared" si="7"/>
        <v>2.8700000000000003E-2</v>
      </c>
      <c r="Y23" s="470">
        <f t="shared" si="7"/>
        <v>2.9200000000000004E-2</v>
      </c>
      <c r="Z23" s="470">
        <f t="shared" si="7"/>
        <v>2.9700000000000004E-2</v>
      </c>
      <c r="AA23" s="470">
        <f t="shared" si="7"/>
        <v>3.0200000000000005E-2</v>
      </c>
      <c r="AB23" s="470">
        <f t="shared" si="7"/>
        <v>3.0700000000000005E-2</v>
      </c>
      <c r="AC23" s="470">
        <f t="shared" si="7"/>
        <v>3.1200000000000006E-2</v>
      </c>
      <c r="AD23" s="470">
        <f t="shared" si="7"/>
        <v>3.1700000000000006E-2</v>
      </c>
      <c r="AE23" s="470">
        <f t="shared" si="7"/>
        <v>3.2200000000000006E-2</v>
      </c>
      <c r="AF23" s="470">
        <f>AE23+AF24</f>
        <v>3.2700000000000007E-2</v>
      </c>
      <c r="AG23" s="470">
        <f t="shared" si="7"/>
        <v>3.3200000000000007E-2</v>
      </c>
      <c r="AH23" s="470">
        <f t="shared" si="7"/>
        <v>3.3700000000000008E-2</v>
      </c>
      <c r="AI23" s="470">
        <f t="shared" si="7"/>
        <v>3.4200000000000008E-2</v>
      </c>
      <c r="AJ23" s="470">
        <f t="shared" si="7"/>
        <v>3.4700000000000009E-2</v>
      </c>
      <c r="AK23" s="470">
        <f t="shared" si="7"/>
        <v>3.5200000000000009E-2</v>
      </c>
    </row>
    <row r="24" spans="1:39">
      <c r="A24" s="510" t="s">
        <v>512</v>
      </c>
      <c r="E24" s="469"/>
      <c r="G24" s="469"/>
      <c r="I24" s="470"/>
      <c r="J24" s="509"/>
      <c r="K24" s="509"/>
      <c r="L24" s="509"/>
      <c r="M24" s="509"/>
      <c r="N24" s="266"/>
      <c r="O24" s="266">
        <v>5.0000000000000001E-4</v>
      </c>
      <c r="P24" s="266">
        <v>5.0000000000000001E-4</v>
      </c>
      <c r="Q24" s="266">
        <v>5.0000000000000001E-4</v>
      </c>
      <c r="R24" s="266">
        <v>5.0000000000000001E-4</v>
      </c>
      <c r="S24" s="266">
        <v>5.0000000000000001E-4</v>
      </c>
      <c r="T24" s="266">
        <v>5.0000000000000001E-4</v>
      </c>
      <c r="U24" s="266">
        <v>5.0000000000000001E-4</v>
      </c>
      <c r="V24" s="266">
        <v>5.0000000000000001E-4</v>
      </c>
      <c r="W24" s="266">
        <v>5.0000000000000001E-4</v>
      </c>
      <c r="X24" s="266">
        <v>5.0000000000000001E-4</v>
      </c>
      <c r="Y24" s="266">
        <v>5.0000000000000001E-4</v>
      </c>
      <c r="Z24" s="266">
        <v>5.0000000000000001E-4</v>
      </c>
      <c r="AA24" s="266">
        <v>5.0000000000000001E-4</v>
      </c>
      <c r="AB24" s="266">
        <v>5.0000000000000001E-4</v>
      </c>
      <c r="AC24" s="266">
        <v>5.0000000000000001E-4</v>
      </c>
      <c r="AD24" s="266">
        <v>5.0000000000000001E-4</v>
      </c>
      <c r="AE24" s="266">
        <v>5.0000000000000001E-4</v>
      </c>
      <c r="AF24" s="266">
        <v>5.0000000000000001E-4</v>
      </c>
      <c r="AG24" s="266">
        <v>5.0000000000000001E-4</v>
      </c>
      <c r="AH24" s="266">
        <v>5.0000000000000001E-4</v>
      </c>
      <c r="AI24" s="266">
        <v>5.0000000000000001E-4</v>
      </c>
      <c r="AJ24" s="266">
        <v>5.0000000000000001E-4</v>
      </c>
      <c r="AK24" s="266">
        <v>5.0000000000000001E-4</v>
      </c>
    </row>
    <row r="25" spans="1:39">
      <c r="A25" s="504" t="s">
        <v>87</v>
      </c>
      <c r="C25" s="461"/>
      <c r="G25" s="461"/>
      <c r="I25" s="461"/>
      <c r="J25" s="503"/>
      <c r="K25" s="503"/>
      <c r="L25" s="503"/>
      <c r="M25" s="503"/>
      <c r="N25" s="461">
        <f>(N21)*N23</f>
        <v>16158.861256299901</v>
      </c>
      <c r="O25" s="461">
        <f>(O21)*O23</f>
        <v>15191.891265184</v>
      </c>
      <c r="P25" s="461">
        <f>(P21)*P23</f>
        <v>14869.826407803152</v>
      </c>
      <c r="Q25" s="461">
        <f>(Q21)*Q23</f>
        <v>13640.25643728439</v>
      </c>
      <c r="R25" s="461">
        <f t="shared" ref="R25:AI25" si="8">(R21)*R23</f>
        <v>12268.353071200721</v>
      </c>
      <c r="S25" s="461">
        <f t="shared" si="8"/>
        <v>10825.019379110807</v>
      </c>
      <c r="T25" s="461">
        <f t="shared" si="8"/>
        <v>9278.7102198661942</v>
      </c>
      <c r="U25" s="461">
        <f t="shared" si="8"/>
        <v>7628.9344200008318</v>
      </c>
      <c r="V25" s="461">
        <f t="shared" si="8"/>
        <v>5872.9279342887094</v>
      </c>
      <c r="W25" s="461">
        <f>(W21)*W23</f>
        <v>4034.605747520262</v>
      </c>
      <c r="X25" s="461">
        <f t="shared" si="8"/>
        <v>2134.7089846892236</v>
      </c>
      <c r="Y25" s="461">
        <f t="shared" si="8"/>
        <v>171.66869350940362</v>
      </c>
      <c r="Z25" s="461">
        <f t="shared" si="8"/>
        <v>-2648.9623983267838</v>
      </c>
      <c r="AA25" s="461">
        <f t="shared" si="8"/>
        <v>-6411.2034075488255</v>
      </c>
      <c r="AB25" s="461">
        <f t="shared" si="8"/>
        <v>-10380.154277122212</v>
      </c>
      <c r="AC25" s="461">
        <f t="shared" si="8"/>
        <v>-14559.843196729904</v>
      </c>
      <c r="AD25" s="461">
        <f t="shared" si="8"/>
        <v>-18955.015904680211</v>
      </c>
      <c r="AE25" s="461">
        <f t="shared" si="8"/>
        <v>-23570.824020305849</v>
      </c>
      <c r="AF25" s="461">
        <f t="shared" si="8"/>
        <v>-28412.97968979548</v>
      </c>
      <c r="AG25" s="461">
        <f t="shared" si="8"/>
        <v>-33487.777669344709</v>
      </c>
      <c r="AH25" s="461">
        <f t="shared" si="8"/>
        <v>-38801.190449227819</v>
      </c>
      <c r="AI25" s="461">
        <f t="shared" si="8"/>
        <v>-44359.011399872717</v>
      </c>
      <c r="AJ25" s="461">
        <f>(AJ21)*AJ23</f>
        <v>-50167.533193271353</v>
      </c>
      <c r="AK25" s="461">
        <f>(AK21)*AK23</f>
        <v>-56233.572092455637</v>
      </c>
    </row>
    <row r="26" spans="1:39">
      <c r="D26" s="461"/>
      <c r="E26" s="461"/>
      <c r="J26" s="508"/>
      <c r="K26" s="508"/>
      <c r="L26" s="508"/>
      <c r="M26" s="508"/>
    </row>
    <row r="27" spans="1:39" ht="15" thickBot="1">
      <c r="A27" s="504" t="s">
        <v>513</v>
      </c>
      <c r="I27" s="464"/>
      <c r="J27" s="503"/>
      <c r="K27" s="503"/>
      <c r="L27" s="503"/>
      <c r="M27" s="503"/>
      <c r="N27" s="264">
        <f>+'Capital Input File'!C50</f>
        <v>11292.45</v>
      </c>
      <c r="O27" s="264">
        <f>HLOOKUP(O$15,'Capital Input File'!$D$48:$AE$74,3,FALSE)</f>
        <v>7948.2</v>
      </c>
      <c r="P27" s="264">
        <f>HLOOKUP(P$15,'Capital Input File'!$D$48:$AE$74,3,FALSE)</f>
        <v>10725</v>
      </c>
      <c r="Q27" s="264">
        <f>HLOOKUP(Q$15,'Capital Input File'!$D$48:$AE$74,3,FALSE)</f>
        <v>12599.6</v>
      </c>
      <c r="R27" s="264">
        <f>HLOOKUP(R$15,'Capital Input File'!$D$48:$AE$74,3,FALSE)</f>
        <v>12025</v>
      </c>
      <c r="S27" s="264">
        <f>HLOOKUP(S$15,'Capital Input File'!$D$48:$AE$74,3,FALSE)</f>
        <v>12502.1</v>
      </c>
      <c r="T27" s="264">
        <f>HLOOKUP(T$15,'Capital Input File'!$D$48:$AE$74,3,FALSE)</f>
        <v>12025</v>
      </c>
      <c r="U27" s="264">
        <f>HLOOKUP(U$15,'Capital Input File'!$D$48:$AE$74,3,FALSE)</f>
        <v>12259.155558</v>
      </c>
      <c r="V27" s="264">
        <f>HLOOKUP(V$15,'Capital Input File'!$D$48:$AE$74,3,FALSE)</f>
        <v>12543.567966945602</v>
      </c>
      <c r="W27" s="264">
        <f>HLOOKUP(W$15,'Capital Input File'!$D$48:$AE$74,3,FALSE)</f>
        <v>12830.815673388655</v>
      </c>
      <c r="X27" s="264">
        <f>HLOOKUP(X$15,'Capital Input File'!$D$48:$AE$74,3,FALSE)</f>
        <v>13118.225944472561</v>
      </c>
      <c r="Y27" s="264">
        <f>HLOOKUP(Y$15,'Capital Input File'!$D$48:$AE$74,3,FALSE)</f>
        <v>13413.386028223194</v>
      </c>
      <c r="Z27" s="264">
        <f>HLOOKUP(Z$15,'Capital Input File'!$D$48:$AE$74,3,FALSE)</f>
        <v>13720.782647780396</v>
      </c>
      <c r="AA27" s="264">
        <f>HLOOKUP(AA$15,'Capital Input File'!$D$48:$AE$74,3,FALSE)</f>
        <v>14028.214952031492</v>
      </c>
      <c r="AB27" s="264">
        <f>HLOOKUP(AB$15,'Capital Input File'!$D$48:$AE$74,3,FALSE)</f>
        <v>14334.687338016622</v>
      </c>
      <c r="AC27" s="264">
        <f>HLOOKUP(AC$15,'Capital Input File'!$D$48:$AE$74,3,FALSE)</f>
        <v>14641.708248725159</v>
      </c>
      <c r="AD27" s="264">
        <f>HLOOKUP(AD$15,'Capital Input File'!$D$48:$AE$74,3,FALSE)</f>
        <v>14952.897641462829</v>
      </c>
      <c r="AE27" s="264">
        <f>HLOOKUP(AE$15,'Capital Input File'!$D$48:$AE$74,3,FALSE)</f>
        <v>15267.183955849872</v>
      </c>
      <c r="AF27" s="264">
        <f>HLOOKUP(AF$15,'Capital Input File'!$D$48:$AE$74,3,FALSE)</f>
        <v>15589.058365504574</v>
      </c>
      <c r="AG27" s="264">
        <f>HLOOKUP(AG$15,'Capital Input File'!$D$48:$AE$74,3,FALSE)</f>
        <v>15917.341746184127</v>
      </c>
      <c r="AH27" s="264">
        <f>HLOOKUP(AH$15,'Capital Input File'!$D$48:$AE$74,3,FALSE)</f>
        <v>16250.226923033053</v>
      </c>
      <c r="AI27" s="264">
        <f>HLOOKUP(AI$15,'Capital Input File'!$D$48:$AE$74,3,FALSE)</f>
        <v>16587.696563485737</v>
      </c>
      <c r="AJ27" s="264">
        <f>HLOOKUP(AJ$15,'Capital Input File'!$D$48:$AE$74,3,FALSE)</f>
        <v>16932.48207596974</v>
      </c>
      <c r="AK27" s="264">
        <f>HLOOKUP(AK$15,'Capital Input File'!$D$48:$AE$74,3,FALSE)</f>
        <v>17284.528913881513</v>
      </c>
    </row>
    <row r="28" spans="1:39" ht="15" thickBot="1">
      <c r="A28" s="699" t="s">
        <v>733</v>
      </c>
      <c r="G28" s="461"/>
      <c r="I28" s="461"/>
      <c r="K28" s="461"/>
      <c r="L28" s="461"/>
      <c r="M28" s="461"/>
      <c r="N28" s="671">
        <f>(AVERAGE(M27:N27))*N23</f>
        <v>267.63106499999998</v>
      </c>
      <c r="O28" s="672">
        <f>(AVERAGE(N27:O27))*O23</f>
        <v>232.81186500000001</v>
      </c>
      <c r="P28" s="672">
        <f>(AVERAGE(O27:P27))*P23</f>
        <v>230.61402000000001</v>
      </c>
      <c r="Q28" s="672">
        <f>(AVERAGE(P27:Q27))*Q23</f>
        <v>293.88995999999997</v>
      </c>
      <c r="R28" s="672">
        <f>(AVERAGE(Q27:R27))*R23</f>
        <v>316.42610999999999</v>
      </c>
      <c r="S28" s="672">
        <f t="shared" ref="S28:AI28" si="9">(AVERAGE(R27:S27))*S23</f>
        <v>321.30500999999998</v>
      </c>
      <c r="T28" s="672">
        <f t="shared" si="9"/>
        <v>327.43678499999999</v>
      </c>
      <c r="U28" s="672">
        <f t="shared" si="9"/>
        <v>330.26451558880001</v>
      </c>
      <c r="V28" s="672">
        <f t="shared" si="9"/>
        <v>343.51772082049661</v>
      </c>
      <c r="W28" s="672">
        <f t="shared" si="9"/>
        <v>357.77880932871307</v>
      </c>
      <c r="X28" s="672">
        <f t="shared" si="9"/>
        <v>372.36874721630846</v>
      </c>
      <c r="Y28" s="672">
        <f t="shared" si="9"/>
        <v>387.36153480135806</v>
      </c>
      <c r="Z28" s="672">
        <f t="shared" si="9"/>
        <v>402.94240483865332</v>
      </c>
      <c r="AA28" s="672">
        <f t="shared" si="9"/>
        <v>419.00986375715962</v>
      </c>
      <c r="AB28" s="672">
        <f t="shared" si="9"/>
        <v>435.37055015223865</v>
      </c>
      <c r="AC28" s="672">
        <f t="shared" si="9"/>
        <v>452.03177115317186</v>
      </c>
      <c r="AD28" s="672">
        <f t="shared" si="9"/>
        <v>469.07450335947971</v>
      </c>
      <c r="AE28" s="672">
        <f t="shared" si="9"/>
        <v>486.54331371673459</v>
      </c>
      <c r="AF28" s="672">
        <f t="shared" si="9"/>
        <v>504.49956195414529</v>
      </c>
      <c r="AG28" s="673">
        <f t="shared" si="9"/>
        <v>523.00624185403251</v>
      </c>
      <c r="AH28" s="461">
        <f t="shared" si="9"/>
        <v>542.02353207630961</v>
      </c>
      <c r="AI28" s="461">
        <f t="shared" si="9"/>
        <v>561.52849161947142</v>
      </c>
      <c r="AJ28" s="461">
        <f>(AVERAGE(AI27:AJ27))*AJ23</f>
        <v>581.57509939455269</v>
      </c>
      <c r="AK28" s="461">
        <f>(AVERAGE(AJ27:AK27))*AK23</f>
        <v>602.21939342138216</v>
      </c>
    </row>
    <row r="29" spans="1:39" ht="15">
      <c r="A29" s="511" t="s">
        <v>145</v>
      </c>
      <c r="B29" s="443"/>
      <c r="C29" s="495"/>
      <c r="D29" s="495"/>
      <c r="E29" s="495"/>
      <c r="F29" s="496"/>
      <c r="G29" s="496"/>
      <c r="H29" s="496"/>
      <c r="I29" s="496"/>
      <c r="J29" s="477"/>
      <c r="K29" s="477"/>
      <c r="L29" s="477"/>
      <c r="M29" s="477"/>
      <c r="N29" s="477">
        <f>N28+N25</f>
        <v>16426.492321299902</v>
      </c>
      <c r="O29" s="477">
        <f>O28+O25</f>
        <v>15424.703130184</v>
      </c>
      <c r="P29" s="477">
        <f t="shared" ref="P29:V29" si="10">P28+P25</f>
        <v>15100.440427803152</v>
      </c>
      <c r="Q29" s="477">
        <f>Q28+Q25</f>
        <v>13934.14639728439</v>
      </c>
      <c r="R29" s="477">
        <f t="shared" si="10"/>
        <v>12584.779181200722</v>
      </c>
      <c r="S29" s="477">
        <f t="shared" si="10"/>
        <v>11146.324389110807</v>
      </c>
      <c r="T29" s="477">
        <f t="shared" si="10"/>
        <v>9606.147004866194</v>
      </c>
      <c r="U29" s="477">
        <f t="shared" si="10"/>
        <v>7959.1989355896321</v>
      </c>
      <c r="V29" s="477">
        <f t="shared" si="10"/>
        <v>6216.4456551092062</v>
      </c>
      <c r="W29" s="477">
        <f t="shared" ref="W29:AI29" si="11">W28+W25</f>
        <v>4392.3845568489751</v>
      </c>
      <c r="X29" s="477">
        <f t="shared" si="11"/>
        <v>2507.0777319055319</v>
      </c>
      <c r="Y29" s="477">
        <f t="shared" si="11"/>
        <v>559.03022831076169</v>
      </c>
      <c r="Z29" s="477">
        <f t="shared" si="11"/>
        <v>-2246.0199934881307</v>
      </c>
      <c r="AA29" s="477">
        <f t="shared" si="11"/>
        <v>-5992.1935437916654</v>
      </c>
      <c r="AB29" s="477">
        <f t="shared" si="11"/>
        <v>-9944.7837269699739</v>
      </c>
      <c r="AC29" s="477">
        <f t="shared" si="11"/>
        <v>-14107.811425576732</v>
      </c>
      <c r="AD29" s="477">
        <f t="shared" si="11"/>
        <v>-18485.941401320732</v>
      </c>
      <c r="AE29" s="477">
        <f t="shared" si="11"/>
        <v>-23084.280706589114</v>
      </c>
      <c r="AF29" s="477">
        <f t="shared" si="11"/>
        <v>-27908.480127841336</v>
      </c>
      <c r="AG29" s="477">
        <f t="shared" si="11"/>
        <v>-32964.771427490676</v>
      </c>
      <c r="AH29" s="477">
        <f t="shared" si="11"/>
        <v>-38259.16691715151</v>
      </c>
      <c r="AI29" s="477">
        <f t="shared" si="11"/>
        <v>-43797.482908253245</v>
      </c>
      <c r="AJ29" s="477">
        <f>AJ28+AJ25</f>
        <v>-49585.958093876798</v>
      </c>
      <c r="AK29" s="477">
        <f>AK28+AK25</f>
        <v>-55631.352699034258</v>
      </c>
    </row>
    <row r="30" spans="1:39">
      <c r="C30" s="939"/>
      <c r="D30" s="939"/>
      <c r="E30" s="939"/>
      <c r="J30" s="466"/>
      <c r="N30" s="262">
        <v>0</v>
      </c>
    </row>
    <row r="31" spans="1:39" ht="15">
      <c r="A31" s="443" t="s">
        <v>491</v>
      </c>
    </row>
    <row r="32" spans="1:39" s="497" customFormat="1">
      <c r="A32" s="512" t="s">
        <v>492</v>
      </c>
      <c r="G32" s="498"/>
      <c r="H32" s="498"/>
      <c r="I32" s="498"/>
      <c r="J32" s="513"/>
      <c r="K32" s="514"/>
      <c r="L32" s="514"/>
      <c r="M32" s="514">
        <v>46883.853000000003</v>
      </c>
      <c r="N32" s="498"/>
      <c r="O32" s="498">
        <f>HLOOKUP(O$15,'Capital Input File'!$D$76:$AE$77,2,FALSE)</f>
        <v>0</v>
      </c>
      <c r="P32" s="498">
        <f>HLOOKUP(P$15,'Capital Input File'!$D$76:$AE$77,2,FALSE)</f>
        <v>0</v>
      </c>
      <c r="Q32" s="498">
        <f>HLOOKUP(Q$15,'Capital Input File'!$D$76:$AE$77,2,FALSE)</f>
        <v>0</v>
      </c>
      <c r="R32" s="498">
        <f>HLOOKUP(R$15,'Capital Input File'!$D$76:$AE$77,2,FALSE)</f>
        <v>0</v>
      </c>
      <c r="S32" s="498">
        <f>HLOOKUP(S$15,'Capital Input File'!$D$76:$AE$77,2,FALSE)</f>
        <v>0</v>
      </c>
      <c r="T32" s="498">
        <f>HLOOKUP(T$15,'Capital Input File'!$D$76:$AE$77,2,FALSE)</f>
        <v>0</v>
      </c>
      <c r="U32" s="498">
        <f>HLOOKUP(U$15,'Capital Input File'!$D$76:$AE$77,2,FALSE)</f>
        <v>0</v>
      </c>
      <c r="V32" s="498">
        <f>HLOOKUP(V$15,'Capital Input File'!$D$76:$AE$77,2,FALSE)</f>
        <v>0</v>
      </c>
      <c r="W32" s="498">
        <f>HLOOKUP(W$15,'Capital Input File'!$D$76:$AE$77,2,FALSE)</f>
        <v>0</v>
      </c>
      <c r="X32" s="498">
        <f>HLOOKUP(X$15,'Capital Input File'!$D$76:$AE$77,2,FALSE)</f>
        <v>0</v>
      </c>
      <c r="Y32" s="498">
        <f>HLOOKUP(Y$13,'Capital Input File'!$D$76:$AE$77,2,FALSE)</f>
        <v>0</v>
      </c>
      <c r="Z32" s="498">
        <f>HLOOKUP(Z$13,'Capital Input File'!$D$76:$AE$77,2,FALSE)</f>
        <v>0</v>
      </c>
      <c r="AA32" s="498">
        <f>HLOOKUP(AA$13,'Capital Input File'!$D$76:$AE$77,2,FALSE)</f>
        <v>0</v>
      </c>
      <c r="AB32" s="498">
        <f>HLOOKUP(AB$13,'Capital Input File'!$D$76:$AE$77,2,FALSE)</f>
        <v>0</v>
      </c>
      <c r="AC32" s="498">
        <f>HLOOKUP(AC$13,'Capital Input File'!$D$76:$AE$77,2,FALSE)</f>
        <v>0</v>
      </c>
      <c r="AD32" s="498">
        <f>HLOOKUP(AD$13,'Capital Input File'!$D$76:$AE$77,2,FALSE)</f>
        <v>0</v>
      </c>
      <c r="AE32" s="498">
        <f>HLOOKUP(AE$13,'Capital Input File'!$D$76:$AE$77,2,FALSE)</f>
        <v>0</v>
      </c>
      <c r="AF32" s="498">
        <f>HLOOKUP(AF$13,'Capital Input File'!$D$76:$AE$77,2,FALSE)</f>
        <v>0</v>
      </c>
      <c r="AG32" s="498">
        <f>HLOOKUP(AG$13,'Capital Input File'!$D$76:$AE$77,2,FALSE)</f>
        <v>0</v>
      </c>
      <c r="AH32" s="498">
        <f>HLOOKUP(AH$13,'Capital Input File'!$D$76:$AE$77,2,FALSE)</f>
        <v>0</v>
      </c>
      <c r="AI32" s="498">
        <f>HLOOKUP(AI$13,'Capital Input File'!$D$76:$AE$77,2,FALSE)</f>
        <v>0</v>
      </c>
      <c r="AJ32" s="498">
        <f>HLOOKUP(AJ$13,'Capital Input File'!$D$76:$AE$77,2,FALSE)</f>
        <v>0</v>
      </c>
      <c r="AK32" s="498">
        <f>HLOOKUP(AK$13,'Capital Input File'!$D$76:$AE$77,2,FALSE)</f>
        <v>0</v>
      </c>
      <c r="AL32" s="515"/>
    </row>
    <row r="33" spans="1:38" s="497" customFormat="1" ht="15">
      <c r="A33" s="512" t="s">
        <v>493</v>
      </c>
      <c r="H33" s="498"/>
      <c r="I33" s="499"/>
      <c r="J33" s="513"/>
      <c r="K33" s="514"/>
      <c r="L33" s="514"/>
      <c r="M33" s="514">
        <v>46883.853000000003</v>
      </c>
      <c r="N33" s="499">
        <v>0</v>
      </c>
      <c r="O33" s="499">
        <v>0</v>
      </c>
      <c r="P33" s="499">
        <v>0</v>
      </c>
      <c r="Q33" s="499">
        <v>0</v>
      </c>
      <c r="R33" s="499">
        <v>0</v>
      </c>
      <c r="S33" s="499">
        <v>0</v>
      </c>
      <c r="T33" s="499">
        <v>0</v>
      </c>
      <c r="U33" s="499">
        <v>0</v>
      </c>
      <c r="V33" s="499">
        <v>0</v>
      </c>
      <c r="W33" s="499">
        <v>0</v>
      </c>
      <c r="X33" s="499">
        <v>0</v>
      </c>
      <c r="Y33" s="500">
        <f>X33</f>
        <v>0</v>
      </c>
      <c r="Z33" s="500">
        <f t="shared" ref="Z33:AK33" si="12">Y33</f>
        <v>0</v>
      </c>
      <c r="AA33" s="500">
        <f t="shared" si="12"/>
        <v>0</v>
      </c>
      <c r="AB33" s="500">
        <f t="shared" si="12"/>
        <v>0</v>
      </c>
      <c r="AC33" s="500">
        <f t="shared" si="12"/>
        <v>0</v>
      </c>
      <c r="AD33" s="500">
        <f t="shared" si="12"/>
        <v>0</v>
      </c>
      <c r="AE33" s="500">
        <f t="shared" si="12"/>
        <v>0</v>
      </c>
      <c r="AF33" s="500">
        <f t="shared" si="12"/>
        <v>0</v>
      </c>
      <c r="AG33" s="500">
        <f t="shared" si="12"/>
        <v>0</v>
      </c>
      <c r="AH33" s="500">
        <f t="shared" si="12"/>
        <v>0</v>
      </c>
      <c r="AI33" s="500">
        <f t="shared" si="12"/>
        <v>0</v>
      </c>
      <c r="AJ33" s="500">
        <f t="shared" si="12"/>
        <v>0</v>
      </c>
      <c r="AK33" s="500">
        <f t="shared" si="12"/>
        <v>0</v>
      </c>
      <c r="AL33" s="515"/>
    </row>
    <row r="34" spans="1:38">
      <c r="A34" s="504" t="s">
        <v>126</v>
      </c>
      <c r="G34" s="475"/>
      <c r="H34" s="461"/>
      <c r="I34" s="461"/>
      <c r="J34" s="503"/>
      <c r="K34" s="503"/>
      <c r="L34" s="503"/>
      <c r="M34" s="503"/>
      <c r="N34" s="461">
        <f>M35</f>
        <v>0</v>
      </c>
      <c r="O34" s="461">
        <f>N35</f>
        <v>0</v>
      </c>
      <c r="P34" s="461">
        <f t="shared" ref="P34:AK34" si="13">O35</f>
        <v>0</v>
      </c>
      <c r="Q34" s="461">
        <f t="shared" si="13"/>
        <v>0</v>
      </c>
      <c r="R34" s="461">
        <f t="shared" si="13"/>
        <v>0</v>
      </c>
      <c r="S34" s="461">
        <f>R35</f>
        <v>0</v>
      </c>
      <c r="T34" s="461">
        <f t="shared" si="13"/>
        <v>0</v>
      </c>
      <c r="U34" s="461">
        <f t="shared" si="13"/>
        <v>0</v>
      </c>
      <c r="V34" s="461">
        <f t="shared" si="13"/>
        <v>0</v>
      </c>
      <c r="W34" s="461">
        <f t="shared" si="13"/>
        <v>0</v>
      </c>
      <c r="X34" s="461">
        <f t="shared" si="13"/>
        <v>0</v>
      </c>
      <c r="Y34" s="461">
        <f t="shared" si="13"/>
        <v>0</v>
      </c>
      <c r="Z34" s="461">
        <f t="shared" si="13"/>
        <v>0</v>
      </c>
      <c r="AA34" s="461">
        <f t="shared" si="13"/>
        <v>0</v>
      </c>
      <c r="AB34" s="461">
        <f t="shared" si="13"/>
        <v>0</v>
      </c>
      <c r="AC34" s="461">
        <f t="shared" si="13"/>
        <v>0</v>
      </c>
      <c r="AD34" s="461">
        <f t="shared" si="13"/>
        <v>0</v>
      </c>
      <c r="AE34" s="461">
        <f t="shared" si="13"/>
        <v>0</v>
      </c>
      <c r="AF34" s="461">
        <f t="shared" si="13"/>
        <v>0</v>
      </c>
      <c r="AG34" s="461">
        <f t="shared" si="13"/>
        <v>0</v>
      </c>
      <c r="AH34" s="461">
        <f t="shared" si="13"/>
        <v>0</v>
      </c>
      <c r="AI34" s="461">
        <f t="shared" si="13"/>
        <v>0</v>
      </c>
      <c r="AJ34" s="461">
        <f t="shared" si="13"/>
        <v>0</v>
      </c>
      <c r="AK34" s="461">
        <f t="shared" si="13"/>
        <v>0</v>
      </c>
      <c r="AL34" s="267"/>
    </row>
    <row r="35" spans="1:38" ht="15">
      <c r="A35" s="504" t="s">
        <v>127</v>
      </c>
      <c r="C35" s="461"/>
      <c r="G35" s="475"/>
      <c r="H35" s="476"/>
      <c r="I35" s="461"/>
      <c r="J35" s="516"/>
      <c r="K35" s="503"/>
      <c r="L35" s="505"/>
      <c r="M35" s="507">
        <v>0</v>
      </c>
      <c r="N35" s="466">
        <f>N32-N33+N34</f>
        <v>0</v>
      </c>
      <c r="O35" s="466">
        <f>O32-O33+O34</f>
        <v>0</v>
      </c>
      <c r="P35" s="466">
        <f t="shared" ref="P35:AJ35" si="14">P32-P33+P34</f>
        <v>0</v>
      </c>
      <c r="Q35" s="466">
        <f t="shared" si="14"/>
        <v>0</v>
      </c>
      <c r="R35" s="466">
        <f t="shared" si="14"/>
        <v>0</v>
      </c>
      <c r="S35" s="466">
        <f t="shared" si="14"/>
        <v>0</v>
      </c>
      <c r="T35" s="466">
        <f t="shared" si="14"/>
        <v>0</v>
      </c>
      <c r="U35" s="466">
        <f t="shared" si="14"/>
        <v>0</v>
      </c>
      <c r="V35" s="466">
        <f t="shared" si="14"/>
        <v>0</v>
      </c>
      <c r="W35" s="466">
        <f t="shared" si="14"/>
        <v>0</v>
      </c>
      <c r="X35" s="466">
        <f t="shared" si="14"/>
        <v>0</v>
      </c>
      <c r="Y35" s="466">
        <f t="shared" si="14"/>
        <v>0</v>
      </c>
      <c r="Z35" s="466">
        <f>Z32-Z33+Z34</f>
        <v>0</v>
      </c>
      <c r="AA35" s="466">
        <f>AA32-AA33+AA34</f>
        <v>0</v>
      </c>
      <c r="AB35" s="466">
        <f t="shared" si="14"/>
        <v>0</v>
      </c>
      <c r="AC35" s="466">
        <f t="shared" si="14"/>
        <v>0</v>
      </c>
      <c r="AD35" s="466">
        <f t="shared" si="14"/>
        <v>0</v>
      </c>
      <c r="AE35" s="466">
        <f t="shared" si="14"/>
        <v>0</v>
      </c>
      <c r="AF35" s="466">
        <f t="shared" si="14"/>
        <v>0</v>
      </c>
      <c r="AG35" s="466">
        <f t="shared" si="14"/>
        <v>0</v>
      </c>
      <c r="AH35" s="466">
        <f t="shared" si="14"/>
        <v>0</v>
      </c>
      <c r="AI35" s="466">
        <f t="shared" si="14"/>
        <v>0</v>
      </c>
      <c r="AJ35" s="466">
        <f t="shared" si="14"/>
        <v>0</v>
      </c>
      <c r="AK35" s="466">
        <f>AK32-AK33+AK34</f>
        <v>0</v>
      </c>
      <c r="AL35" s="268"/>
    </row>
    <row r="36" spans="1:38" ht="15" thickBot="1">
      <c r="A36" s="504" t="s">
        <v>128</v>
      </c>
      <c r="G36" s="461"/>
      <c r="H36" s="461"/>
      <c r="I36" s="461"/>
      <c r="J36" s="461"/>
      <c r="K36" s="461"/>
      <c r="L36" s="461"/>
      <c r="M36" s="461"/>
      <c r="N36" s="461">
        <f>AVERAGE(N34:N35)</f>
        <v>0</v>
      </c>
      <c r="O36" s="461">
        <f t="shared" ref="O36:AJ36" si="15">AVERAGE(O34:O35)</f>
        <v>0</v>
      </c>
      <c r="P36" s="461">
        <f t="shared" si="15"/>
        <v>0</v>
      </c>
      <c r="Q36" s="461">
        <f t="shared" si="15"/>
        <v>0</v>
      </c>
      <c r="R36" s="461">
        <f t="shared" si="15"/>
        <v>0</v>
      </c>
      <c r="S36" s="461">
        <f t="shared" si="15"/>
        <v>0</v>
      </c>
      <c r="T36" s="461">
        <f t="shared" si="15"/>
        <v>0</v>
      </c>
      <c r="U36" s="461">
        <f t="shared" si="15"/>
        <v>0</v>
      </c>
      <c r="V36" s="461">
        <f t="shared" si="15"/>
        <v>0</v>
      </c>
      <c r="W36" s="461">
        <f t="shared" si="15"/>
        <v>0</v>
      </c>
      <c r="X36" s="461">
        <f t="shared" si="15"/>
        <v>0</v>
      </c>
      <c r="Y36" s="461">
        <f t="shared" si="15"/>
        <v>0</v>
      </c>
      <c r="Z36" s="461">
        <f>AVERAGE(Z34:Z35)</f>
        <v>0</v>
      </c>
      <c r="AA36" s="461">
        <f t="shared" si="15"/>
        <v>0</v>
      </c>
      <c r="AB36" s="461">
        <f t="shared" si="15"/>
        <v>0</v>
      </c>
      <c r="AC36" s="461">
        <f t="shared" si="15"/>
        <v>0</v>
      </c>
      <c r="AD36" s="461">
        <f t="shared" si="15"/>
        <v>0</v>
      </c>
      <c r="AE36" s="461">
        <f t="shared" si="15"/>
        <v>0</v>
      </c>
      <c r="AF36" s="461">
        <f t="shared" si="15"/>
        <v>0</v>
      </c>
      <c r="AG36" s="461">
        <f t="shared" si="15"/>
        <v>0</v>
      </c>
      <c r="AH36" s="461">
        <f t="shared" si="15"/>
        <v>0</v>
      </c>
      <c r="AI36" s="461">
        <f t="shared" si="15"/>
        <v>0</v>
      </c>
      <c r="AJ36" s="461">
        <f t="shared" si="15"/>
        <v>0</v>
      </c>
      <c r="AK36" s="461">
        <f>AVERAGE(AK34:AK35)</f>
        <v>0</v>
      </c>
      <c r="AL36" s="267"/>
    </row>
    <row r="37" spans="1:38" s="520" customFormat="1" ht="15.75" thickBot="1">
      <c r="A37" s="938" t="s">
        <v>494</v>
      </c>
      <c r="B37" s="938"/>
      <c r="C37" s="517">
        <v>2409</v>
      </c>
      <c r="D37" s="517">
        <v>2298</v>
      </c>
      <c r="E37" s="517">
        <v>5852</v>
      </c>
      <c r="F37" s="517">
        <v>366.75887999999998</v>
      </c>
      <c r="G37" s="517">
        <v>287.96033</v>
      </c>
      <c r="H37" s="517">
        <v>43.941489999999995</v>
      </c>
      <c r="I37" s="517">
        <f>I45</f>
        <v>49.990010000000005</v>
      </c>
      <c r="J37" s="518">
        <v>272.28201000000001</v>
      </c>
      <c r="K37" s="518">
        <v>985.98041348400022</v>
      </c>
      <c r="L37" s="518">
        <v>985.98041348400022</v>
      </c>
      <c r="M37" s="519">
        <v>985.98041348400022</v>
      </c>
      <c r="N37" s="685">
        <f>N36*N23</f>
        <v>0</v>
      </c>
      <c r="O37" s="686">
        <f t="shared" ref="O37:AJ37" si="16">O36*O23</f>
        <v>0</v>
      </c>
      <c r="P37" s="686">
        <f t="shared" si="16"/>
        <v>0</v>
      </c>
      <c r="Q37" s="686">
        <f t="shared" si="16"/>
        <v>0</v>
      </c>
      <c r="R37" s="686">
        <f t="shared" si="16"/>
        <v>0</v>
      </c>
      <c r="S37" s="686">
        <f t="shared" si="16"/>
        <v>0</v>
      </c>
      <c r="T37" s="686">
        <f t="shared" si="16"/>
        <v>0</v>
      </c>
      <c r="U37" s="686">
        <f t="shared" si="16"/>
        <v>0</v>
      </c>
      <c r="V37" s="686">
        <f t="shared" si="16"/>
        <v>0</v>
      </c>
      <c r="W37" s="686">
        <f t="shared" si="16"/>
        <v>0</v>
      </c>
      <c r="X37" s="686">
        <f>X36*X23</f>
        <v>0</v>
      </c>
      <c r="Y37" s="686">
        <f t="shared" si="16"/>
        <v>0</v>
      </c>
      <c r="Z37" s="686">
        <f>Z36*Z23</f>
        <v>0</v>
      </c>
      <c r="AA37" s="686">
        <f t="shared" si="16"/>
        <v>0</v>
      </c>
      <c r="AB37" s="686">
        <f t="shared" si="16"/>
        <v>0</v>
      </c>
      <c r="AC37" s="686">
        <f t="shared" si="16"/>
        <v>0</v>
      </c>
      <c r="AD37" s="686">
        <f t="shared" si="16"/>
        <v>0</v>
      </c>
      <c r="AE37" s="686">
        <f t="shared" si="16"/>
        <v>0</v>
      </c>
      <c r="AF37" s="686">
        <f t="shared" si="16"/>
        <v>0</v>
      </c>
      <c r="AG37" s="686">
        <f t="shared" si="16"/>
        <v>0</v>
      </c>
      <c r="AH37" s="686">
        <f t="shared" si="16"/>
        <v>0</v>
      </c>
      <c r="AI37" s="686">
        <f t="shared" si="16"/>
        <v>0</v>
      </c>
      <c r="AJ37" s="686">
        <f t="shared" si="16"/>
        <v>0</v>
      </c>
      <c r="AK37" s="687">
        <f>AK36*AK23</f>
        <v>0</v>
      </c>
      <c r="AL37" s="411"/>
    </row>
    <row r="38" spans="1:38" ht="15.75" thickBot="1">
      <c r="A38" s="511" t="s">
        <v>146</v>
      </c>
      <c r="C38" s="496">
        <f t="shared" ref="C38:I38" si="17">C37+C29</f>
        <v>2409</v>
      </c>
      <c r="D38" s="496">
        <f t="shared" si="17"/>
        <v>2298</v>
      </c>
      <c r="E38" s="495">
        <f t="shared" si="17"/>
        <v>5852</v>
      </c>
      <c r="F38" s="496">
        <f t="shared" si="17"/>
        <v>366.75887999999998</v>
      </c>
      <c r="G38" s="496">
        <f t="shared" si="17"/>
        <v>287.96033</v>
      </c>
      <c r="H38" s="477">
        <f t="shared" si="17"/>
        <v>43.941489999999995</v>
      </c>
      <c r="I38" s="477">
        <f t="shared" si="17"/>
        <v>49.990010000000005</v>
      </c>
      <c r="J38" s="477">
        <v>16778.378980000001</v>
      </c>
      <c r="K38" s="477">
        <v>17224.213052964456</v>
      </c>
      <c r="L38" s="477">
        <v>14211.272255110272</v>
      </c>
      <c r="M38" s="477">
        <v>14635.248090661271</v>
      </c>
      <c r="N38" s="682">
        <f>N37+N29</f>
        <v>16426.492321299902</v>
      </c>
      <c r="O38" s="683">
        <f>O37+O29</f>
        <v>15424.703130184</v>
      </c>
      <c r="P38" s="683">
        <f t="shared" ref="P38:V38" si="18">P37+P29</f>
        <v>15100.440427803152</v>
      </c>
      <c r="Q38" s="683">
        <f>Q37+Q29</f>
        <v>13934.14639728439</v>
      </c>
      <c r="R38" s="683">
        <f t="shared" si="18"/>
        <v>12584.779181200722</v>
      </c>
      <c r="S38" s="683">
        <f t="shared" si="18"/>
        <v>11146.324389110807</v>
      </c>
      <c r="T38" s="683">
        <f t="shared" si="18"/>
        <v>9606.147004866194</v>
      </c>
      <c r="U38" s="683">
        <f t="shared" si="18"/>
        <v>7959.1989355896321</v>
      </c>
      <c r="V38" s="683">
        <f t="shared" si="18"/>
        <v>6216.4456551092062</v>
      </c>
      <c r="W38" s="683">
        <f t="shared" ref="W38:AI38" si="19">W37+W29</f>
        <v>4392.3845568489751</v>
      </c>
      <c r="X38" s="683">
        <f t="shared" si="19"/>
        <v>2507.0777319055319</v>
      </c>
      <c r="Y38" s="683">
        <f t="shared" si="19"/>
        <v>559.03022831076169</v>
      </c>
      <c r="Z38" s="683">
        <f>Z37+Z29</f>
        <v>-2246.0199934881307</v>
      </c>
      <c r="AA38" s="683">
        <f t="shared" si="19"/>
        <v>-5992.1935437916654</v>
      </c>
      <c r="AB38" s="683">
        <f t="shared" si="19"/>
        <v>-9944.7837269699739</v>
      </c>
      <c r="AC38" s="683">
        <f t="shared" si="19"/>
        <v>-14107.811425576732</v>
      </c>
      <c r="AD38" s="683">
        <f t="shared" si="19"/>
        <v>-18485.941401320732</v>
      </c>
      <c r="AE38" s="683">
        <f t="shared" si="19"/>
        <v>-23084.280706589114</v>
      </c>
      <c r="AF38" s="683">
        <f t="shared" si="19"/>
        <v>-27908.480127841336</v>
      </c>
      <c r="AG38" s="684">
        <f t="shared" si="19"/>
        <v>-32964.771427490676</v>
      </c>
      <c r="AH38" s="477">
        <f t="shared" si="19"/>
        <v>-38259.16691715151</v>
      </c>
      <c r="AI38" s="477">
        <f t="shared" si="19"/>
        <v>-43797.482908253245</v>
      </c>
      <c r="AJ38" s="477">
        <f>AJ37+AJ29</f>
        <v>-49585.958093876798</v>
      </c>
      <c r="AK38" s="477">
        <f>AK37+AK29</f>
        <v>-55631.352699034258</v>
      </c>
      <c r="AL38" s="267"/>
    </row>
    <row r="39" spans="1:38" ht="15">
      <c r="A39" s="511"/>
      <c r="F39" s="477"/>
      <c r="G39" s="477"/>
      <c r="H39" s="477"/>
      <c r="I39" s="477"/>
      <c r="J39" s="477"/>
      <c r="K39" s="477"/>
      <c r="L39" s="477"/>
      <c r="M39" s="477"/>
      <c r="N39" s="477"/>
      <c r="O39" s="477"/>
      <c r="P39" s="477"/>
      <c r="Q39" s="477"/>
      <c r="R39" s="477"/>
      <c r="S39" s="477"/>
      <c r="T39" s="477"/>
      <c r="U39" s="477"/>
      <c r="V39" s="477"/>
      <c r="W39" s="477"/>
      <c r="X39" s="477"/>
      <c r="Y39" s="477"/>
      <c r="Z39" s="477"/>
      <c r="AA39" s="477"/>
      <c r="AB39" s="477"/>
      <c r="AC39" s="477"/>
      <c r="AD39" s="477"/>
      <c r="AE39" s="477"/>
      <c r="AF39" s="477"/>
      <c r="AG39" s="477"/>
      <c r="AH39" s="477"/>
      <c r="AI39" s="477"/>
      <c r="AJ39" s="477"/>
      <c r="AK39" s="477"/>
    </row>
    <row r="40" spans="1:38">
      <c r="A40" s="471"/>
      <c r="C40" s="478">
        <f>C15</f>
        <v>2011</v>
      </c>
      <c r="D40" s="478">
        <f>D15</f>
        <v>2012</v>
      </c>
      <c r="E40" s="478">
        <f>E15</f>
        <v>2013</v>
      </c>
      <c r="F40" s="478">
        <f>E40+1</f>
        <v>2014</v>
      </c>
      <c r="G40" s="478">
        <v>2015</v>
      </c>
      <c r="H40" s="478">
        <v>2016</v>
      </c>
      <c r="I40" s="478">
        <v>2017</v>
      </c>
      <c r="J40" s="478">
        <v>2018</v>
      </c>
      <c r="K40" s="478">
        <v>2018</v>
      </c>
      <c r="L40" s="479"/>
      <c r="M40" s="479"/>
      <c r="Y40" s="459"/>
      <c r="AK40" s="474"/>
    </row>
    <row r="41" spans="1:38">
      <c r="A41" s="471"/>
      <c r="B41" s="480" t="s">
        <v>142</v>
      </c>
      <c r="C41" s="481">
        <f t="shared" ref="C41:I41" si="20">SUM(C43:C45)</f>
        <v>27832.999309999999</v>
      </c>
      <c r="D41" s="481">
        <f t="shared" si="20"/>
        <v>37009.955600000001</v>
      </c>
      <c r="E41" s="481">
        <f t="shared" si="20"/>
        <v>26855.156549999996</v>
      </c>
      <c r="F41" s="481">
        <f t="shared" si="20"/>
        <v>40861.326730000001</v>
      </c>
      <c r="G41" s="481">
        <f t="shared" si="20"/>
        <v>44553.034719999996</v>
      </c>
      <c r="H41" s="481">
        <f t="shared" si="20"/>
        <v>31041.645410000001</v>
      </c>
      <c r="I41" s="481">
        <f t="shared" si="20"/>
        <v>21576.932919999999</v>
      </c>
      <c r="J41" s="481">
        <v>16778.378980000001</v>
      </c>
      <c r="K41" s="481">
        <f>SUM(K43:K45)</f>
        <v>15723.454390000001</v>
      </c>
      <c r="L41" s="466"/>
      <c r="M41" s="466"/>
      <c r="N41" s="482"/>
      <c r="Y41" s="459"/>
      <c r="AK41" s="474"/>
    </row>
    <row r="42" spans="1:38">
      <c r="A42" s="471"/>
      <c r="B42" s="480"/>
      <c r="C42" s="483">
        <f t="shared" ref="C42:I42" si="21">C41/C38</f>
        <v>11.553756459111664</v>
      </c>
      <c r="D42" s="483">
        <f t="shared" si="21"/>
        <v>16.105289643167971</v>
      </c>
      <c r="E42" s="483">
        <f t="shared" si="21"/>
        <v>4.5890561431989054</v>
      </c>
      <c r="F42" s="483">
        <f t="shared" si="21"/>
        <v>111.41196289507701</v>
      </c>
      <c r="G42" s="483">
        <f t="shared" si="21"/>
        <v>154.71934873807095</v>
      </c>
      <c r="H42" s="483">
        <f t="shared" si="21"/>
        <v>706.4313342583514</v>
      </c>
      <c r="I42" s="483">
        <f t="shared" si="21"/>
        <v>431.62489705443141</v>
      </c>
      <c r="J42" s="483">
        <v>1</v>
      </c>
      <c r="K42" s="483">
        <f>K41/K38</f>
        <v>0.91286924642945233</v>
      </c>
      <c r="L42" s="466"/>
      <c r="M42" s="466"/>
      <c r="N42" s="482"/>
      <c r="Y42" s="459"/>
      <c r="AK42" s="474"/>
    </row>
    <row r="43" spans="1:38">
      <c r="A43" s="484"/>
      <c r="B43" s="485" t="s">
        <v>143</v>
      </c>
      <c r="C43" s="486">
        <v>18144.96514</v>
      </c>
      <c r="D43" s="486">
        <v>20666.41188</v>
      </c>
      <c r="E43" s="486">
        <v>9382.1069399999997</v>
      </c>
      <c r="F43" s="487">
        <v>19565.447499999998</v>
      </c>
      <c r="G43" s="487">
        <v>22845.465809999998</v>
      </c>
      <c r="H43" s="487">
        <v>17028.25549</v>
      </c>
      <c r="I43" s="487">
        <v>11590.565140000001</v>
      </c>
      <c r="J43" s="487">
        <v>10886.260880000002</v>
      </c>
      <c r="K43" s="487">
        <v>10499.93635</v>
      </c>
      <c r="N43" s="488"/>
      <c r="Y43" s="459"/>
      <c r="AK43" s="474"/>
    </row>
    <row r="44" spans="1:38">
      <c r="A44" s="484"/>
      <c r="B44" s="485" t="s">
        <v>144</v>
      </c>
      <c r="C44" s="486">
        <v>4692.8797999999997</v>
      </c>
      <c r="D44" s="486">
        <v>10875.917369999999</v>
      </c>
      <c r="E44" s="486">
        <v>12886.24843</v>
      </c>
      <c r="F44" s="487">
        <v>20929.120350000001</v>
      </c>
      <c r="G44" s="487">
        <v>21419.608579999996</v>
      </c>
      <c r="H44" s="487">
        <v>13969.44843</v>
      </c>
      <c r="I44" s="487">
        <v>9936.3777699999991</v>
      </c>
      <c r="J44" s="487">
        <v>5619.8360899999998</v>
      </c>
      <c r="K44" s="487">
        <v>3748.81306</v>
      </c>
      <c r="Y44" s="459"/>
      <c r="AK44" s="474"/>
    </row>
    <row r="45" spans="1:38" ht="16.5" customHeight="1" thickBot="1">
      <c r="A45" s="489"/>
      <c r="B45" s="490" t="s">
        <v>485</v>
      </c>
      <c r="C45" s="491">
        <v>4995.1543700000002</v>
      </c>
      <c r="D45" s="491">
        <v>5467.6263499999995</v>
      </c>
      <c r="E45" s="491">
        <v>4586.8011799999995</v>
      </c>
      <c r="F45" s="492">
        <v>366.75887999999998</v>
      </c>
      <c r="G45" s="492">
        <v>287.96033</v>
      </c>
      <c r="H45" s="492">
        <v>43.941489999999995</v>
      </c>
      <c r="I45" s="492">
        <v>49.990010000000005</v>
      </c>
      <c r="J45" s="492">
        <v>272.28201000000001</v>
      </c>
      <c r="K45" s="492">
        <v>1474.70498</v>
      </c>
      <c r="L45" s="472"/>
      <c r="M45" s="472"/>
      <c r="N45" s="472"/>
      <c r="O45" s="472"/>
      <c r="P45" s="472"/>
      <c r="Q45" s="472"/>
      <c r="R45" s="472"/>
      <c r="S45" s="472"/>
      <c r="T45" s="472"/>
      <c r="U45" s="472"/>
      <c r="V45" s="472"/>
      <c r="W45" s="472"/>
      <c r="X45" s="472"/>
      <c r="Y45" s="473"/>
      <c r="Z45" s="493"/>
      <c r="AA45" s="493"/>
      <c r="AB45" s="493"/>
      <c r="AC45" s="493"/>
      <c r="AD45" s="493"/>
      <c r="AE45" s="493"/>
      <c r="AF45" s="493"/>
      <c r="AG45" s="493"/>
      <c r="AH45" s="493"/>
      <c r="AI45" s="493"/>
      <c r="AJ45" s="493"/>
      <c r="AK45" s="494"/>
    </row>
    <row r="46" spans="1:38">
      <c r="I46" s="269"/>
      <c r="O46" s="262" t="s">
        <v>393</v>
      </c>
    </row>
    <row r="47" spans="1:38" ht="27">
      <c r="G47" s="270"/>
      <c r="I47" s="269"/>
    </row>
  </sheetData>
  <customSheetViews>
    <customSheetView guid="{2226E858-00AE-4A92-8CF6-5B54D2FA62D4}" showPageBreaks="1" topLeftCell="A10">
      <selection activeCell="J43" sqref="J43"/>
      <pageMargins left="0.7" right="0.7" top="0.75" bottom="0.75" header="0.3" footer="0.3"/>
      <pageSetup orientation="portrait" r:id="rId1"/>
    </customSheetView>
  </customSheetViews>
  <mergeCells count="11">
    <mergeCell ref="Y14:AK14"/>
    <mergeCell ref="A37:B37"/>
    <mergeCell ref="C30:E30"/>
    <mergeCell ref="A1:O1"/>
    <mergeCell ref="D11:O12"/>
    <mergeCell ref="C14:I14"/>
    <mergeCell ref="J14:K14"/>
    <mergeCell ref="L14:M14"/>
    <mergeCell ref="N16:X16"/>
    <mergeCell ref="P14:X14"/>
    <mergeCell ref="N14:O14"/>
  </mergeCells>
  <hyperlinks>
    <hyperlink ref="Q3" location="'Capital Input File'!A1" display="Capital Input" xr:uid="{00000000-0004-0000-0700-000000000000}"/>
    <hyperlink ref="Q10" r:id="rId2" xr:uid="{00000000-0004-0000-0700-000001000000}"/>
  </hyperlinks>
  <pageMargins left="0.7" right="0.7" top="0.75" bottom="0.75" header="0.3" footer="0.3"/>
  <pageSetup orientation="portrait" r:id="rId3"/>
  <legacyDrawing r:id="rId4"/>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C00000"/>
  </sheetPr>
  <dimension ref="A1:Z36"/>
  <sheetViews>
    <sheetView zoomScale="90" zoomScaleNormal="90" workbookViewId="0">
      <pane xSplit="2" ySplit="13" topLeftCell="J14" activePane="bottomRight" state="frozen"/>
      <selection pane="topRight" activeCell="C1" sqref="C1"/>
      <selection pane="bottomLeft" activeCell="A14" sqref="A14"/>
      <selection pane="bottomRight" activeCell="Q34" sqref="Q34"/>
    </sheetView>
  </sheetViews>
  <sheetFormatPr defaultColWidth="5.7109375" defaultRowHeight="14.25" outlineLevelRow="1"/>
  <cols>
    <col min="1" max="1" width="17.7109375" style="765" customWidth="1"/>
    <col min="2" max="2" width="55.7109375" style="746" bestFit="1" customWidth="1"/>
    <col min="3" max="3" width="13.85546875" style="746" bestFit="1" customWidth="1"/>
    <col min="4" max="4" width="15" style="746" bestFit="1" customWidth="1"/>
    <col min="5" max="5" width="14.5703125" style="746" bestFit="1" customWidth="1"/>
    <col min="6" max="7" width="13.7109375" style="746" bestFit="1" customWidth="1"/>
    <col min="8" max="18" width="13.5703125" style="746" bestFit="1" customWidth="1"/>
    <col min="19" max="22" width="13.7109375" style="746" bestFit="1" customWidth="1"/>
    <col min="23" max="23" width="9.85546875" style="746" bestFit="1" customWidth="1"/>
    <col min="24" max="16384" width="5.7109375" style="746"/>
  </cols>
  <sheetData>
    <row r="1" spans="1:26" ht="18">
      <c r="A1" s="948"/>
      <c r="B1" s="949"/>
      <c r="C1" s="949"/>
      <c r="D1" s="949"/>
      <c r="E1" s="949"/>
      <c r="F1" s="949"/>
      <c r="G1" s="949"/>
      <c r="H1" s="949"/>
      <c r="I1" s="950"/>
      <c r="J1" s="737"/>
      <c r="K1" s="737"/>
      <c r="L1" s="737"/>
      <c r="M1" s="737"/>
    </row>
    <row r="2" spans="1:26" ht="18" hidden="1" customHeight="1" outlineLevel="1">
      <c r="A2" s="747"/>
      <c r="B2" s="748"/>
      <c r="C2" s="738"/>
      <c r="E2" s="749"/>
      <c r="F2" s="749"/>
      <c r="G2" s="738"/>
      <c r="H2" s="738"/>
      <c r="I2" s="739"/>
      <c r="J2" s="737"/>
      <c r="K2" s="737"/>
      <c r="L2" s="737"/>
      <c r="M2" s="737"/>
    </row>
    <row r="3" spans="1:26" ht="15" hidden="1" customHeight="1" outlineLevel="1">
      <c r="A3" s="750" t="s">
        <v>73</v>
      </c>
      <c r="B3" s="740" t="s">
        <v>765</v>
      </c>
      <c r="C3" s="751"/>
      <c r="F3" s="752" t="s">
        <v>482</v>
      </c>
      <c r="G3" s="753"/>
      <c r="I3" s="754"/>
    </row>
    <row r="4" spans="1:26" ht="15" hidden="1" customHeight="1" outlineLevel="1">
      <c r="A4" s="755"/>
      <c r="B4" s="418"/>
      <c r="F4" s="746" t="s">
        <v>748</v>
      </c>
      <c r="I4" s="754"/>
    </row>
    <row r="5" spans="1:26" ht="15" hidden="1" customHeight="1" outlineLevel="1">
      <c r="A5" s="756" t="s">
        <v>9</v>
      </c>
      <c r="B5" s="418" t="e">
        <f>'Revenue Requirement'!#REF!</f>
        <v>#REF!</v>
      </c>
      <c r="F5" s="746" t="s">
        <v>483</v>
      </c>
      <c r="I5" s="754"/>
    </row>
    <row r="6" spans="1:26" ht="15" hidden="1" customHeight="1" outlineLevel="1">
      <c r="A6" s="756"/>
      <c r="B6" s="418"/>
      <c r="I6" s="754"/>
    </row>
    <row r="7" spans="1:26" ht="15" hidden="1" customHeight="1" outlineLevel="1">
      <c r="A7" s="756"/>
      <c r="B7" s="418"/>
      <c r="F7" s="757" t="s">
        <v>401</v>
      </c>
      <c r="H7" s="758"/>
      <c r="I7" s="754"/>
      <c r="K7" s="759"/>
      <c r="L7" s="759"/>
      <c r="M7" s="759"/>
      <c r="N7" s="759"/>
      <c r="O7" s="759"/>
      <c r="P7" s="759"/>
      <c r="Q7" s="759"/>
      <c r="R7" s="759"/>
      <c r="S7" s="759"/>
      <c r="T7" s="741"/>
      <c r="U7" s="741"/>
      <c r="V7" s="741"/>
      <c r="W7" s="741"/>
      <c r="X7" s="741"/>
      <c r="Y7" s="741"/>
      <c r="Z7" s="741"/>
    </row>
    <row r="8" spans="1:26" ht="15" hidden="1" customHeight="1" outlineLevel="1">
      <c r="A8" s="756"/>
      <c r="C8" s="951"/>
      <c r="D8" s="951"/>
      <c r="E8" s="951"/>
      <c r="F8" s="951"/>
      <c r="G8" s="951"/>
      <c r="H8" s="951"/>
      <c r="I8" s="754"/>
    </row>
    <row r="9" spans="1:26" ht="15" hidden="1" customHeight="1" outlineLevel="1">
      <c r="A9" s="756" t="s">
        <v>13</v>
      </c>
      <c r="B9" s="418">
        <v>2026</v>
      </c>
      <c r="C9" s="951"/>
      <c r="D9" s="951"/>
      <c r="E9" s="951"/>
      <c r="F9" s="951"/>
      <c r="G9" s="951"/>
      <c r="H9" s="951"/>
      <c r="I9" s="754"/>
      <c r="R9" s="760" t="s">
        <v>709</v>
      </c>
      <c r="S9" s="760"/>
    </row>
    <row r="10" spans="1:26" ht="15" hidden="1" customHeight="1" outlineLevel="1">
      <c r="A10" s="761" t="s">
        <v>14</v>
      </c>
      <c r="B10" s="418" t="e">
        <f>'Revenue Requirement'!#REF!</f>
        <v>#REF!</v>
      </c>
      <c r="C10" s="951"/>
      <c r="D10" s="951"/>
      <c r="E10" s="951"/>
      <c r="F10" s="951"/>
      <c r="G10" s="951"/>
      <c r="H10" s="951"/>
      <c r="I10" s="754"/>
      <c r="R10" s="760"/>
      <c r="S10" s="760"/>
    </row>
    <row r="11" spans="1:26" ht="15" hidden="1" customHeight="1" outlineLevel="1">
      <c r="A11" s="762"/>
      <c r="B11" s="762"/>
      <c r="C11" s="762"/>
      <c r="D11" s="762"/>
      <c r="E11" s="763" t="s">
        <v>706</v>
      </c>
      <c r="F11" s="764"/>
      <c r="G11" s="742" t="s">
        <v>700</v>
      </c>
      <c r="H11" s="743"/>
      <c r="I11" s="744"/>
      <c r="M11" s="760"/>
      <c r="N11" s="760"/>
      <c r="O11" s="760"/>
      <c r="P11" s="760"/>
      <c r="Q11" s="760"/>
    </row>
    <row r="12" spans="1:26" ht="15" hidden="1" customHeight="1" outlineLevel="1">
      <c r="A12" s="746"/>
      <c r="G12" s="745"/>
      <c r="H12" s="745"/>
      <c r="I12" s="745"/>
      <c r="J12" s="760"/>
      <c r="K12" s="760"/>
      <c r="L12" s="760"/>
      <c r="M12" s="760"/>
      <c r="N12" s="760">
        <f>VLOOKUP(N$13,'GI Forecast(Tbls 4 &amp; 9)'!$B$51:$M$95,5,0)</f>
        <v>2.2406324197609118E-2</v>
      </c>
      <c r="O12" s="760">
        <f>VLOOKUP(O$13,'GI Forecast(Tbls 4 &amp; 9)'!$B$51:$M$95,5,0)</f>
        <v>2.1846855571652543E-2</v>
      </c>
      <c r="P12" s="760">
        <f>VLOOKUP(P$13,'GI Forecast(Tbls 4 &amp; 9)'!$B$51:$M$95,5,0)</f>
        <v>2.1418040273141946E-2</v>
      </c>
      <c r="Q12" s="760">
        <f>VLOOKUP(Q$13,'GI Forecast(Tbls 4 &amp; 9)'!$B$51:$M$95,5,0)</f>
        <v>2.1253626110516535E-2</v>
      </c>
      <c r="R12" s="760">
        <f>VLOOKUP(R$13,'GI Forecast(Tbls 4 &amp; 9)'!$B$51:$M$95,5,0)</f>
        <v>2.1018422109408623E-2</v>
      </c>
      <c r="S12" s="760">
        <f>VLOOKUP(S$13,'GI Forecast(Tbls 4 &amp; 9)'!$B$51:$M$95,5,0)</f>
        <v>2.1082762255665997E-2</v>
      </c>
    </row>
    <row r="13" spans="1:26" ht="43.5" collapsed="1">
      <c r="A13" s="765" t="s">
        <v>658</v>
      </c>
      <c r="B13" s="766" t="s">
        <v>657</v>
      </c>
      <c r="C13" s="767">
        <v>2024</v>
      </c>
      <c r="D13" s="768">
        <f t="shared" ref="D13:S13" si="0">+C13+1</f>
        <v>2025</v>
      </c>
      <c r="E13" s="767">
        <f t="shared" si="0"/>
        <v>2026</v>
      </c>
      <c r="F13" s="768">
        <f t="shared" si="0"/>
        <v>2027</v>
      </c>
      <c r="G13" s="767">
        <f t="shared" si="0"/>
        <v>2028</v>
      </c>
      <c r="H13" s="768">
        <f t="shared" si="0"/>
        <v>2029</v>
      </c>
      <c r="I13" s="767">
        <f t="shared" si="0"/>
        <v>2030</v>
      </c>
      <c r="J13" s="768">
        <f t="shared" si="0"/>
        <v>2031</v>
      </c>
      <c r="K13" s="767">
        <f t="shared" si="0"/>
        <v>2032</v>
      </c>
      <c r="L13" s="768">
        <f t="shared" si="0"/>
        <v>2033</v>
      </c>
      <c r="M13" s="767">
        <f t="shared" si="0"/>
        <v>2034</v>
      </c>
      <c r="N13" s="768">
        <f t="shared" si="0"/>
        <v>2035</v>
      </c>
      <c r="O13" s="767">
        <f t="shared" si="0"/>
        <v>2036</v>
      </c>
      <c r="P13" s="768">
        <f t="shared" si="0"/>
        <v>2037</v>
      </c>
      <c r="Q13" s="767">
        <f t="shared" si="0"/>
        <v>2038</v>
      </c>
      <c r="R13" s="768">
        <f t="shared" si="0"/>
        <v>2039</v>
      </c>
      <c r="S13" s="767">
        <f t="shared" si="0"/>
        <v>2040</v>
      </c>
    </row>
    <row r="14" spans="1:26" ht="15">
      <c r="B14" s="769" t="s">
        <v>746</v>
      </c>
      <c r="C14" s="567">
        <f>SUM(C15:C19)</f>
        <v>6687083</v>
      </c>
      <c r="D14" s="567">
        <f>SUM(D15:D19)</f>
        <v>7335593.5959999999</v>
      </c>
      <c r="E14" s="567">
        <f t="shared" ref="E14:S14" si="1">SUM(E15:E19)</f>
        <v>8207681.2920000013</v>
      </c>
      <c r="F14" s="567">
        <f t="shared" si="1"/>
        <v>9277042.3320000004</v>
      </c>
      <c r="G14" s="567">
        <f t="shared" si="1"/>
        <v>10196367.709000001</v>
      </c>
      <c r="H14" s="567">
        <f t="shared" si="1"/>
        <v>10817796.399</v>
      </c>
      <c r="I14" s="567">
        <f t="shared" si="1"/>
        <v>11406423.024</v>
      </c>
      <c r="J14" s="567">
        <f t="shared" si="1"/>
        <v>11984500.370000001</v>
      </c>
      <c r="K14" s="567">
        <f t="shared" si="1"/>
        <v>12218683.505000001</v>
      </c>
      <c r="L14" s="567">
        <f t="shared" si="1"/>
        <v>12419505.332</v>
      </c>
      <c r="M14" s="567">
        <f t="shared" si="1"/>
        <v>12624039.495000001</v>
      </c>
      <c r="N14" s="567">
        <f t="shared" si="1"/>
        <v>12816486.951000001</v>
      </c>
      <c r="O14" s="567">
        <f t="shared" si="1"/>
        <v>13059864.675000001</v>
      </c>
      <c r="P14" s="567">
        <f t="shared" si="1"/>
        <v>13342285.197000001</v>
      </c>
      <c r="Q14" s="567">
        <f t="shared" si="1"/>
        <v>13633707.586000001</v>
      </c>
      <c r="R14" s="567">
        <f t="shared" si="1"/>
        <v>13926526.318000002</v>
      </c>
      <c r="S14" s="567">
        <f t="shared" si="1"/>
        <v>14228683.178000001</v>
      </c>
    </row>
    <row r="15" spans="1:26">
      <c r="B15" s="746" t="s">
        <v>608</v>
      </c>
      <c r="C15" s="285">
        <v>6319398</v>
      </c>
      <c r="D15" s="285">
        <f>+C14</f>
        <v>6687083</v>
      </c>
      <c r="E15" s="285">
        <f t="shared" ref="E15:S15" si="2">+D14</f>
        <v>7335593.5959999999</v>
      </c>
      <c r="F15" s="285">
        <f t="shared" si="2"/>
        <v>8207681.2920000013</v>
      </c>
      <c r="G15" s="285">
        <f t="shared" si="2"/>
        <v>9277042.3320000004</v>
      </c>
      <c r="H15" s="285">
        <f t="shared" si="2"/>
        <v>10196367.709000001</v>
      </c>
      <c r="I15" s="285">
        <f t="shared" si="2"/>
        <v>10817796.399</v>
      </c>
      <c r="J15" s="285">
        <f t="shared" si="2"/>
        <v>11406423.024</v>
      </c>
      <c r="K15" s="285">
        <f t="shared" si="2"/>
        <v>11984500.370000001</v>
      </c>
      <c r="L15" s="285">
        <f t="shared" si="2"/>
        <v>12218683.505000001</v>
      </c>
      <c r="M15" s="285">
        <f t="shared" si="2"/>
        <v>12419505.332</v>
      </c>
      <c r="N15" s="285">
        <f t="shared" si="2"/>
        <v>12624039.495000001</v>
      </c>
      <c r="O15" s="285">
        <f t="shared" si="2"/>
        <v>12816486.951000001</v>
      </c>
      <c r="P15" s="285">
        <f t="shared" si="2"/>
        <v>13059864.675000001</v>
      </c>
      <c r="Q15" s="285">
        <f t="shared" si="2"/>
        <v>13342285.197000001</v>
      </c>
      <c r="R15" s="285">
        <f t="shared" si="2"/>
        <v>13633707.586000001</v>
      </c>
      <c r="S15" s="285">
        <f t="shared" si="2"/>
        <v>13926526.318000002</v>
      </c>
    </row>
    <row r="16" spans="1:26" ht="28.5">
      <c r="A16" s="765" t="s">
        <v>741</v>
      </c>
      <c r="B16" s="746" t="s">
        <v>651</v>
      </c>
      <c r="C16" s="285">
        <v>0</v>
      </c>
      <c r="D16" s="285">
        <f>HLOOKUP(D$13,'Revenue Requirement'!$C$37:$I$72,24,FALSE)</f>
        <v>946800</v>
      </c>
      <c r="E16" s="285">
        <f>HLOOKUP(E$13,'Revenue Requirement'!$C$37:$I$72,24,FALSE)</f>
        <v>1240200</v>
      </c>
      <c r="F16" s="285">
        <f>HLOOKUP(F$13,'Revenue Requirement'!$C$37:$I$72,24,FALSE)</f>
        <v>1414400</v>
      </c>
      <c r="G16" s="285">
        <f>HLOOKUP(G$13,'Revenue Requirement'!$C$37:$I$72,24,FALSE)</f>
        <v>1314400</v>
      </c>
      <c r="H16" s="285">
        <v>993600</v>
      </c>
      <c r="I16" s="285">
        <v>983300</v>
      </c>
      <c r="J16" s="285">
        <v>1002700</v>
      </c>
      <c r="K16" s="285">
        <v>699500</v>
      </c>
      <c r="L16" s="285">
        <v>711100</v>
      </c>
      <c r="M16" s="285">
        <v>740600</v>
      </c>
      <c r="N16" s="285">
        <v>749100</v>
      </c>
      <c r="O16" s="285">
        <v>767400</v>
      </c>
      <c r="P16" s="285">
        <v>777500</v>
      </c>
      <c r="Q16" s="285">
        <v>797100</v>
      </c>
      <c r="R16" s="285">
        <v>809200</v>
      </c>
      <c r="S16" s="285">
        <v>829500</v>
      </c>
    </row>
    <row r="17" spans="1:24">
      <c r="B17" s="746" t="s">
        <v>652</v>
      </c>
      <c r="C17" s="285"/>
      <c r="D17" s="285"/>
      <c r="E17" s="285"/>
      <c r="F17" s="285"/>
      <c r="G17" s="285"/>
      <c r="H17" s="285"/>
      <c r="I17" s="285"/>
      <c r="J17" s="285"/>
      <c r="K17" s="285"/>
      <c r="L17" s="285"/>
      <c r="M17" s="285"/>
      <c r="N17" s="285"/>
      <c r="O17" s="285"/>
      <c r="P17" s="285"/>
      <c r="Q17" s="285"/>
      <c r="R17" s="285"/>
      <c r="S17" s="285"/>
    </row>
    <row r="18" spans="1:24">
      <c r="B18" s="746" t="s">
        <v>653</v>
      </c>
      <c r="C18" s="285">
        <v>367685</v>
      </c>
      <c r="D18" s="285"/>
      <c r="E18" s="285"/>
      <c r="F18" s="285"/>
      <c r="G18" s="285"/>
      <c r="H18" s="285"/>
      <c r="I18" s="285"/>
      <c r="J18" s="285"/>
      <c r="K18" s="285"/>
      <c r="L18" s="285"/>
      <c r="M18" s="285"/>
      <c r="N18" s="285"/>
      <c r="O18" s="285"/>
      <c r="P18" s="285"/>
      <c r="Q18" s="285"/>
      <c r="R18" s="285"/>
      <c r="S18" s="285"/>
    </row>
    <row r="19" spans="1:24" ht="28.5">
      <c r="A19" s="765" t="s">
        <v>660</v>
      </c>
      <c r="B19" s="746" t="s">
        <v>607</v>
      </c>
      <c r="C19" s="285">
        <v>0</v>
      </c>
      <c r="D19" s="285">
        <f>SUM('Revenue Requirement'!F$62:F$64)</f>
        <v>-298289.40399999998</v>
      </c>
      <c r="E19" s="285">
        <f>SUM('Revenue Requirement'!G$62:G$64)</f>
        <v>-368112.304</v>
      </c>
      <c r="F19" s="285">
        <f>SUM('Revenue Requirement'!H$62:H$64)</f>
        <v>-345038.96</v>
      </c>
      <c r="G19" s="285">
        <f>SUM('Revenue Requirement'!I$62:I$64)</f>
        <v>-395074.62299999996</v>
      </c>
      <c r="H19" s="285">
        <v>-372171.31</v>
      </c>
      <c r="I19" s="285">
        <v>-394673.375</v>
      </c>
      <c r="J19" s="285">
        <v>-424622.65399999998</v>
      </c>
      <c r="K19" s="285">
        <v>-465316.86499999999</v>
      </c>
      <c r="L19" s="285">
        <v>-510278.17300000001</v>
      </c>
      <c r="M19" s="285">
        <v>-536065.83700000006</v>
      </c>
      <c r="N19" s="285">
        <v>-556652.54399999999</v>
      </c>
      <c r="O19" s="285">
        <v>-524022.27600000001</v>
      </c>
      <c r="P19" s="285">
        <v>-495079.478</v>
      </c>
      <c r="Q19" s="285">
        <v>-505677.61100000003</v>
      </c>
      <c r="R19" s="285">
        <v>-516381.26799999998</v>
      </c>
      <c r="S19" s="285">
        <v>-527343.14</v>
      </c>
    </row>
    <row r="20" spans="1:24">
      <c r="C20" s="285"/>
      <c r="D20" s="285"/>
      <c r="E20" s="285"/>
      <c r="F20" s="285"/>
      <c r="G20" s="285"/>
      <c r="H20" s="285"/>
      <c r="I20" s="285"/>
      <c r="J20" s="285"/>
      <c r="K20" s="285"/>
      <c r="L20" s="285"/>
      <c r="M20" s="285"/>
      <c r="N20" s="285"/>
      <c r="O20" s="285"/>
      <c r="P20" s="285"/>
      <c r="Q20" s="285"/>
      <c r="R20" s="285"/>
      <c r="S20" s="285"/>
    </row>
    <row r="21" spans="1:24" ht="15" outlineLevel="1">
      <c r="B21" s="769" t="s">
        <v>650</v>
      </c>
      <c r="C21" s="567">
        <f>SUM(C22:C29)</f>
        <v>8896371</v>
      </c>
      <c r="D21" s="567">
        <f>SUM(D22:D29)</f>
        <v>9634634.3310915846</v>
      </c>
      <c r="E21" s="567">
        <f t="shared" ref="E21:F21" si="3">SUM(E22:E29)</f>
        <v>10716951.858759146</v>
      </c>
      <c r="F21" s="567">
        <f t="shared" si="3"/>
        <v>11952014.172485843</v>
      </c>
      <c r="G21" s="567">
        <f>SUM(G22:G29)</f>
        <v>13061376.714379326</v>
      </c>
      <c r="H21" s="567">
        <f t="shared" ref="H21:S21" si="4">SUM(H22:H29)</f>
        <v>13839065.549513767</v>
      </c>
      <c r="I21" s="567">
        <f t="shared" si="4"/>
        <v>14574471.35336115</v>
      </c>
      <c r="J21" s="567">
        <f t="shared" si="4"/>
        <v>15324501.044629298</v>
      </c>
      <c r="K21" s="567">
        <f t="shared" si="4"/>
        <v>15752350.013422821</v>
      </c>
      <c r="L21" s="567">
        <f t="shared" si="4"/>
        <v>16189878.349920828</v>
      </c>
      <c r="M21" s="567">
        <f t="shared" si="4"/>
        <v>16640875.248506187</v>
      </c>
      <c r="N21" s="567">
        <f t="shared" si="4"/>
        <v>17102962.188810974</v>
      </c>
      <c r="O21" s="567">
        <f t="shared" si="4"/>
        <v>17569788.024469864</v>
      </c>
      <c r="P21" s="567">
        <f t="shared" si="4"/>
        <v>18043595.444503855</v>
      </c>
      <c r="Q21" s="567">
        <f t="shared" si="4"/>
        <v>18524314.823659092</v>
      </c>
      <c r="R21" s="567">
        <f t="shared" si="4"/>
        <v>19012220.276723724</v>
      </c>
      <c r="S21" s="567">
        <f t="shared" si="4"/>
        <v>19507302.646274954</v>
      </c>
    </row>
    <row r="22" spans="1:24" outlineLevel="1">
      <c r="B22" s="746" t="s">
        <v>609</v>
      </c>
      <c r="C22" s="285">
        <v>11689709</v>
      </c>
      <c r="D22" s="285">
        <f>+C22+C24+C25+C26</f>
        <v>11689709</v>
      </c>
      <c r="E22" s="285">
        <f t="shared" ref="E22:S22" si="5">+D22+D24+D25+D26</f>
        <v>12623168.72684842</v>
      </c>
      <c r="F22" s="285">
        <f t="shared" si="5"/>
        <v>13925201.650272816</v>
      </c>
      <c r="G22" s="285">
        <f t="shared" si="5"/>
        <v>15406609.64929169</v>
      </c>
      <c r="H22" s="285">
        <f t="shared" si="5"/>
        <v>16790450.226034686</v>
      </c>
      <c r="I22" s="285">
        <f t="shared" si="5"/>
        <v>17861347.894816887</v>
      </c>
      <c r="J22" s="285">
        <f t="shared" si="5"/>
        <v>18916756.067421511</v>
      </c>
      <c r="K22" s="285">
        <f t="shared" si="5"/>
        <v>20008963.34614988</v>
      </c>
      <c r="L22" s="285">
        <f t="shared" si="5"/>
        <v>20799611.458978459</v>
      </c>
      <c r="M22" s="285">
        <f t="shared" si="5"/>
        <v>21618155.79355754</v>
      </c>
      <c r="N22" s="285">
        <f t="shared" si="5"/>
        <v>22467587.585283671</v>
      </c>
      <c r="O22" s="285">
        <f t="shared" si="5"/>
        <v>23340675.44792356</v>
      </c>
      <c r="P22" s="285">
        <f t="shared" si="5"/>
        <v>24231028.99928407</v>
      </c>
      <c r="Q22" s="285">
        <f t="shared" si="5"/>
        <v>25140913.348859228</v>
      </c>
      <c r="R22" s="285">
        <f t="shared" si="5"/>
        <v>26070429.254488144</v>
      </c>
      <c r="S22" s="285">
        <f t="shared" si="5"/>
        <v>27019977.414949398</v>
      </c>
    </row>
    <row r="23" spans="1:24" outlineLevel="1">
      <c r="B23" s="746" t="s">
        <v>610</v>
      </c>
      <c r="C23" s="285">
        <v>1526252</v>
      </c>
      <c r="D23" s="285">
        <f t="shared" ref="D23:S23" si="6">+C23</f>
        <v>1526252</v>
      </c>
      <c r="E23" s="285">
        <f t="shared" si="6"/>
        <v>1526252</v>
      </c>
      <c r="F23" s="285">
        <f t="shared" si="6"/>
        <v>1526252</v>
      </c>
      <c r="G23" s="285">
        <f t="shared" si="6"/>
        <v>1526252</v>
      </c>
      <c r="H23" s="285">
        <f t="shared" si="6"/>
        <v>1526252</v>
      </c>
      <c r="I23" s="285">
        <f t="shared" si="6"/>
        <v>1526252</v>
      </c>
      <c r="J23" s="285">
        <f t="shared" si="6"/>
        <v>1526252</v>
      </c>
      <c r="K23" s="285">
        <f t="shared" si="6"/>
        <v>1526252</v>
      </c>
      <c r="L23" s="285">
        <f t="shared" si="6"/>
        <v>1526252</v>
      </c>
      <c r="M23" s="285">
        <f t="shared" si="6"/>
        <v>1526252</v>
      </c>
      <c r="N23" s="285">
        <f t="shared" si="6"/>
        <v>1526252</v>
      </c>
      <c r="O23" s="285">
        <f t="shared" si="6"/>
        <v>1526252</v>
      </c>
      <c r="P23" s="285">
        <f t="shared" si="6"/>
        <v>1526252</v>
      </c>
      <c r="Q23" s="285">
        <f t="shared" si="6"/>
        <v>1526252</v>
      </c>
      <c r="R23" s="285">
        <f t="shared" si="6"/>
        <v>1526252</v>
      </c>
      <c r="S23" s="285">
        <f t="shared" si="6"/>
        <v>1526252</v>
      </c>
    </row>
    <row r="24" spans="1:24" ht="28.5" outlineLevel="1">
      <c r="A24" s="765" t="s">
        <v>741</v>
      </c>
      <c r="B24" s="746" t="s">
        <v>654</v>
      </c>
      <c r="C24" s="285"/>
      <c r="D24" s="285">
        <f>-HLOOKUP(D$13,'Revenue Requirement'!$C$37:$I$72,21,FALSE)</f>
        <v>1001800</v>
      </c>
      <c r="E24" s="285">
        <f>-HLOOKUP(E$13,'Revenue Requirement'!$C$37:$I$72,21,FALSE)</f>
        <v>1365200</v>
      </c>
      <c r="F24" s="285">
        <f>-HLOOKUP(F$13,'Revenue Requirement'!$C$37:$I$72,21,FALSE)</f>
        <v>1539400</v>
      </c>
      <c r="G24" s="285">
        <f>-HLOOKUP(G$13,'Revenue Requirement'!$C$37:$I$72,21,FALSE)</f>
        <v>1439400</v>
      </c>
      <c r="H24" s="285">
        <v>1133600</v>
      </c>
      <c r="I24" s="285">
        <v>1123300</v>
      </c>
      <c r="J24" s="285">
        <v>1157700</v>
      </c>
      <c r="K24" s="285">
        <v>854500</v>
      </c>
      <c r="L24" s="285">
        <v>881100</v>
      </c>
      <c r="M24" s="285">
        <v>910600</v>
      </c>
      <c r="N24" s="285">
        <v>934100</v>
      </c>
      <c r="O24" s="285">
        <v>952400</v>
      </c>
      <c r="P24" s="285">
        <v>971900</v>
      </c>
      <c r="Q24" s="285">
        <v>991500</v>
      </c>
      <c r="R24" s="285">
        <v>1011500</v>
      </c>
      <c r="S24" s="285">
        <v>1031800</v>
      </c>
    </row>
    <row r="25" spans="1:24" outlineLevel="1">
      <c r="A25" s="765" t="s">
        <v>87</v>
      </c>
      <c r="B25" s="746" t="s">
        <v>655</v>
      </c>
      <c r="C25" s="285"/>
      <c r="D25" s="285">
        <v>40159.649015084869</v>
      </c>
      <c r="E25" s="285">
        <v>45332.84559106332</v>
      </c>
      <c r="F25" s="285">
        <v>50507.921185540341</v>
      </c>
      <c r="G25" s="285">
        <v>52940.498909664151</v>
      </c>
      <c r="H25" s="285">
        <v>45797.590948868994</v>
      </c>
      <c r="I25" s="285">
        <v>40608.094771291122</v>
      </c>
      <c r="J25" s="285">
        <v>43007.200895037284</v>
      </c>
      <c r="K25" s="285">
        <v>44648.034995247959</v>
      </c>
      <c r="L25" s="285">
        <v>45944.256745749415</v>
      </c>
      <c r="M25" s="285">
        <v>47331.713892799329</v>
      </c>
      <c r="N25" s="285">
        <v>47487.784806556483</v>
      </c>
      <c r="O25" s="285">
        <v>46453.473527178998</v>
      </c>
      <c r="P25" s="285">
        <v>46484.271741826684</v>
      </c>
      <c r="Q25" s="285">
        <v>46515.827795584701</v>
      </c>
      <c r="R25" s="285">
        <v>46548.082627922202</v>
      </c>
      <c r="S25" s="285">
        <v>46581.336860096402</v>
      </c>
    </row>
    <row r="26" spans="1:24" outlineLevel="1">
      <c r="A26" s="765" t="s">
        <v>742</v>
      </c>
      <c r="B26" s="746" t="s">
        <v>747</v>
      </c>
      <c r="C26" s="770"/>
      <c r="D26" s="285">
        <v>-108499.92216666667</v>
      </c>
      <c r="E26" s="285">
        <f>+D26</f>
        <v>-108499.92216666667</v>
      </c>
      <c r="F26" s="285">
        <f t="shared" ref="F26:S26" si="7">+E26</f>
        <v>-108499.92216666667</v>
      </c>
      <c r="G26" s="285">
        <f t="shared" si="7"/>
        <v>-108499.92216666667</v>
      </c>
      <c r="H26" s="285">
        <f t="shared" si="7"/>
        <v>-108499.92216666667</v>
      </c>
      <c r="I26" s="285">
        <f t="shared" si="7"/>
        <v>-108499.92216666667</v>
      </c>
      <c r="J26" s="285">
        <f t="shared" si="7"/>
        <v>-108499.92216666667</v>
      </c>
      <c r="K26" s="285">
        <f t="shared" si="7"/>
        <v>-108499.92216666667</v>
      </c>
      <c r="L26" s="285">
        <f t="shared" si="7"/>
        <v>-108499.92216666667</v>
      </c>
      <c r="M26" s="285">
        <f t="shared" si="7"/>
        <v>-108499.92216666667</v>
      </c>
      <c r="N26" s="285">
        <f t="shared" si="7"/>
        <v>-108499.92216666667</v>
      </c>
      <c r="O26" s="285">
        <f t="shared" si="7"/>
        <v>-108499.92216666667</v>
      </c>
      <c r="P26" s="285">
        <f t="shared" si="7"/>
        <v>-108499.92216666667</v>
      </c>
      <c r="Q26" s="285">
        <f t="shared" si="7"/>
        <v>-108499.92216666667</v>
      </c>
      <c r="R26" s="285">
        <f t="shared" si="7"/>
        <v>-108499.92216666667</v>
      </c>
      <c r="S26" s="285">
        <f t="shared" si="7"/>
        <v>-108499.92216666667</v>
      </c>
    </row>
    <row r="27" spans="1:24" outlineLevel="1">
      <c r="B27" s="771" t="s">
        <v>611</v>
      </c>
      <c r="C27" s="285">
        <v>-4319590</v>
      </c>
      <c r="D27" s="285">
        <f>+C27+C28+C29</f>
        <v>-4319590</v>
      </c>
      <c r="E27" s="285">
        <f t="shared" ref="E27:S27" si="8">+D27+D28+D29</f>
        <v>-4514786.3957568351</v>
      </c>
      <c r="F27" s="285">
        <f t="shared" si="8"/>
        <v>-4734501.7915136702</v>
      </c>
      <c r="G27" s="285">
        <f t="shared" si="8"/>
        <v>-4980847.4768058462</v>
      </c>
      <c r="H27" s="285">
        <f t="shared" si="8"/>
        <v>-5255325.5116553595</v>
      </c>
      <c r="I27" s="285">
        <f t="shared" si="8"/>
        <v>-5548534.3453031201</v>
      </c>
      <c r="J27" s="285">
        <f t="shared" si="8"/>
        <v>-5868536.7140603606</v>
      </c>
      <c r="K27" s="285">
        <f t="shared" si="8"/>
        <v>-6210714.3015205823</v>
      </c>
      <c r="L27" s="285">
        <f t="shared" si="8"/>
        <v>-6573513.4455556385</v>
      </c>
      <c r="M27" s="285">
        <f t="shared" si="8"/>
        <v>-6954529.4436367126</v>
      </c>
      <c r="N27" s="285">
        <f t="shared" si="8"/>
        <v>-7352964.3367774859</v>
      </c>
      <c r="O27" s="285">
        <f t="shared" si="8"/>
        <v>-7763965.2591125891</v>
      </c>
      <c r="P27" s="285">
        <f t="shared" si="8"/>
        <v>-8187492.9748142064</v>
      </c>
      <c r="Q27" s="285">
        <f t="shared" si="8"/>
        <v>-8623569.9043553751</v>
      </c>
      <c r="R27" s="285">
        <f t="shared" si="8"/>
        <v>-9072366.4308290556</v>
      </c>
      <c r="S27" s="285">
        <f t="shared" si="8"/>
        <v>-9534009.1382256765</v>
      </c>
    </row>
    <row r="28" spans="1:24" ht="28.5" outlineLevel="1">
      <c r="A28" s="765" t="s">
        <v>741</v>
      </c>
      <c r="B28" s="746" t="s">
        <v>612</v>
      </c>
      <c r="C28" s="285"/>
      <c r="D28" s="285">
        <v>-357586.61089824483</v>
      </c>
      <c r="E28" s="285">
        <v>-382105.61089824483</v>
      </c>
      <c r="F28" s="285">
        <v>-408735.90043358639</v>
      </c>
      <c r="G28" s="285">
        <v>-436868.24999092374</v>
      </c>
      <c r="H28" s="285">
        <v>-455599.04878917022</v>
      </c>
      <c r="I28" s="285">
        <v>-482392.58389865077</v>
      </c>
      <c r="J28" s="285">
        <v>-504567.80260163127</v>
      </c>
      <c r="K28" s="285">
        <v>-525189.35917646613</v>
      </c>
      <c r="L28" s="285">
        <v>-543406.21322248387</v>
      </c>
      <c r="M28" s="285">
        <v>-560825.10828218283</v>
      </c>
      <c r="N28" s="285">
        <f>+M28*(1+N12)</f>
        <v>-573391.1374765127</v>
      </c>
      <c r="O28" s="285">
        <f>+N28*(1+O12)</f>
        <v>-585917.93084302754</v>
      </c>
      <c r="P28" s="285">
        <f t="shared" ref="P28:S28" si="9">+O28*(1+P12)</f>
        <v>-598467.14468257944</v>
      </c>
      <c r="Q28" s="285">
        <f t="shared" si="9"/>
        <v>-611186.74161509133</v>
      </c>
      <c r="R28" s="285">
        <f t="shared" si="9"/>
        <v>-624032.92253803136</v>
      </c>
      <c r="S28" s="285">
        <f t="shared" si="9"/>
        <v>-637189.26028360904</v>
      </c>
    </row>
    <row r="29" spans="1:24" outlineLevel="1">
      <c r="A29" s="765" t="s">
        <v>742</v>
      </c>
      <c r="B29" s="746" t="s">
        <v>656</v>
      </c>
      <c r="C29" s="770"/>
      <c r="D29" s="285">
        <v>162390.21514141042</v>
      </c>
      <c r="E29" s="285">
        <f>+D29</f>
        <v>162390.21514141042</v>
      </c>
      <c r="F29" s="285">
        <f t="shared" ref="F29:S29" si="10">+E29</f>
        <v>162390.21514141042</v>
      </c>
      <c r="G29" s="285">
        <f t="shared" si="10"/>
        <v>162390.21514141042</v>
      </c>
      <c r="H29" s="285">
        <f>+G29</f>
        <v>162390.21514141042</v>
      </c>
      <c r="I29" s="285">
        <f t="shared" si="10"/>
        <v>162390.21514141042</v>
      </c>
      <c r="J29" s="285">
        <f t="shared" si="10"/>
        <v>162390.21514141042</v>
      </c>
      <c r="K29" s="285">
        <f t="shared" si="10"/>
        <v>162390.21514141042</v>
      </c>
      <c r="L29" s="285">
        <f t="shared" si="10"/>
        <v>162390.21514141042</v>
      </c>
      <c r="M29" s="285">
        <f t="shared" si="10"/>
        <v>162390.21514141042</v>
      </c>
      <c r="N29" s="285">
        <f t="shared" si="10"/>
        <v>162390.21514141042</v>
      </c>
      <c r="O29" s="285">
        <f t="shared" si="10"/>
        <v>162390.21514141042</v>
      </c>
      <c r="P29" s="285">
        <f t="shared" si="10"/>
        <v>162390.21514141042</v>
      </c>
      <c r="Q29" s="285">
        <f t="shared" si="10"/>
        <v>162390.21514141042</v>
      </c>
      <c r="R29" s="285">
        <f t="shared" si="10"/>
        <v>162390.21514141042</v>
      </c>
      <c r="S29" s="285">
        <f t="shared" si="10"/>
        <v>162390.21514141042</v>
      </c>
    </row>
    <row r="30" spans="1:24" s="775" customFormat="1" ht="15" outlineLevel="1">
      <c r="A30" s="772"/>
      <c r="B30" s="773" t="s">
        <v>489</v>
      </c>
      <c r="C30" s="773">
        <f>+C14/C21</f>
        <v>0.75166413361133433</v>
      </c>
      <c r="D30" s="773">
        <f t="shared" ref="D30:S30" si="11">+D14/D21</f>
        <v>0.76137747878272533</v>
      </c>
      <c r="E30" s="773">
        <f t="shared" si="11"/>
        <v>0.76585967728237248</v>
      </c>
      <c r="F30" s="773">
        <f t="shared" si="11"/>
        <v>0.77619070711581262</v>
      </c>
      <c r="G30" s="773">
        <f t="shared" si="11"/>
        <v>0.78065030447937211</v>
      </c>
      <c r="H30" s="773">
        <f t="shared" si="11"/>
        <v>0.78168546570545594</v>
      </c>
      <c r="I30" s="773">
        <f t="shared" si="11"/>
        <v>0.78263030935729017</v>
      </c>
      <c r="J30" s="773">
        <f t="shared" si="11"/>
        <v>0.78204832477727881</v>
      </c>
      <c r="K30" s="773">
        <f t="shared" si="11"/>
        <v>0.77567369278795051</v>
      </c>
      <c r="L30" s="773">
        <f t="shared" si="11"/>
        <v>0.7671154201143664</v>
      </c>
      <c r="M30" s="773">
        <f t="shared" si="11"/>
        <v>0.7586163171395226</v>
      </c>
      <c r="N30" s="773">
        <f t="shared" si="11"/>
        <v>0.74937234904166183</v>
      </c>
      <c r="O30" s="773">
        <f t="shared" si="11"/>
        <v>0.74331373018338154</v>
      </c>
      <c r="P30" s="773">
        <f t="shared" si="11"/>
        <v>0.73944714832675484</v>
      </c>
      <c r="Q30" s="773">
        <f t="shared" si="11"/>
        <v>0.73598984447117843</v>
      </c>
      <c r="R30" s="773">
        <f t="shared" si="11"/>
        <v>0.73250394300606569</v>
      </c>
      <c r="S30" s="773">
        <f t="shared" si="11"/>
        <v>0.72940290290298337</v>
      </c>
      <c r="T30" s="774"/>
      <c r="U30" s="774"/>
      <c r="V30" s="774"/>
      <c r="W30" s="774"/>
      <c r="X30" s="774"/>
    </row>
    <row r="31" spans="1:24" ht="15" outlineLevel="1">
      <c r="B31" s="776" t="s">
        <v>507</v>
      </c>
      <c r="C31" s="777"/>
      <c r="E31" s="777"/>
      <c r="F31" s="775"/>
      <c r="G31" s="777"/>
      <c r="H31" s="775"/>
      <c r="I31" s="775"/>
      <c r="J31" s="777"/>
      <c r="K31" s="775"/>
      <c r="L31" s="777"/>
      <c r="M31" s="775"/>
      <c r="N31" s="777"/>
      <c r="O31" s="775"/>
      <c r="P31" s="777"/>
      <c r="Q31" s="775"/>
      <c r="R31" s="777"/>
      <c r="S31" s="775"/>
      <c r="T31" s="775"/>
      <c r="U31" s="775"/>
      <c r="V31" s="775"/>
      <c r="W31" s="775"/>
      <c r="X31" s="775"/>
    </row>
    <row r="32" spans="1:24">
      <c r="S32" s="746">
        <v>11769702.445082575</v>
      </c>
    </row>
    <row r="33" spans="2:19">
      <c r="S33" s="759">
        <f>+S32-S14</f>
        <v>-2458980.7329174262</v>
      </c>
    </row>
    <row r="34" spans="2:19" ht="23.25">
      <c r="B34" s="778"/>
    </row>
    <row r="36" spans="2:19">
      <c r="O36" s="779"/>
      <c r="P36" s="779"/>
      <c r="Q36" s="779"/>
    </row>
  </sheetData>
  <mergeCells count="2">
    <mergeCell ref="A1:I1"/>
    <mergeCell ref="C8:H10"/>
  </mergeCells>
  <pageMargins left="0.7" right="0.7" top="0.75" bottom="0.75" header="0.3" footer="0.3"/>
  <legacy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8">
    <tabColor rgb="FFF3EE1D"/>
    <pageSetUpPr autoPageBreaks="0" fitToPage="1"/>
  </sheetPr>
  <dimension ref="A1:AI93"/>
  <sheetViews>
    <sheetView zoomScale="70" zoomScaleNormal="70" workbookViewId="0">
      <selection activeCell="G19" sqref="G19"/>
    </sheetView>
  </sheetViews>
  <sheetFormatPr defaultColWidth="9.140625" defaultRowHeight="14.25" outlineLevelCol="1"/>
  <cols>
    <col min="1" max="1" width="21.7109375" style="286" customWidth="1"/>
    <col min="2" max="2" width="67.140625" style="286" customWidth="1"/>
    <col min="3" max="3" width="11.5703125" style="286" customWidth="1"/>
    <col min="4" max="4" width="13.5703125" style="286" customWidth="1"/>
    <col min="5" max="10" width="15.28515625" style="286" customWidth="1"/>
    <col min="11" max="11" width="20.85546875" style="286" customWidth="1"/>
    <col min="12" max="12" width="20.28515625" style="286" customWidth="1"/>
    <col min="13" max="13" width="13.42578125" style="286" customWidth="1"/>
    <col min="14" max="14" width="18" style="286" bestFit="1" customWidth="1"/>
    <col min="15" max="15" width="15.28515625" style="286" bestFit="1" customWidth="1"/>
    <col min="16" max="18" width="15.28515625" style="286" customWidth="1" outlineLevel="1"/>
    <col min="19" max="19" width="13.42578125" style="286" customWidth="1" outlineLevel="1"/>
    <col min="20" max="20" width="12.7109375" style="286" customWidth="1" outlineLevel="1"/>
    <col min="21" max="21" width="12.28515625" style="286" customWidth="1" outlineLevel="1"/>
    <col min="22" max="22" width="12.7109375" style="286" customWidth="1" outlineLevel="1"/>
    <col min="23" max="24" width="13.28515625" style="286" customWidth="1" outlineLevel="1"/>
    <col min="25" max="27" width="12.7109375" style="286" customWidth="1" outlineLevel="1"/>
    <col min="28" max="29" width="13.28515625" style="286" customWidth="1" outlineLevel="1"/>
    <col min="30" max="31" width="12.7109375" style="286" customWidth="1" outlineLevel="1"/>
    <col min="32" max="32" width="14.85546875" style="412" bestFit="1" customWidth="1"/>
    <col min="33" max="33" width="25.85546875" style="286" customWidth="1"/>
    <col min="34" max="34" width="18.28515625" style="286" bestFit="1" customWidth="1"/>
    <col min="35" max="35" width="9.5703125" style="286" bestFit="1" customWidth="1"/>
    <col min="36" max="16384" width="9.140625" style="286"/>
  </cols>
  <sheetData>
    <row r="1" spans="1:32" ht="18">
      <c r="A1" s="955" t="s">
        <v>666</v>
      </c>
      <c r="B1" s="956"/>
      <c r="C1" s="956"/>
      <c r="D1" s="956"/>
      <c r="E1" s="956"/>
      <c r="F1" s="956"/>
      <c r="G1" s="956"/>
      <c r="H1" s="956"/>
      <c r="I1" s="956"/>
      <c r="J1" s="956"/>
      <c r="K1" s="956"/>
      <c r="L1" s="956"/>
      <c r="M1" s="956"/>
      <c r="N1" s="957"/>
    </row>
    <row r="2" spans="1:32" ht="15">
      <c r="A2" s="533"/>
      <c r="B2" s="534"/>
      <c r="D2" s="124"/>
      <c r="H2" s="124" t="s">
        <v>397</v>
      </c>
      <c r="K2" s="124"/>
      <c r="M2" s="535"/>
      <c r="N2" s="536"/>
    </row>
    <row r="3" spans="1:32" ht="15">
      <c r="A3" s="533" t="s">
        <v>73</v>
      </c>
      <c r="B3" s="534" t="s">
        <v>751</v>
      </c>
      <c r="D3" s="124" t="s">
        <v>64</v>
      </c>
      <c r="H3" s="537" t="s">
        <v>65</v>
      </c>
      <c r="I3" s="538" t="s">
        <v>359</v>
      </c>
      <c r="K3" s="311" t="s">
        <v>399</v>
      </c>
      <c r="L3" s="314"/>
      <c r="N3" s="539"/>
    </row>
    <row r="4" spans="1:32">
      <c r="A4" s="533"/>
      <c r="B4" s="534"/>
      <c r="D4" s="286" t="s">
        <v>369</v>
      </c>
      <c r="F4" s="289" t="s">
        <v>369</v>
      </c>
      <c r="G4" s="295"/>
      <c r="H4" s="540"/>
      <c r="I4" s="274" t="s">
        <v>721</v>
      </c>
      <c r="K4" s="545" t="s">
        <v>361</v>
      </c>
      <c r="N4" s="539" t="s">
        <v>538</v>
      </c>
    </row>
    <row r="5" spans="1:32">
      <c r="A5" s="533"/>
      <c r="B5" s="412"/>
      <c r="D5" s="286" t="s">
        <v>363</v>
      </c>
      <c r="F5" s="290" t="s">
        <v>363</v>
      </c>
      <c r="G5" s="295"/>
      <c r="H5" s="693" t="s">
        <v>745</v>
      </c>
      <c r="I5" s="546" t="s">
        <v>405</v>
      </c>
      <c r="K5" s="547" t="s">
        <v>401</v>
      </c>
      <c r="N5" s="551" t="s">
        <v>539</v>
      </c>
      <c r="O5" s="413"/>
    </row>
    <row r="6" spans="1:32" ht="15.75" thickBot="1">
      <c r="A6" s="550" t="s">
        <v>9</v>
      </c>
      <c r="B6" s="412" t="e">
        <f>'Revenue Requirement'!#REF!</f>
        <v>#REF!</v>
      </c>
      <c r="D6" s="286" t="s">
        <v>362</v>
      </c>
      <c r="F6" s="414" t="s">
        <v>362</v>
      </c>
      <c r="G6" s="295"/>
      <c r="H6" s="540"/>
      <c r="I6" s="548" t="s">
        <v>360</v>
      </c>
      <c r="M6" s="137"/>
      <c r="N6" s="552"/>
    </row>
    <row r="7" spans="1:32" ht="15" customHeight="1" thickBot="1">
      <c r="A7" s="550"/>
      <c r="B7" s="412"/>
      <c r="D7" s="286" t="s">
        <v>181</v>
      </c>
      <c r="F7" s="415" t="s">
        <v>181</v>
      </c>
      <c r="G7" s="295"/>
      <c r="H7" s="728" t="s">
        <v>752</v>
      </c>
      <c r="I7" s="549" t="s">
        <v>483</v>
      </c>
      <c r="N7" s="539"/>
      <c r="P7" s="666" t="s">
        <v>715</v>
      </c>
    </row>
    <row r="8" spans="1:32" ht="15.75" thickBot="1">
      <c r="A8" s="400" t="s">
        <v>70</v>
      </c>
      <c r="B8" s="707">
        <v>0.65</v>
      </c>
      <c r="H8" s="540"/>
      <c r="I8" s="577" t="s">
        <v>514</v>
      </c>
      <c r="L8" s="722" t="s">
        <v>744</v>
      </c>
      <c r="N8" s="539"/>
    </row>
    <row r="9" spans="1:32" ht="15" customHeight="1">
      <c r="A9" s="521"/>
      <c r="B9" s="522"/>
      <c r="D9" s="964" t="s">
        <v>749</v>
      </c>
      <c r="E9" s="964"/>
      <c r="F9" s="964"/>
      <c r="G9" s="964"/>
      <c r="H9" s="964"/>
      <c r="I9" s="964"/>
      <c r="J9" s="964"/>
      <c r="K9" s="964"/>
      <c r="L9" s="964"/>
      <c r="M9" s="964"/>
      <c r="N9" s="539"/>
    </row>
    <row r="10" spans="1:32" ht="15">
      <c r="A10" s="275" t="s">
        <v>13</v>
      </c>
      <c r="B10" s="412">
        <v>2019</v>
      </c>
      <c r="D10" s="964"/>
      <c r="E10" s="964"/>
      <c r="F10" s="964"/>
      <c r="G10" s="964"/>
      <c r="H10" s="964"/>
      <c r="I10" s="964"/>
      <c r="J10" s="964"/>
      <c r="K10" s="964"/>
      <c r="L10" s="964"/>
      <c r="M10" s="964"/>
      <c r="N10" s="539"/>
    </row>
    <row r="11" spans="1:32" ht="15.75" thickBot="1">
      <c r="A11" s="275" t="s">
        <v>14</v>
      </c>
      <c r="B11" s="412">
        <v>2047</v>
      </c>
      <c r="D11" s="964"/>
      <c r="E11" s="964"/>
      <c r="F11" s="964"/>
      <c r="G11" s="964"/>
      <c r="H11" s="964"/>
      <c r="I11" s="964"/>
      <c r="J11" s="964"/>
      <c r="K11" s="964"/>
      <c r="L11" s="964"/>
      <c r="M11" s="964"/>
      <c r="N11" s="539"/>
    </row>
    <row r="12" spans="1:32" ht="15">
      <c r="A12" s="960" t="s">
        <v>593</v>
      </c>
      <c r="B12" s="532" t="s">
        <v>470</v>
      </c>
      <c r="C12" s="531"/>
      <c r="D12" s="658">
        <v>2022</v>
      </c>
      <c r="E12" s="659">
        <v>2023</v>
      </c>
      <c r="F12" s="659">
        <f t="shared" ref="F12:AE12" si="0">E12+1</f>
        <v>2024</v>
      </c>
      <c r="G12" s="659">
        <f t="shared" si="0"/>
        <v>2025</v>
      </c>
      <c r="H12" s="659">
        <f t="shared" si="0"/>
        <v>2026</v>
      </c>
      <c r="I12" s="659">
        <f t="shared" si="0"/>
        <v>2027</v>
      </c>
      <c r="J12" s="659">
        <f t="shared" si="0"/>
        <v>2028</v>
      </c>
      <c r="K12" s="659">
        <f t="shared" si="0"/>
        <v>2029</v>
      </c>
      <c r="L12" s="659">
        <f t="shared" si="0"/>
        <v>2030</v>
      </c>
      <c r="M12" s="659">
        <f t="shared" si="0"/>
        <v>2031</v>
      </c>
      <c r="N12" s="659">
        <f t="shared" si="0"/>
        <v>2032</v>
      </c>
      <c r="O12" s="659">
        <f t="shared" si="0"/>
        <v>2033</v>
      </c>
      <c r="P12" s="659">
        <f>O12+1</f>
        <v>2034</v>
      </c>
      <c r="Q12" s="659">
        <f t="shared" si="0"/>
        <v>2035</v>
      </c>
      <c r="R12" s="659">
        <f t="shared" si="0"/>
        <v>2036</v>
      </c>
      <c r="S12" s="659">
        <f t="shared" si="0"/>
        <v>2037</v>
      </c>
      <c r="T12" s="659">
        <f t="shared" si="0"/>
        <v>2038</v>
      </c>
      <c r="U12" s="659">
        <f t="shared" si="0"/>
        <v>2039</v>
      </c>
      <c r="V12" s="659">
        <f t="shared" si="0"/>
        <v>2040</v>
      </c>
      <c r="W12" s="659">
        <f t="shared" si="0"/>
        <v>2041</v>
      </c>
      <c r="X12" s="659">
        <f t="shared" si="0"/>
        <v>2042</v>
      </c>
      <c r="Y12" s="659">
        <f t="shared" si="0"/>
        <v>2043</v>
      </c>
      <c r="Z12" s="659">
        <f t="shared" si="0"/>
        <v>2044</v>
      </c>
      <c r="AA12" s="659">
        <f t="shared" si="0"/>
        <v>2045</v>
      </c>
      <c r="AB12" s="659">
        <f t="shared" si="0"/>
        <v>2046</v>
      </c>
      <c r="AC12" s="659">
        <f t="shared" si="0"/>
        <v>2047</v>
      </c>
      <c r="AD12" s="659">
        <f t="shared" si="0"/>
        <v>2048</v>
      </c>
      <c r="AE12" s="660">
        <f t="shared" si="0"/>
        <v>2049</v>
      </c>
    </row>
    <row r="13" spans="1:32">
      <c r="A13" s="961"/>
      <c r="B13" s="541" t="s">
        <v>471</v>
      </c>
      <c r="D13" s="661"/>
      <c r="E13" s="542"/>
      <c r="F13" s="542">
        <v>0</v>
      </c>
      <c r="G13" s="542">
        <v>0</v>
      </c>
      <c r="H13" s="542">
        <v>0</v>
      </c>
      <c r="I13" s="542">
        <v>0</v>
      </c>
      <c r="J13" s="542">
        <v>0</v>
      </c>
      <c r="K13" s="542">
        <v>0</v>
      </c>
      <c r="L13" s="542">
        <v>0</v>
      </c>
      <c r="M13" s="542">
        <v>0</v>
      </c>
      <c r="N13" s="542">
        <v>0</v>
      </c>
      <c r="O13" s="542">
        <v>0</v>
      </c>
      <c r="P13" s="542">
        <v>0</v>
      </c>
      <c r="Q13" s="542">
        <v>0</v>
      </c>
      <c r="R13" s="542">
        <v>0</v>
      </c>
      <c r="S13" s="542">
        <v>0</v>
      </c>
      <c r="T13" s="542">
        <v>0</v>
      </c>
      <c r="U13" s="542">
        <v>0</v>
      </c>
      <c r="V13" s="542">
        <v>0</v>
      </c>
      <c r="W13" s="542">
        <v>0</v>
      </c>
      <c r="X13" s="542">
        <v>0</v>
      </c>
      <c r="Y13" s="542">
        <v>0</v>
      </c>
      <c r="Z13" s="542">
        <v>0</v>
      </c>
      <c r="AA13" s="542">
        <v>0</v>
      </c>
      <c r="AB13" s="542">
        <v>0</v>
      </c>
      <c r="AC13" s="542">
        <v>0</v>
      </c>
      <c r="AD13" s="542">
        <v>0</v>
      </c>
      <c r="AE13" s="662">
        <v>0</v>
      </c>
    </row>
    <row r="14" spans="1:32" ht="15" thickBot="1">
      <c r="A14" s="962"/>
      <c r="B14" s="543" t="s">
        <v>472</v>
      </c>
      <c r="C14" s="544"/>
      <c r="D14" s="663">
        <v>40000</v>
      </c>
      <c r="E14" s="664">
        <v>40000</v>
      </c>
      <c r="F14" s="729">
        <v>55000</v>
      </c>
      <c r="G14" s="729">
        <v>55000</v>
      </c>
      <c r="H14" s="729">
        <v>70000</v>
      </c>
      <c r="I14" s="729">
        <v>70000</v>
      </c>
      <c r="J14" s="729">
        <v>85000</v>
      </c>
      <c r="K14" s="729">
        <v>85000</v>
      </c>
      <c r="L14" s="729">
        <v>100000</v>
      </c>
      <c r="M14" s="729">
        <v>100000</v>
      </c>
      <c r="N14" s="729">
        <v>102362.63993118033</v>
      </c>
      <c r="O14" s="729">
        <v>103246.38663999228</v>
      </c>
      <c r="P14" s="729">
        <v>105574.5158957644</v>
      </c>
      <c r="Q14" s="729">
        <v>107964.69445587011</v>
      </c>
      <c r="R14" s="729">
        <v>110409.02618404938</v>
      </c>
      <c r="S14" s="729">
        <v>112911.52090132266</v>
      </c>
      <c r="T14" s="729">
        <v>115474.54580182419</v>
      </c>
      <c r="U14" s="729">
        <v>118098.27379364733</v>
      </c>
      <c r="V14" s="729">
        <v>120791.95957664224</v>
      </c>
      <c r="W14" s="729">
        <v>123536.33213212626</v>
      </c>
      <c r="X14" s="729">
        <v>126356.86246898409</v>
      </c>
      <c r="Y14" s="729">
        <v>129259.64353907452</v>
      </c>
      <c r="Z14" s="729">
        <v>132234.29262308156</v>
      </c>
      <c r="AA14" s="664">
        <v>0</v>
      </c>
      <c r="AB14" s="664">
        <v>0</v>
      </c>
      <c r="AC14" s="664">
        <v>0</v>
      </c>
      <c r="AD14" s="664">
        <v>0</v>
      </c>
      <c r="AE14" s="665">
        <v>0</v>
      </c>
    </row>
    <row r="15" spans="1:32">
      <c r="C15" s="401" t="s">
        <v>722</v>
      </c>
    </row>
    <row r="16" spans="1:32" s="416" customFormat="1" ht="15">
      <c r="A16" s="562" t="s">
        <v>36</v>
      </c>
      <c r="B16" s="562"/>
      <c r="C16" s="562"/>
      <c r="D16" s="562"/>
      <c r="E16" s="562"/>
      <c r="F16" s="562"/>
      <c r="G16" s="562"/>
      <c r="H16" s="562"/>
      <c r="I16" s="562"/>
      <c r="J16" s="562"/>
      <c r="K16" s="562"/>
      <c r="L16" s="562"/>
      <c r="M16" s="562"/>
      <c r="N16" s="562"/>
      <c r="O16" s="562"/>
      <c r="P16" s="965" t="s">
        <v>474</v>
      </c>
      <c r="Q16" s="965"/>
      <c r="R16" s="965"/>
      <c r="S16" s="965"/>
      <c r="T16" s="965"/>
      <c r="U16" s="965"/>
      <c r="V16" s="965"/>
      <c r="W16" s="965"/>
      <c r="X16" s="965"/>
      <c r="Y16" s="965"/>
      <c r="Z16" s="965"/>
      <c r="AA16" s="965"/>
      <c r="AB16" s="965"/>
      <c r="AC16" s="965"/>
      <c r="AD16" s="965"/>
      <c r="AE16" s="965"/>
      <c r="AF16" s="563"/>
    </row>
    <row r="17" spans="1:34" s="416" customFormat="1" ht="15">
      <c r="A17" s="564" t="s">
        <v>15</v>
      </c>
      <c r="B17" s="565" t="s">
        <v>12</v>
      </c>
      <c r="C17" s="566">
        <v>2022</v>
      </c>
      <c r="D17" s="565">
        <f>C17+1</f>
        <v>2023</v>
      </c>
      <c r="E17" s="565">
        <f>D17+1</f>
        <v>2024</v>
      </c>
      <c r="F17" s="565">
        <f t="shared" ref="F17:AE17" si="1">E17+1</f>
        <v>2025</v>
      </c>
      <c r="G17" s="565">
        <f t="shared" si="1"/>
        <v>2026</v>
      </c>
      <c r="H17" s="565">
        <f t="shared" si="1"/>
        <v>2027</v>
      </c>
      <c r="I17" s="565">
        <f t="shared" si="1"/>
        <v>2028</v>
      </c>
      <c r="J17" s="565">
        <f t="shared" si="1"/>
        <v>2029</v>
      </c>
      <c r="K17" s="565">
        <f t="shared" si="1"/>
        <v>2030</v>
      </c>
      <c r="L17" s="565">
        <f t="shared" si="1"/>
        <v>2031</v>
      </c>
      <c r="M17" s="565">
        <f t="shared" si="1"/>
        <v>2032</v>
      </c>
      <c r="N17" s="565">
        <f t="shared" si="1"/>
        <v>2033</v>
      </c>
      <c r="O17" s="565">
        <f t="shared" si="1"/>
        <v>2034</v>
      </c>
      <c r="P17" s="565">
        <f t="shared" si="1"/>
        <v>2035</v>
      </c>
      <c r="Q17" s="565">
        <f t="shared" si="1"/>
        <v>2036</v>
      </c>
      <c r="R17" s="565">
        <f t="shared" si="1"/>
        <v>2037</v>
      </c>
      <c r="S17" s="565">
        <f t="shared" si="1"/>
        <v>2038</v>
      </c>
      <c r="T17" s="565">
        <f t="shared" si="1"/>
        <v>2039</v>
      </c>
      <c r="U17" s="565">
        <f t="shared" si="1"/>
        <v>2040</v>
      </c>
      <c r="V17" s="565">
        <f t="shared" si="1"/>
        <v>2041</v>
      </c>
      <c r="W17" s="565">
        <f t="shared" si="1"/>
        <v>2042</v>
      </c>
      <c r="X17" s="565">
        <f t="shared" si="1"/>
        <v>2043</v>
      </c>
      <c r="Y17" s="565">
        <f t="shared" si="1"/>
        <v>2044</v>
      </c>
      <c r="Z17" s="565">
        <f t="shared" si="1"/>
        <v>2045</v>
      </c>
      <c r="AA17" s="565">
        <f t="shared" si="1"/>
        <v>2046</v>
      </c>
      <c r="AB17" s="565">
        <f t="shared" si="1"/>
        <v>2047</v>
      </c>
      <c r="AC17" s="565">
        <f t="shared" si="1"/>
        <v>2048</v>
      </c>
      <c r="AD17" s="565">
        <f t="shared" si="1"/>
        <v>2049</v>
      </c>
      <c r="AE17" s="565">
        <f t="shared" si="1"/>
        <v>2050</v>
      </c>
      <c r="AF17" s="563"/>
      <c r="AG17" s="562" t="s">
        <v>616</v>
      </c>
    </row>
    <row r="18" spans="1:34" ht="15">
      <c r="A18" s="164"/>
      <c r="B18" s="697" t="s">
        <v>229</v>
      </c>
      <c r="C18" s="137"/>
      <c r="D18" s="698" t="s">
        <v>732</v>
      </c>
      <c r="E18" s="137"/>
      <c r="F18" s="555"/>
      <c r="G18" s="137"/>
      <c r="H18" s="137"/>
      <c r="I18" s="137"/>
      <c r="J18" s="137"/>
      <c r="K18" s="137"/>
      <c r="L18" s="137"/>
      <c r="M18" s="137"/>
      <c r="N18" s="137"/>
      <c r="O18" s="556">
        <f>VLOOKUP(O$17,'GI Forecast(Tbls 4 &amp; 9)'!$B$51:$M$95,5,0)</f>
        <v>2.2917152977660071E-2</v>
      </c>
      <c r="P18" s="556">
        <f>VLOOKUP(P$17,'GI Forecast(Tbls 4 &amp; 9)'!$B$51:$M$95,5,0)</f>
        <v>2.2406324197609118E-2</v>
      </c>
      <c r="Q18" s="556">
        <f>VLOOKUP(Q$17,'GI Forecast(Tbls 4 &amp; 9)'!$B$51:$M$95,5,0)</f>
        <v>2.1846855571652543E-2</v>
      </c>
      <c r="R18" s="556">
        <f>VLOOKUP(R$17,'GI Forecast(Tbls 4 &amp; 9)'!$B$51:$M$95,5,0)</f>
        <v>2.1418040273141946E-2</v>
      </c>
      <c r="S18" s="556">
        <f>VLOOKUP(S$17,'GI Forecast(Tbls 4 &amp; 9)'!$B$51:$M$95,5,0)</f>
        <v>2.1253626110516535E-2</v>
      </c>
      <c r="T18" s="556">
        <f>VLOOKUP(T$17,'GI Forecast(Tbls 4 &amp; 9)'!$B$51:$M$95,5,0)</f>
        <v>2.1018422109408623E-2</v>
      </c>
      <c r="U18" s="556">
        <f>VLOOKUP(U$17,'GI Forecast(Tbls 4 &amp; 9)'!$B$51:$M$95,5,0)</f>
        <v>2.1082762255665997E-2</v>
      </c>
      <c r="V18" s="556">
        <f>VLOOKUP(V$17,'GI Forecast(Tbls 4 &amp; 9)'!$B$51:$M$95,5,0)</f>
        <v>2.105857666207591E-2</v>
      </c>
      <c r="W18" s="556">
        <f>VLOOKUP(W$17,'GI Forecast(Tbls 4 &amp; 9)'!$B$51:$M$95,5,0)</f>
        <v>2.0913364942279182E-2</v>
      </c>
      <c r="X18" s="556">
        <f>VLOOKUP(X$17,'GI Forecast(Tbls 4 &amp; 9)'!$B$51:$M$95,5,0)</f>
        <v>2.0767072487729851E-2</v>
      </c>
      <c r="Y18" s="556">
        <f>VLOOKUP(Y$17,'GI Forecast(Tbls 4 &amp; 9)'!$B$51:$M$95,5,0)</f>
        <v>2.0785617289562148E-2</v>
      </c>
      <c r="Z18" s="556">
        <f>VLOOKUP(Z$17,'GI Forecast(Tbls 4 &amp; 9)'!$B$51:$M$95,5,0)</f>
        <v>2.0791212790438655E-2</v>
      </c>
      <c r="AA18" s="556">
        <f>VLOOKUP(AA$17,'GI Forecast(Tbls 4 &amp; 9)'!$B$51:$M$95,5,0)</f>
        <v>2.0665302690368089E-2</v>
      </c>
      <c r="AB18" s="556">
        <f>VLOOKUP(AB$17,'GI Forecast(Tbls 4 &amp; 9)'!$B$51:$M$95,5,0)</f>
        <v>2.0745038720101954E-2</v>
      </c>
      <c r="AC18" s="556">
        <f>VLOOKUP(AC$17,'GI Forecast(Tbls 4 &amp; 9)'!$B$51:$M$95,5,0)</f>
        <v>2.094467117658616E-2</v>
      </c>
      <c r="AD18" s="556">
        <f>VLOOKUP(AD$17,'GI Forecast(Tbls 4 &amp; 9)'!$B$51:$M$95,5,0)</f>
        <v>2.1041829501224043E-2</v>
      </c>
      <c r="AE18" s="556">
        <f>VLOOKUP(AE$17,'GI Forecast(Tbls 4 &amp; 9)'!$B$51:$M$95,5,0)</f>
        <v>2.1161842865406014E-2</v>
      </c>
      <c r="AF18" s="534"/>
      <c r="AG18" s="130" t="s">
        <v>617</v>
      </c>
    </row>
    <row r="19" spans="1:34" ht="15">
      <c r="A19" s="959" t="s">
        <v>680</v>
      </c>
      <c r="B19" s="560" t="s">
        <v>686</v>
      </c>
      <c r="C19" s="559">
        <v>22500</v>
      </c>
      <c r="D19" s="106">
        <v>43000</v>
      </c>
      <c r="E19" s="106">
        <v>41335</v>
      </c>
      <c r="F19" s="106">
        <v>41300</v>
      </c>
      <c r="G19" s="106">
        <v>29000</v>
      </c>
      <c r="H19" s="106">
        <v>15700</v>
      </c>
      <c r="I19" s="106">
        <v>15000</v>
      </c>
      <c r="J19" s="106">
        <v>15000</v>
      </c>
      <c r="K19" s="106">
        <v>15000</v>
      </c>
      <c r="L19" s="106">
        <v>15000</v>
      </c>
      <c r="M19" s="106">
        <v>15000</v>
      </c>
      <c r="N19" s="106">
        <v>15000</v>
      </c>
      <c r="O19" s="417">
        <f>N19*(1+O$18)</f>
        <v>15343.757294664903</v>
      </c>
      <c r="P19" s="417">
        <f t="shared" ref="P19:AE19" si="2">O19*(1+P$18)</f>
        <v>15687.554495018596</v>
      </c>
      <c r="Q19" s="417">
        <f t="shared" si="2"/>
        <v>16030.278232343695</v>
      </c>
      <c r="R19" s="417">
        <f t="shared" si="2"/>
        <v>16373.615377113701</v>
      </c>
      <c r="S19" s="417">
        <f t="shared" si="2"/>
        <v>16721.614076416281</v>
      </c>
      <c r="T19" s="417">
        <f t="shared" si="2"/>
        <v>17073.076019425025</v>
      </c>
      <c r="U19" s="417">
        <f t="shared" si="2"/>
        <v>17433.023622115474</v>
      </c>
      <c r="V19" s="417">
        <f t="shared" si="2"/>
        <v>17800.138286513571</v>
      </c>
      <c r="W19" s="417">
        <f t="shared" si="2"/>
        <v>18172.399074522466</v>
      </c>
      <c r="X19" s="417">
        <f t="shared" si="2"/>
        <v>18549.786603379027</v>
      </c>
      <c r="Y19" s="417">
        <f t="shared" si="2"/>
        <v>18935.355368519911</v>
      </c>
      <c r="Z19" s="417">
        <f t="shared" si="2"/>
        <v>19329.044371249383</v>
      </c>
      <c r="AA19" s="417">
        <f t="shared" si="2"/>
        <v>19728.484923896805</v>
      </c>
      <c r="AB19" s="417">
        <f t="shared" si="2"/>
        <v>20137.753107531993</v>
      </c>
      <c r="AC19" s="417">
        <f t="shared" si="2"/>
        <v>20559.531724604527</v>
      </c>
      <c r="AD19" s="417">
        <f t="shared" si="2"/>
        <v>20992.141885778663</v>
      </c>
      <c r="AE19" s="417">
        <f t="shared" si="2"/>
        <v>21436.374293773821</v>
      </c>
      <c r="AG19" s="695" t="s">
        <v>723</v>
      </c>
    </row>
    <row r="20" spans="1:34" ht="15">
      <c r="A20" s="959"/>
      <c r="B20" s="560" t="s">
        <v>475</v>
      </c>
      <c r="C20" s="559">
        <v>45437</v>
      </c>
      <c r="D20" s="106">
        <v>51974</v>
      </c>
      <c r="E20" s="106">
        <v>68924.7</v>
      </c>
      <c r="F20" s="106">
        <v>47615.4</v>
      </c>
      <c r="G20" s="106">
        <v>23007.600000000002</v>
      </c>
      <c r="H20" s="106">
        <v>20065.5</v>
      </c>
      <c r="I20" s="106">
        <v>18601.2</v>
      </c>
      <c r="J20" s="106">
        <v>30359.7</v>
      </c>
      <c r="K20" s="106">
        <v>35820.9</v>
      </c>
      <c r="L20" s="106">
        <v>38827.800000000003</v>
      </c>
      <c r="M20" s="106">
        <v>56546.1</v>
      </c>
      <c r="N20" s="106">
        <v>66683.7</v>
      </c>
      <c r="O20" s="417">
        <f>N20*(1+O$18)</f>
        <v>68211.900554016393</v>
      </c>
      <c r="P20" s="417">
        <f t="shared" ref="P20:AE20" si="3">O20*(1+P$18)</f>
        <v>69740.27851196476</v>
      </c>
      <c r="Q20" s="417">
        <f t="shared" si="3"/>
        <v>71263.88430414247</v>
      </c>
      <c r="R20" s="417">
        <f t="shared" si="3"/>
        <v>72790.217048189123</v>
      </c>
      <c r="S20" s="417">
        <f t="shared" si="3"/>
        <v>74337.273105834684</v>
      </c>
      <c r="T20" s="417">
        <f t="shared" si="3"/>
        <v>75899.725290435497</v>
      </c>
      <c r="U20" s="417">
        <f t="shared" si="3"/>
        <v>77499.90115400411</v>
      </c>
      <c r="V20" s="417">
        <f t="shared" si="3"/>
        <v>79131.938763759012</v>
      </c>
      <c r="W20" s="417">
        <f t="shared" si="3"/>
        <v>80786.853877715592</v>
      </c>
      <c r="X20" s="417">
        <f t="shared" si="3"/>
        <v>82464.560328249747</v>
      </c>
      <c r="Y20" s="417">
        <f t="shared" si="3"/>
        <v>84178.637119184757</v>
      </c>
      <c r="Z20" s="417">
        <f t="shared" si="3"/>
        <v>85928.813075938844</v>
      </c>
      <c r="AA20" s="417">
        <f t="shared" si="3"/>
        <v>87704.558007977175</v>
      </c>
      <c r="AB20" s="417">
        <f t="shared" si="3"/>
        <v>89523.992459782094</v>
      </c>
      <c r="AC20" s="417">
        <f t="shared" si="3"/>
        <v>91399.043044267411</v>
      </c>
      <c r="AD20" s="417">
        <f t="shared" si="3"/>
        <v>93322.24612457992</v>
      </c>
      <c r="AE20" s="417">
        <f t="shared" si="3"/>
        <v>95297.116832915039</v>
      </c>
      <c r="AG20" s="696" t="s">
        <v>724</v>
      </c>
      <c r="AH20" s="696" t="s">
        <v>727</v>
      </c>
    </row>
    <row r="21" spans="1:34" ht="15">
      <c r="A21" s="959"/>
      <c r="B21" s="560" t="s">
        <v>476</v>
      </c>
      <c r="C21" s="559">
        <v>189035</v>
      </c>
      <c r="D21" s="106">
        <v>229286</v>
      </c>
      <c r="E21" s="106">
        <v>201075.3</v>
      </c>
      <c r="F21" s="106">
        <v>228059.1</v>
      </c>
      <c r="G21" s="106">
        <v>258611.4</v>
      </c>
      <c r="H21" s="106">
        <v>267934.5</v>
      </c>
      <c r="I21" s="106">
        <v>276192.90000000002</v>
      </c>
      <c r="J21" s="106">
        <v>271472.40000000002</v>
      </c>
      <c r="K21" s="106">
        <v>273259.8</v>
      </c>
      <c r="L21" s="106">
        <v>277452.90000000002</v>
      </c>
      <c r="M21" s="106">
        <v>266985.90000000002</v>
      </c>
      <c r="N21" s="106">
        <v>264237.3</v>
      </c>
      <c r="O21" s="417">
        <f>N21*(1+O$18)</f>
        <v>270292.86662650388</v>
      </c>
      <c r="P21" s="417">
        <f t="shared" ref="P21:AE21" si="4">O21*(1+P$18)</f>
        <v>276349.13622443844</v>
      </c>
      <c r="Q21" s="417">
        <f t="shared" si="4"/>
        <v>282386.49589088466</v>
      </c>
      <c r="R21" s="417">
        <f t="shared" si="4"/>
        <v>288434.66123246704</v>
      </c>
      <c r="S21" s="417">
        <f t="shared" si="4"/>
        <v>294564.94367961539</v>
      </c>
      <c r="T21" s="417">
        <f t="shared" si="4"/>
        <v>300756.23400450771</v>
      </c>
      <c r="U21" s="417">
        <f t="shared" si="4"/>
        <v>307097.00618293422</v>
      </c>
      <c r="V21" s="417">
        <f t="shared" si="4"/>
        <v>313564.03203033155</v>
      </c>
      <c r="W21" s="417">
        <f t="shared" si="4"/>
        <v>320121.7110649544</v>
      </c>
      <c r="X21" s="417">
        <f t="shared" si="4"/>
        <v>326769.7018435364</v>
      </c>
      <c r="Y21" s="417">
        <f t="shared" si="4"/>
        <v>333561.81180788047</v>
      </c>
      <c r="Z21" s="417">
        <f t="shared" si="4"/>
        <v>340496.96641594236</v>
      </c>
      <c r="AA21" s="417">
        <f t="shared" si="4"/>
        <v>347533.43929207989</v>
      </c>
      <c r="AB21" s="417">
        <f t="shared" si="4"/>
        <v>354743.03394672432</v>
      </c>
      <c r="AC21" s="417">
        <f t="shared" si="4"/>
        <v>362173.010144923</v>
      </c>
      <c r="AD21" s="417">
        <f t="shared" si="4"/>
        <v>369793.79287433752</v>
      </c>
      <c r="AE21" s="417">
        <f t="shared" si="4"/>
        <v>377619.31101174682</v>
      </c>
      <c r="AG21" s="696" t="s">
        <v>725</v>
      </c>
      <c r="AH21" s="696" t="s">
        <v>728</v>
      </c>
    </row>
    <row r="22" spans="1:34" ht="15">
      <c r="A22" s="959"/>
      <c r="B22" s="560" t="s">
        <v>687</v>
      </c>
      <c r="C22" s="559">
        <f>1555+650</f>
        <v>2205</v>
      </c>
      <c r="D22" s="106">
        <v>2600</v>
      </c>
      <c r="E22" s="106">
        <v>2500</v>
      </c>
      <c r="F22" s="106">
        <v>1000</v>
      </c>
      <c r="G22" s="106">
        <v>1700</v>
      </c>
      <c r="H22" s="106">
        <v>1700</v>
      </c>
      <c r="I22" s="106">
        <v>1700</v>
      </c>
      <c r="J22" s="106">
        <v>1760.7640000000001</v>
      </c>
      <c r="K22" s="106">
        <v>1801.6137248000002</v>
      </c>
      <c r="L22" s="106">
        <v>1842.8706790979202</v>
      </c>
      <c r="M22" s="106">
        <v>1884.1509823097135</v>
      </c>
      <c r="N22" s="106">
        <v>1926.544379411682</v>
      </c>
      <c r="O22" s="417">
        <f>N22*(1+O$18)</f>
        <v>1970.695291672911</v>
      </c>
      <c r="P22" s="417">
        <f t="shared" ref="P22:AE22" si="5">O22*(1+P$18)</f>
        <v>2014.8513292728362</v>
      </c>
      <c r="Q22" s="417">
        <f t="shared" si="5"/>
        <v>2058.8694952618116</v>
      </c>
      <c r="R22" s="417">
        <f t="shared" si="5"/>
        <v>2102.9664450284722</v>
      </c>
      <c r="S22" s="417">
        <f t="shared" si="5"/>
        <v>2147.6621075740695</v>
      </c>
      <c r="T22" s="417">
        <f t="shared" si="5"/>
        <v>2192.8025762994434</v>
      </c>
      <c r="U22" s="417">
        <f t="shared" si="5"/>
        <v>2239.0329116891762</v>
      </c>
      <c r="V22" s="417">
        <f t="shared" si="5"/>
        <v>2286.1837579088938</v>
      </c>
      <c r="W22" s="417">
        <f t="shared" si="5"/>
        <v>2333.995553163154</v>
      </c>
      <c r="X22" s="417">
        <f t="shared" si="5"/>
        <v>2382.4658080017321</v>
      </c>
      <c r="Y22" s="417">
        <f t="shared" si="5"/>
        <v>2431.9868304923234</v>
      </c>
      <c r="Z22" s="417">
        <f t="shared" si="5"/>
        <v>2482.5507861886335</v>
      </c>
      <c r="AA22" s="417">
        <f t="shared" si="5"/>
        <v>2533.8534496294328</v>
      </c>
      <c r="AB22" s="417">
        <f t="shared" si="5"/>
        <v>2586.4183375530597</v>
      </c>
      <c r="AC22" s="417">
        <f t="shared" si="5"/>
        <v>2640.5900191582014</v>
      </c>
      <c r="AD22" s="417">
        <f t="shared" si="5"/>
        <v>2696.152864123962</v>
      </c>
      <c r="AE22" s="417">
        <f t="shared" si="5"/>
        <v>2753.2084273756677</v>
      </c>
      <c r="AG22" t="s">
        <v>726</v>
      </c>
    </row>
    <row r="23" spans="1:34">
      <c r="A23" s="959"/>
      <c r="B23" s="560" t="s">
        <v>688</v>
      </c>
      <c r="C23" s="559"/>
      <c r="D23" s="106"/>
      <c r="E23" s="106"/>
      <c r="F23" s="106"/>
      <c r="G23" s="106"/>
      <c r="H23" s="106"/>
      <c r="I23" s="106"/>
      <c r="J23" s="106"/>
      <c r="K23" s="106"/>
      <c r="L23" s="106"/>
      <c r="M23" s="106"/>
      <c r="N23" s="106"/>
      <c r="O23" s="417"/>
      <c r="P23" s="417"/>
      <c r="Q23" s="417"/>
      <c r="R23" s="417"/>
      <c r="S23" s="417"/>
      <c r="T23" s="417"/>
      <c r="U23" s="417"/>
      <c r="V23" s="417"/>
      <c r="W23" s="417"/>
      <c r="X23" s="417"/>
      <c r="Y23" s="417"/>
      <c r="Z23" s="417"/>
      <c r="AA23" s="417"/>
      <c r="AB23" s="417"/>
      <c r="AC23" s="417"/>
      <c r="AD23" s="417"/>
      <c r="AE23" s="417"/>
    </row>
    <row r="24" spans="1:34" ht="15">
      <c r="A24" s="959"/>
      <c r="B24" s="560" t="s">
        <v>676</v>
      </c>
      <c r="C24" s="694"/>
      <c r="D24" s="106">
        <v>16548</v>
      </c>
      <c r="E24" s="106">
        <v>17617</v>
      </c>
      <c r="F24" s="106">
        <v>17941</v>
      </c>
      <c r="G24" s="106">
        <v>17921</v>
      </c>
      <c r="H24" s="106">
        <v>17695</v>
      </c>
      <c r="I24" s="106">
        <v>17372</v>
      </c>
      <c r="J24" s="106">
        <v>17014</v>
      </c>
      <c r="K24" s="106">
        <v>16629</v>
      </c>
      <c r="L24" s="106">
        <v>16213</v>
      </c>
      <c r="M24" s="106">
        <v>15760</v>
      </c>
      <c r="N24" s="106">
        <v>15266</v>
      </c>
      <c r="O24" s="105">
        <f>N24*(1+O18)</f>
        <v>15615.853257356961</v>
      </c>
      <c r="P24" s="105">
        <f t="shared" ref="P24:AE24" si="6">O24*(1+P18)</f>
        <v>15965.747128063591</v>
      </c>
      <c r="Q24" s="105">
        <f t="shared" si="6"/>
        <v>16314.548499663921</v>
      </c>
      <c r="R24" s="105">
        <f t="shared" si="6"/>
        <v>16663.974156467848</v>
      </c>
      <c r="S24" s="105">
        <f t="shared" si="6"/>
        <v>17018.144032704724</v>
      </c>
      <c r="T24" s="105">
        <f t="shared" si="6"/>
        <v>17375.838567502822</v>
      </c>
      <c r="U24" s="105">
        <f t="shared" si="6"/>
        <v>17742.169241014315</v>
      </c>
      <c r="V24" s="105">
        <f t="shared" si="6"/>
        <v>18115.794072127741</v>
      </c>
      <c r="W24" s="105">
        <f t="shared" si="6"/>
        <v>18494.656284777328</v>
      </c>
      <c r="X24" s="105">
        <f t="shared" si="6"/>
        <v>18878.736152478945</v>
      </c>
      <c r="Y24" s="105">
        <f t="shared" si="6"/>
        <v>19271.142337054993</v>
      </c>
      <c r="Z24" s="105">
        <f t="shared" si="6"/>
        <v>19671.812758099535</v>
      </c>
      <c r="AA24" s="105">
        <f t="shared" si="6"/>
        <v>20078.336723213906</v>
      </c>
      <c r="AB24" s="105">
        <f t="shared" si="6"/>
        <v>20494.862595972227</v>
      </c>
      <c r="AC24" s="105">
        <f t="shared" si="6"/>
        <v>20924.120753854178</v>
      </c>
      <c r="AD24" s="105">
        <f t="shared" si="6"/>
        <v>21364.4025352198</v>
      </c>
      <c r="AE24" s="105">
        <f t="shared" si="6"/>
        <v>21816.512664583406</v>
      </c>
      <c r="AG24" s="696" t="s">
        <v>729</v>
      </c>
      <c r="AH24" s="696" t="s">
        <v>730</v>
      </c>
    </row>
    <row r="25" spans="1:34" ht="15">
      <c r="A25" s="959"/>
      <c r="B25" s="560" t="s">
        <v>677</v>
      </c>
      <c r="C25" s="694"/>
      <c r="D25" s="106">
        <v>166.49116000000001</v>
      </c>
      <c r="E25" s="106">
        <v>204.39249999999998</v>
      </c>
      <c r="F25" s="106">
        <v>196.16687999999999</v>
      </c>
      <c r="G25" s="106">
        <v>210.0975</v>
      </c>
      <c r="H25" s="106">
        <v>220.91578000000001</v>
      </c>
      <c r="I25" s="106">
        <v>218.27250000000001</v>
      </c>
      <c r="J25" s="106">
        <v>227.44225912640005</v>
      </c>
      <c r="K25" s="106">
        <v>236.99684085317173</v>
      </c>
      <c r="L25" s="106">
        <v>246.79995422186295</v>
      </c>
      <c r="M25" s="106">
        <v>256.80217874956094</v>
      </c>
      <c r="N25" s="106">
        <v>264.21544025109444</v>
      </c>
      <c r="O25" s="105">
        <f>N25*(1+O18)</f>
        <v>270.27050591438859</v>
      </c>
      <c r="P25" s="105">
        <f t="shared" ref="P25:AE25" si="7">O25*(1+P18)</f>
        <v>276.32627449095821</v>
      </c>
      <c r="Q25" s="105">
        <f t="shared" si="7"/>
        <v>282.36313470041495</v>
      </c>
      <c r="R25" s="105">
        <f t="shared" si="7"/>
        <v>288.41079969107903</v>
      </c>
      <c r="S25" s="105">
        <f t="shared" si="7"/>
        <v>294.54057499394833</v>
      </c>
      <c r="T25" s="105">
        <f t="shared" si="7"/>
        <v>300.73135312751901</v>
      </c>
      <c r="U25" s="105">
        <f t="shared" si="7"/>
        <v>307.07160074833121</v>
      </c>
      <c r="V25" s="105">
        <f t="shared" si="7"/>
        <v>313.53809159343632</v>
      </c>
      <c r="W25" s="105">
        <f t="shared" si="7"/>
        <v>320.09522812623561</v>
      </c>
      <c r="X25" s="105">
        <f t="shared" si="7"/>
        <v>326.74266893170955</v>
      </c>
      <c r="Y25" s="105">
        <f t="shared" si="7"/>
        <v>333.53421700029418</v>
      </c>
      <c r="Z25" s="105">
        <f t="shared" si="7"/>
        <v>340.46879787883961</v>
      </c>
      <c r="AA25" s="105">
        <f t="shared" si="7"/>
        <v>347.50468864363154</v>
      </c>
      <c r="AB25" s="105">
        <f t="shared" si="7"/>
        <v>354.71368686496066</v>
      </c>
      <c r="AC25" s="105">
        <f t="shared" si="7"/>
        <v>362.1430483981818</v>
      </c>
      <c r="AD25" s="105">
        <f t="shared" si="7"/>
        <v>369.76320067762987</v>
      </c>
      <c r="AE25" s="105">
        <f t="shared" si="7"/>
        <v>377.58807142777948</v>
      </c>
      <c r="AG25" t="s">
        <v>731</v>
      </c>
    </row>
    <row r="26" spans="1:34">
      <c r="A26" s="959"/>
      <c r="B26" s="295" t="s">
        <v>694</v>
      </c>
      <c r="C26" s="559">
        <f t="shared" ref="C26:H26" si="8">SUM(C19:C25)</f>
        <v>259177</v>
      </c>
      <c r="D26" s="283">
        <f t="shared" si="8"/>
        <v>343574.49115999998</v>
      </c>
      <c r="E26" s="283">
        <f t="shared" si="8"/>
        <v>331656.39250000002</v>
      </c>
      <c r="F26" s="283">
        <f t="shared" si="8"/>
        <v>336111.66687999998</v>
      </c>
      <c r="G26" s="283">
        <f t="shared" si="8"/>
        <v>330450.09749999997</v>
      </c>
      <c r="H26" s="283">
        <f t="shared" si="8"/>
        <v>323315.91577999998</v>
      </c>
      <c r="I26" s="283">
        <f t="shared" ref="I26" si="9">SUM(I19:I25)</f>
        <v>329084.37250000006</v>
      </c>
      <c r="J26" s="283">
        <f t="shared" ref="J26:O26" si="10">SUM(J19:J25)</f>
        <v>335834.30625912646</v>
      </c>
      <c r="K26" s="283">
        <f t="shared" si="10"/>
        <v>342748.3105656532</v>
      </c>
      <c r="L26" s="283">
        <f t="shared" si="10"/>
        <v>349583.37063331984</v>
      </c>
      <c r="M26" s="283">
        <f t="shared" si="10"/>
        <v>356432.9531610593</v>
      </c>
      <c r="N26" s="283">
        <f t="shared" si="10"/>
        <v>363377.75981966278</v>
      </c>
      <c r="O26" s="283">
        <f t="shared" si="10"/>
        <v>371705.34353012947</v>
      </c>
      <c r="P26" s="283">
        <f t="shared" ref="P26:AE26" si="11">SUM(P19:P25)</f>
        <v>380033.89396324923</v>
      </c>
      <c r="Q26" s="283">
        <f t="shared" si="11"/>
        <v>388336.43955699698</v>
      </c>
      <c r="R26" s="283">
        <f t="shared" si="11"/>
        <v>396653.84505895729</v>
      </c>
      <c r="S26" s="283">
        <f t="shared" si="11"/>
        <v>405084.17757713905</v>
      </c>
      <c r="T26" s="283">
        <f t="shared" si="11"/>
        <v>413598.40781129798</v>
      </c>
      <c r="U26" s="283">
        <f t="shared" si="11"/>
        <v>422318.20471250569</v>
      </c>
      <c r="V26" s="283">
        <f t="shared" si="11"/>
        <v>431211.62500223418</v>
      </c>
      <c r="W26" s="283">
        <f t="shared" si="11"/>
        <v>440229.7110832592</v>
      </c>
      <c r="X26" s="283">
        <f t="shared" si="11"/>
        <v>449371.9934045776</v>
      </c>
      <c r="Y26" s="283">
        <f t="shared" si="11"/>
        <v>458712.46768013277</v>
      </c>
      <c r="Z26" s="283">
        <f t="shared" si="11"/>
        <v>468249.65620529756</v>
      </c>
      <c r="AA26" s="283">
        <f t="shared" si="11"/>
        <v>477926.17708544084</v>
      </c>
      <c r="AB26" s="283">
        <f t="shared" si="11"/>
        <v>487840.77413442859</v>
      </c>
      <c r="AC26" s="283">
        <f t="shared" si="11"/>
        <v>498058.43873520551</v>
      </c>
      <c r="AD26" s="283">
        <f t="shared" si="11"/>
        <v>508538.4994847175</v>
      </c>
      <c r="AE26" s="283">
        <f t="shared" si="11"/>
        <v>519300.11130182247</v>
      </c>
    </row>
    <row r="27" spans="1:34" ht="15">
      <c r="A27" s="959"/>
      <c r="B27" s="137"/>
      <c r="C27" s="137"/>
      <c r="D27" s="557"/>
      <c r="E27" s="137"/>
      <c r="F27" s="137"/>
      <c r="G27" s="137"/>
      <c r="H27" s="137"/>
      <c r="I27" s="137"/>
      <c r="J27" s="137"/>
      <c r="K27" s="137"/>
      <c r="L27" s="137"/>
      <c r="M27" s="137"/>
      <c r="N27" s="137"/>
      <c r="O27" s="137"/>
      <c r="P27" s="137"/>
      <c r="Q27" s="137"/>
      <c r="R27" s="558"/>
      <c r="S27" s="558"/>
      <c r="T27" s="558"/>
      <c r="U27" s="558"/>
      <c r="V27" s="558"/>
      <c r="W27" s="558"/>
      <c r="X27" s="558"/>
      <c r="Y27" s="558"/>
      <c r="Z27" s="558"/>
      <c r="AA27" s="558"/>
      <c r="AB27" s="558"/>
      <c r="AC27" s="558"/>
      <c r="AD27" s="558"/>
      <c r="AE27" s="558"/>
    </row>
    <row r="28" spans="1:34" ht="15.75" thickBot="1">
      <c r="A28" s="959"/>
      <c r="B28" s="554" t="s">
        <v>68</v>
      </c>
      <c r="C28" s="553">
        <f>+C17</f>
        <v>2022</v>
      </c>
      <c r="D28" s="553">
        <f t="shared" ref="D28:AE28" si="12">+D17</f>
        <v>2023</v>
      </c>
      <c r="E28" s="553">
        <f t="shared" si="12"/>
        <v>2024</v>
      </c>
      <c r="F28" s="553">
        <f t="shared" si="12"/>
        <v>2025</v>
      </c>
      <c r="G28" s="553">
        <f t="shared" si="12"/>
        <v>2026</v>
      </c>
      <c r="H28" s="553">
        <f t="shared" si="12"/>
        <v>2027</v>
      </c>
      <c r="I28" s="553">
        <f t="shared" si="12"/>
        <v>2028</v>
      </c>
      <c r="J28" s="553">
        <f t="shared" si="12"/>
        <v>2029</v>
      </c>
      <c r="K28" s="553">
        <f t="shared" si="12"/>
        <v>2030</v>
      </c>
      <c r="L28" s="553">
        <f t="shared" si="12"/>
        <v>2031</v>
      </c>
      <c r="M28" s="553">
        <f t="shared" si="12"/>
        <v>2032</v>
      </c>
      <c r="N28" s="553">
        <f t="shared" si="12"/>
        <v>2033</v>
      </c>
      <c r="O28" s="553">
        <f t="shared" si="12"/>
        <v>2034</v>
      </c>
      <c r="P28" s="553">
        <f t="shared" si="12"/>
        <v>2035</v>
      </c>
      <c r="Q28" s="553">
        <f t="shared" si="12"/>
        <v>2036</v>
      </c>
      <c r="R28" s="553">
        <f t="shared" si="12"/>
        <v>2037</v>
      </c>
      <c r="S28" s="553">
        <f t="shared" si="12"/>
        <v>2038</v>
      </c>
      <c r="T28" s="553">
        <f t="shared" si="12"/>
        <v>2039</v>
      </c>
      <c r="U28" s="553">
        <f t="shared" si="12"/>
        <v>2040</v>
      </c>
      <c r="V28" s="553">
        <f t="shared" si="12"/>
        <v>2041</v>
      </c>
      <c r="W28" s="553">
        <f t="shared" si="12"/>
        <v>2042</v>
      </c>
      <c r="X28" s="553">
        <f t="shared" si="12"/>
        <v>2043</v>
      </c>
      <c r="Y28" s="553">
        <f t="shared" si="12"/>
        <v>2044</v>
      </c>
      <c r="Z28" s="553">
        <f t="shared" si="12"/>
        <v>2045</v>
      </c>
      <c r="AA28" s="553">
        <f t="shared" si="12"/>
        <v>2046</v>
      </c>
      <c r="AB28" s="553">
        <f t="shared" si="12"/>
        <v>2047</v>
      </c>
      <c r="AC28" s="553">
        <f t="shared" si="12"/>
        <v>2048</v>
      </c>
      <c r="AD28" s="553">
        <f t="shared" si="12"/>
        <v>2049</v>
      </c>
      <c r="AE28" s="553">
        <f t="shared" si="12"/>
        <v>2050</v>
      </c>
    </row>
    <row r="29" spans="1:34" ht="15" thickBot="1">
      <c r="A29" s="959"/>
      <c r="B29" s="560" t="s">
        <v>681</v>
      </c>
      <c r="C29" s="559">
        <v>20874</v>
      </c>
      <c r="D29" s="674">
        <v>5545.0946376624433</v>
      </c>
      <c r="E29" s="674">
        <v>35028.939009004796</v>
      </c>
      <c r="F29" s="674">
        <v>35107.160861015414</v>
      </c>
      <c r="G29" s="674">
        <v>40368.215186921458</v>
      </c>
      <c r="H29" s="674">
        <v>35524.872611254483</v>
      </c>
      <c r="I29" s="674">
        <v>25335.209520543882</v>
      </c>
      <c r="J29" s="674">
        <v>20341.111992672693</v>
      </c>
      <c r="K29" s="674">
        <v>22887.790436910611</v>
      </c>
      <c r="L29" s="674">
        <v>20697.256008930814</v>
      </c>
      <c r="M29" s="674">
        <v>15345.352897359286</v>
      </c>
      <c r="N29" s="674">
        <v>20464.145534940813</v>
      </c>
      <c r="O29" s="675">
        <f t="shared" ref="O29:O34" si="13">N29*(1+O$18)</f>
        <v>20933.125488722155</v>
      </c>
      <c r="P29" s="675">
        <f t="shared" ref="P29:AE29" si="14">O29*(1+P$18)</f>
        <v>21402.159884891698</v>
      </c>
      <c r="Q29" s="675">
        <f t="shared" si="14"/>
        <v>21869.729780818339</v>
      </c>
      <c r="R29" s="675">
        <f t="shared" si="14"/>
        <v>22338.136534026638</v>
      </c>
      <c r="S29" s="675">
        <f t="shared" si="14"/>
        <v>22812.902935926511</v>
      </c>
      <c r="T29" s="675">
        <f t="shared" si="14"/>
        <v>23292.39415937478</v>
      </c>
      <c r="U29" s="675">
        <f t="shared" si="14"/>
        <v>23783.462167802143</v>
      </c>
      <c r="V29" s="675">
        <f t="shared" si="14"/>
        <v>24284.308029152387</v>
      </c>
      <c r="W29" s="675">
        <f t="shared" si="14"/>
        <v>24792.174625336775</v>
      </c>
      <c r="X29" s="675">
        <f t="shared" si="14"/>
        <v>25307.035512909599</v>
      </c>
      <c r="Y29" s="675">
        <f t="shared" si="14"/>
        <v>25833.057867814296</v>
      </c>
      <c r="Z29" s="675">
        <f t="shared" si="14"/>
        <v>26370.158470971735</v>
      </c>
      <c r="AA29" s="675">
        <f t="shared" si="14"/>
        <v>26915.105777767338</v>
      </c>
      <c r="AB29" s="675">
        <f t="shared" si="14"/>
        <v>27473.460689282761</v>
      </c>
      <c r="AC29" s="675">
        <f t="shared" si="14"/>
        <v>28048.883289502653</v>
      </c>
      <c r="AD29" s="675">
        <f t="shared" si="14"/>
        <v>28639.083109380099</v>
      </c>
      <c r="AE29" s="675">
        <f t="shared" si="14"/>
        <v>29245.138885950106</v>
      </c>
      <c r="AG29" s="286" t="s">
        <v>618</v>
      </c>
    </row>
    <row r="30" spans="1:34" ht="15" thickBot="1">
      <c r="A30" s="959"/>
      <c r="B30" s="560" t="s">
        <v>682</v>
      </c>
      <c r="C30" s="559">
        <v>45385</v>
      </c>
      <c r="D30" s="674">
        <v>66541.135651949313</v>
      </c>
      <c r="E30" s="674">
        <v>35028.939009004796</v>
      </c>
      <c r="F30" s="674">
        <v>40122.469555446187</v>
      </c>
      <c r="G30" s="674">
        <v>35322.188288556281</v>
      </c>
      <c r="H30" s="674">
        <v>40599.854412862267</v>
      </c>
      <c r="I30" s="674">
        <v>46616.785517800738</v>
      </c>
      <c r="J30" s="674">
        <v>43479.126884337886</v>
      </c>
      <c r="K30" s="674">
        <v>45775.580873821222</v>
      </c>
      <c r="L30" s="674">
        <v>40883.468659616425</v>
      </c>
      <c r="M30" s="674">
        <v>33759.776374190427</v>
      </c>
      <c r="N30" s="674">
        <v>35812.254686146422</v>
      </c>
      <c r="O30" s="282">
        <f t="shared" si="13"/>
        <v>36632.969605263766</v>
      </c>
      <c r="P30" s="282">
        <f t="shared" ref="P30:AE30" si="15">O30*(1+P$18)</f>
        <v>37453.77979856047</v>
      </c>
      <c r="Q30" s="282">
        <f t="shared" si="15"/>
        <v>38272.027116432095</v>
      </c>
      <c r="R30" s="282">
        <f t="shared" si="15"/>
        <v>39091.738934546614</v>
      </c>
      <c r="S30" s="282">
        <f t="shared" si="15"/>
        <v>39922.580137871388</v>
      </c>
      <c r="T30" s="282">
        <f t="shared" si="15"/>
        <v>40761.689778905857</v>
      </c>
      <c r="U30" s="282">
        <f t="shared" si="15"/>
        <v>41621.058793653741</v>
      </c>
      <c r="V30" s="282">
        <f t="shared" si="15"/>
        <v>42497.539051016669</v>
      </c>
      <c r="W30" s="282">
        <f t="shared" si="15"/>
        <v>43386.305594339341</v>
      </c>
      <c r="X30" s="282">
        <f t="shared" si="15"/>
        <v>44287.31214759178</v>
      </c>
      <c r="Y30" s="282">
        <f t="shared" si="15"/>
        <v>45207.851268675004</v>
      </c>
      <c r="Z30" s="282">
        <f t="shared" si="15"/>
        <v>46147.777324200528</v>
      </c>
      <c r="AA30" s="282">
        <f t="shared" si="15"/>
        <v>47101.435111092833</v>
      </c>
      <c r="AB30" s="282">
        <f t="shared" si="15"/>
        <v>48078.55620624483</v>
      </c>
      <c r="AC30" s="282">
        <f t="shared" si="15"/>
        <v>49085.545756629646</v>
      </c>
      <c r="AD30" s="282">
        <f t="shared" si="15"/>
        <v>50118.395441415174</v>
      </c>
      <c r="AE30" s="282">
        <f t="shared" si="15"/>
        <v>51178.99305041269</v>
      </c>
      <c r="AG30" s="286" t="s">
        <v>619</v>
      </c>
    </row>
    <row r="31" spans="1:34" ht="15" thickBot="1">
      <c r="A31" s="959"/>
      <c r="B31" s="560" t="s">
        <v>683</v>
      </c>
      <c r="C31" s="559">
        <v>306138</v>
      </c>
      <c r="D31" s="674">
        <v>271598.73535270646</v>
      </c>
      <c r="E31" s="674">
        <v>328827.21472068812</v>
      </c>
      <c r="F31" s="674">
        <v>314515.58075284737</v>
      </c>
      <c r="G31" s="674">
        <v>328860.7863191982</v>
      </c>
      <c r="H31" s="674">
        <v>361519.14803126478</v>
      </c>
      <c r="I31" s="674">
        <v>369376.65768052917</v>
      </c>
      <c r="J31" s="674">
        <v>356145.74946835969</v>
      </c>
      <c r="K31" s="674">
        <v>360779.39292039041</v>
      </c>
      <c r="L31" s="674">
        <v>365679.91408124118</v>
      </c>
      <c r="M31" s="674">
        <v>369152.35606937308</v>
      </c>
      <c r="N31" s="674">
        <v>378026.20214721415</v>
      </c>
      <c r="O31" s="282">
        <f t="shared" si="13"/>
        <v>386689.48645138572</v>
      </c>
      <c r="P31" s="282">
        <f t="shared" ref="P31:AE31" si="16">O31*(1+P$18)</f>
        <v>395353.77644862246</v>
      </c>
      <c r="Q31" s="282">
        <f t="shared" si="16"/>
        <v>403991.01330240286</v>
      </c>
      <c r="R31" s="282">
        <f t="shared" si="16"/>
        <v>412643.70909530111</v>
      </c>
      <c r="S31" s="282">
        <f t="shared" si="16"/>
        <v>421413.88420526939</v>
      </c>
      <c r="T31" s="282">
        <f t="shared" si="16"/>
        <v>430271.33910626115</v>
      </c>
      <c r="U31" s="282">
        <f t="shared" si="16"/>
        <v>439342.6474540655</v>
      </c>
      <c r="V31" s="282">
        <f t="shared" si="16"/>
        <v>448594.57827639632</v>
      </c>
      <c r="W31" s="282">
        <f t="shared" si="16"/>
        <v>457976.20040301845</v>
      </c>
      <c r="X31" s="282">
        <f t="shared" si="16"/>
        <v>467487.025354443</v>
      </c>
      <c r="Y31" s="282">
        <f t="shared" si="16"/>
        <v>477204.03175129631</v>
      </c>
      <c r="Z31" s="282">
        <f t="shared" si="16"/>
        <v>487125.68231989274</v>
      </c>
      <c r="AA31" s="282">
        <f t="shared" si="16"/>
        <v>497192.2819932854</v>
      </c>
      <c r="AB31" s="282">
        <f t="shared" si="16"/>
        <v>507506.55513457197</v>
      </c>
      <c r="AC31" s="282">
        <f t="shared" si="16"/>
        <v>518136.11305182759</v>
      </c>
      <c r="AD31" s="282">
        <f t="shared" si="16"/>
        <v>529038.64480109105</v>
      </c>
      <c r="AE31" s="282">
        <f t="shared" si="16"/>
        <v>540234.0774720991</v>
      </c>
      <c r="AG31" s="286" t="s">
        <v>620</v>
      </c>
    </row>
    <row r="32" spans="1:34" ht="15" thickBot="1">
      <c r="A32" s="959"/>
      <c r="B32" s="560" t="s">
        <v>684</v>
      </c>
      <c r="C32" s="559">
        <v>64431</v>
      </c>
      <c r="D32" s="674">
        <v>144726.97004298976</v>
      </c>
      <c r="E32" s="674">
        <v>142784.6275795624</v>
      </c>
      <c r="F32" s="674">
        <v>135747.68866259296</v>
      </c>
      <c r="G32" s="674">
        <v>94528.903896041083</v>
      </c>
      <c r="H32" s="674">
        <v>39320.958998857102</v>
      </c>
      <c r="I32" s="674">
        <v>45589.302020578682</v>
      </c>
      <c r="J32" s="674">
        <v>54857.34016917822</v>
      </c>
      <c r="K32" s="674">
        <v>47826.188851705148</v>
      </c>
      <c r="L32" s="674">
        <v>49611.629083386091</v>
      </c>
      <c r="M32" s="674">
        <v>59968.448041042444</v>
      </c>
      <c r="N32" s="674">
        <v>48019.383048361313</v>
      </c>
      <c r="O32" s="282">
        <f t="shared" si="13"/>
        <v>49119.850595573473</v>
      </c>
      <c r="P32" s="282">
        <f t="shared" ref="P32:AE32" si="17">O32*(1+P$18)</f>
        <v>50220.445892556017</v>
      </c>
      <c r="Q32" s="282">
        <f t="shared" si="17"/>
        <v>51317.604720714677</v>
      </c>
      <c r="R32" s="282">
        <f t="shared" si="17"/>
        <v>52416.727245344118</v>
      </c>
      <c r="S32" s="282">
        <f t="shared" si="17"/>
        <v>53530.772768153583</v>
      </c>
      <c r="T32" s="282">
        <f t="shared" si="17"/>
        <v>54655.905146037469</v>
      </c>
      <c r="U32" s="282">
        <f t="shared" si="17"/>
        <v>55808.202600099605</v>
      </c>
      <c r="V32" s="282">
        <f t="shared" si="17"/>
        <v>56983.443912926465</v>
      </c>
      <c r="W32" s="282">
        <f t="shared" si="17"/>
        <v>58175.159471145394</v>
      </c>
      <c r="X32" s="282">
        <f t="shared" si="17"/>
        <v>59383.287224867912</v>
      </c>
      <c r="Y32" s="282">
        <f t="shared" si="17"/>
        <v>60617.605506520165</v>
      </c>
      <c r="Z32" s="282">
        <f t="shared" si="17"/>
        <v>61877.919041453089</v>
      </c>
      <c r="AA32" s="282">
        <f t="shared" si="17"/>
        <v>63156.644968294808</v>
      </c>
      <c r="AB32" s="282">
        <f t="shared" si="17"/>
        <v>64466.832013593819</v>
      </c>
      <c r="AC32" s="282">
        <f t="shared" si="17"/>
        <v>65817.068611914758</v>
      </c>
      <c r="AD32" s="282">
        <f t="shared" si="17"/>
        <v>67201.980147917027</v>
      </c>
      <c r="AE32" s="282">
        <f t="shared" si="17"/>
        <v>68624.097892051388</v>
      </c>
      <c r="AF32" s="523"/>
      <c r="AG32" s="286" t="s">
        <v>621</v>
      </c>
    </row>
    <row r="33" spans="1:34" ht="15" thickBot="1">
      <c r="A33" s="959"/>
      <c r="B33" s="560" t="s">
        <v>685</v>
      </c>
      <c r="C33" s="559">
        <v>5761</v>
      </c>
      <c r="D33" s="674">
        <v>6199.4158049066109</v>
      </c>
      <c r="E33" s="674">
        <v>6227.3669349341853</v>
      </c>
      <c r="F33" s="674">
        <v>6252.4181723903639</v>
      </c>
      <c r="G33" s="674">
        <v>6300.5017041387782</v>
      </c>
      <c r="H33" s="674">
        <v>6349.3661206781817</v>
      </c>
      <c r="I33" s="674">
        <v>6350.6925198163326</v>
      </c>
      <c r="J33" s="674">
        <v>6384.8490421444849</v>
      </c>
      <c r="K33" s="674">
        <v>6397.2787097735336</v>
      </c>
      <c r="L33" s="674">
        <v>6439.1463138895861</v>
      </c>
      <c r="M33" s="674">
        <v>6456.4151449630181</v>
      </c>
      <c r="N33" s="674">
        <v>6468.9437829896242</v>
      </c>
      <c r="O33" s="676">
        <f t="shared" si="13"/>
        <v>6617.1935572682814</v>
      </c>
      <c r="P33" s="676">
        <f t="shared" ref="P33:AE33" si="18">O33*(1+P$18)</f>
        <v>6765.4605413907648</v>
      </c>
      <c r="Q33" s="676">
        <f t="shared" si="18"/>
        <v>6913.2645807142426</v>
      </c>
      <c r="R33" s="676">
        <f t="shared" si="18"/>
        <v>7061.3331599228659</v>
      </c>
      <c r="S33" s="676">
        <f t="shared" si="18"/>
        <v>7211.4120947456586</v>
      </c>
      <c r="T33" s="676">
        <f t="shared" si="18"/>
        <v>7362.9845981579165</v>
      </c>
      <c r="U33" s="676">
        <f t="shared" si="18"/>
        <v>7518.2166519330103</v>
      </c>
      <c r="V33" s="676">
        <f t="shared" si="18"/>
        <v>7676.539593659837</v>
      </c>
      <c r="W33" s="676">
        <f t="shared" si="18"/>
        <v>7837.0818676759009</v>
      </c>
      <c r="X33" s="676">
        <f t="shared" si="18"/>
        <v>7999.835114914199</v>
      </c>
      <c r="Y33" s="676">
        <f t="shared" si="18"/>
        <v>8166.1166259924066</v>
      </c>
      <c r="Z33" s="676">
        <f t="shared" si="18"/>
        <v>8335.9000944349536</v>
      </c>
      <c r="AA33" s="676">
        <f t="shared" si="18"/>
        <v>8508.1639930831188</v>
      </c>
      <c r="AB33" s="676">
        <f t="shared" si="18"/>
        <v>8684.6661845566068</v>
      </c>
      <c r="AC33" s="676">
        <f t="shared" si="18"/>
        <v>8866.5636620705627</v>
      </c>
      <c r="AD33" s="676">
        <f t="shared" si="18"/>
        <v>9053.1323829096</v>
      </c>
      <c r="AE33" s="676">
        <f t="shared" si="18"/>
        <v>9244.7133478364522</v>
      </c>
      <c r="AG33" s="286" t="s">
        <v>622</v>
      </c>
    </row>
    <row r="34" spans="1:34">
      <c r="A34" s="959"/>
      <c r="B34" s="561" t="s">
        <v>66</v>
      </c>
      <c r="C34" s="559">
        <f>3522+27312+1346</f>
        <v>32180</v>
      </c>
      <c r="D34" s="674">
        <v>55450.94637662443</v>
      </c>
      <c r="E34" s="674">
        <v>42034.726810805754</v>
      </c>
      <c r="F34" s="674">
        <v>50153.086944307739</v>
      </c>
      <c r="G34" s="674">
        <v>50460.268983651826</v>
      </c>
      <c r="H34" s="674">
        <v>50749.818016077828</v>
      </c>
      <c r="I34" s="674">
        <v>50670.419041087764</v>
      </c>
      <c r="J34" s="674">
        <v>50852.779981681735</v>
      </c>
      <c r="K34" s="674">
        <v>50861.756526468023</v>
      </c>
      <c r="L34" s="674">
        <v>35517.513398041767</v>
      </c>
      <c r="M34" s="674">
        <v>33759.776374190427</v>
      </c>
      <c r="N34" s="674">
        <v>32077.548126019723</v>
      </c>
      <c r="O34" s="282">
        <f t="shared" si="13"/>
        <v>32812.674203571973</v>
      </c>
      <c r="P34" s="282">
        <f t="shared" ref="P34:AE34" si="19">O34*(1+P$18)</f>
        <v>33547.885619567729</v>
      </c>
      <c r="Q34" s="282">
        <f t="shared" si="19"/>
        <v>34280.801431432745</v>
      </c>
      <c r="R34" s="282">
        <f t="shared" si="19"/>
        <v>35015.029017086752</v>
      </c>
      <c r="S34" s="282">
        <f t="shared" si="19"/>
        <v>35759.225352064801</v>
      </c>
      <c r="T34" s="282">
        <f t="shared" si="19"/>
        <v>36510.827844819964</v>
      </c>
      <c r="U34" s="282">
        <f t="shared" si="19"/>
        <v>37280.576948029855</v>
      </c>
      <c r="V34" s="282">
        <f t="shared" si="19"/>
        <v>38065.652835696361</v>
      </c>
      <c r="W34" s="282">
        <f t="shared" si="19"/>
        <v>38861.733725215388</v>
      </c>
      <c r="X34" s="282">
        <f t="shared" si="19"/>
        <v>39668.77816648579</v>
      </c>
      <c r="Y34" s="282">
        <f t="shared" si="19"/>
        <v>40493.318207798904</v>
      </c>
      <c r="Z34" s="282">
        <f t="shared" si="19"/>
        <v>41335.223403248194</v>
      </c>
      <c r="AA34" s="282">
        <f t="shared" si="19"/>
        <v>42189.428306650305</v>
      </c>
      <c r="AB34" s="282">
        <f t="shared" si="19"/>
        <v>43064.649630450731</v>
      </c>
      <c r="AC34" s="282">
        <f t="shared" si="19"/>
        <v>43966.624556295414</v>
      </c>
      <c r="AD34" s="282">
        <f t="shared" si="19"/>
        <v>44891.762773953313</v>
      </c>
      <c r="AE34" s="282">
        <f t="shared" si="19"/>
        <v>45841.755203726803</v>
      </c>
      <c r="AG34" s="286" t="s">
        <v>623</v>
      </c>
    </row>
    <row r="35" spans="1:34" ht="15">
      <c r="A35" s="959"/>
      <c r="B35" s="560" t="s">
        <v>679</v>
      </c>
      <c r="C35" s="285"/>
      <c r="D35" s="285">
        <v>0</v>
      </c>
      <c r="E35" s="285">
        <v>0</v>
      </c>
      <c r="F35" s="285">
        <v>0</v>
      </c>
      <c r="G35" s="285">
        <v>0</v>
      </c>
      <c r="H35" s="285">
        <v>0</v>
      </c>
      <c r="I35" s="285">
        <v>0</v>
      </c>
      <c r="J35" s="285">
        <v>0</v>
      </c>
      <c r="K35" s="285">
        <v>0</v>
      </c>
      <c r="L35" s="285">
        <v>0</v>
      </c>
      <c r="M35" s="285">
        <v>0</v>
      </c>
      <c r="N35" s="285">
        <v>0</v>
      </c>
      <c r="O35" s="285">
        <v>0</v>
      </c>
      <c r="P35" s="282"/>
      <c r="Q35" s="282"/>
      <c r="R35" s="282"/>
      <c r="S35" s="282"/>
      <c r="T35" s="417"/>
      <c r="U35" s="417"/>
      <c r="V35" s="417"/>
      <c r="W35" s="417"/>
      <c r="X35" s="417"/>
      <c r="Y35" s="417"/>
      <c r="Z35" s="417"/>
      <c r="AA35" s="417"/>
      <c r="AB35" s="417"/>
      <c r="AC35" s="417"/>
      <c r="AD35" s="417"/>
      <c r="AE35" s="417"/>
      <c r="AG35" t="s">
        <v>689</v>
      </c>
    </row>
    <row r="36" spans="1:34">
      <c r="A36" s="959"/>
      <c r="B36" s="560" t="s">
        <v>374</v>
      </c>
      <c r="C36" s="103">
        <f>HLOOKUP(C$28,AFUDC!$J$13:$AK$38,26,FALSE)-C$37</f>
        <v>16158.861256299902</v>
      </c>
      <c r="D36" s="103">
        <f>HLOOKUP(D$28,AFUDC!$J$13:$AK$38,26,FALSE)-D$37</f>
        <v>15191.891265184</v>
      </c>
      <c r="E36" s="103">
        <f>HLOOKUP(E$28,AFUDC!$J$13:$AK$38,26,FALSE)-E$37</f>
        <v>14869.826407803152</v>
      </c>
      <c r="F36" s="103">
        <f>HLOOKUP(F$28,AFUDC!$J$13:$AK$38,26,FALSE)-F$37</f>
        <v>13640.25643728439</v>
      </c>
      <c r="G36" s="103">
        <f>HLOOKUP(G$28,AFUDC!$J$13:$AK$38,26,FALSE)-G$37</f>
        <v>12268.353071200721</v>
      </c>
      <c r="H36" s="103">
        <f>HLOOKUP(H$28,AFUDC!$J$13:$AK$38,26,FALSE)-H$37</f>
        <v>10825.019379110807</v>
      </c>
      <c r="I36" s="103">
        <f>HLOOKUP(I$28,AFUDC!$J$13:$AK$38,26,FALSE)-I$37</f>
        <v>9278.7102198661942</v>
      </c>
      <c r="J36" s="103">
        <f>HLOOKUP(J$28,AFUDC!$J$13:$AK$38,26,FALSE)-J$37</f>
        <v>7628.9344200008318</v>
      </c>
      <c r="K36" s="103">
        <f>HLOOKUP(K$28,AFUDC!$J$13:$AK$38,26,FALSE)-K$37</f>
        <v>5872.9279342887094</v>
      </c>
      <c r="L36" s="103">
        <f>HLOOKUP(L$28,AFUDC!$J$13:$AK$38,26,FALSE)-L$37</f>
        <v>4034.605747520262</v>
      </c>
      <c r="M36" s="103">
        <f>HLOOKUP(M$28,AFUDC!$J$13:$AK$38,26,FALSE)-M$37</f>
        <v>2134.7089846892236</v>
      </c>
      <c r="N36" s="103">
        <f>HLOOKUP(N$28,AFUDC!$J$13:$AK$38,26,FALSE)-N$37</f>
        <v>171.66869350940362</v>
      </c>
      <c r="O36" s="103">
        <f>HLOOKUP(O$28,AFUDC!$J$13:$AK$38,26,FALSE)-O$37</f>
        <v>-2648.9623983267838</v>
      </c>
      <c r="P36" s="103">
        <f>HLOOKUP(P$28,AFUDC!$J$13:$AK$38,26,FALSE)-P$37</f>
        <v>-6411.2034075488255</v>
      </c>
      <c r="Q36" s="103">
        <f>HLOOKUP(Q$28,AFUDC!$J$13:$AK$38,26,FALSE)-Q$37</f>
        <v>-10380.154277122212</v>
      </c>
      <c r="R36" s="103">
        <f>HLOOKUP(R$28,AFUDC!$J$13:$AK$38,26,FALSE)-R$37</f>
        <v>-14559.843196729904</v>
      </c>
      <c r="S36" s="103">
        <f>HLOOKUP(S$28,AFUDC!$J$13:$AK$38,26,FALSE)-S$37</f>
        <v>-18955.015904680211</v>
      </c>
      <c r="T36" s="103">
        <f>HLOOKUP(T$28,AFUDC!$J$13:$AK$38,26,FALSE)-T$37</f>
        <v>-23570.824020305849</v>
      </c>
      <c r="U36" s="103">
        <f>HLOOKUP(U$28,AFUDC!$J$13:$AK$38,26,FALSE)-U$37</f>
        <v>-28412.97968979548</v>
      </c>
      <c r="V36" s="103">
        <f>HLOOKUP(V$28,AFUDC!$J$13:$AK$38,26,FALSE)-V$37</f>
        <v>-33487.777669344709</v>
      </c>
      <c r="W36" s="103">
        <f>HLOOKUP(W$28,AFUDC!$J$13:$AK$38,26,FALSE)-W$37</f>
        <v>-38801.190449227819</v>
      </c>
      <c r="X36" s="103">
        <f>HLOOKUP(X$28,AFUDC!$J$13:$AK$38,26,FALSE)-X$37</f>
        <v>-44359.011399872717</v>
      </c>
      <c r="Y36" s="103">
        <f>HLOOKUP(Y$28,AFUDC!$J$13:$AK$38,26,FALSE)-Y$37</f>
        <v>-50167.533193271353</v>
      </c>
      <c r="Z36" s="103">
        <f>HLOOKUP(Z$28,AFUDC!$J$13:$AK$38,26,FALSE)-Z$37</f>
        <v>-56233.572092455637</v>
      </c>
      <c r="AA36" s="103" t="e">
        <f>HLOOKUP(AA$28,AFUDC!$J$13:$AK$38,26,FALSE)-AA$37</f>
        <v>#N/A</v>
      </c>
      <c r="AB36" s="103" t="e">
        <f>HLOOKUP(AB$28,AFUDC!$J$13:$AK$38,26,FALSE)-AB$37</f>
        <v>#N/A</v>
      </c>
      <c r="AC36" s="103" t="e">
        <f>HLOOKUP(AC$28,AFUDC!$J$13:$AK$38,26,FALSE)-AC$37</f>
        <v>#N/A</v>
      </c>
      <c r="AD36" s="103" t="e">
        <f>HLOOKUP(AD$28,AFUDC!$J$13:$AK$38,26,FALSE)-AD$37</f>
        <v>#N/A</v>
      </c>
      <c r="AE36" s="103" t="e">
        <f>HLOOKUP(AE$28,AFUDC!$J$13:$AK$38,26,FALSE)-AE$37</f>
        <v>#N/A</v>
      </c>
    </row>
    <row r="37" spans="1:34">
      <c r="A37" s="959"/>
      <c r="B37" s="560" t="s">
        <v>375</v>
      </c>
      <c r="C37" s="103">
        <f>HLOOKUP(C$28,AFUDC!$J$13:$AK$38,16,FALSE)</f>
        <v>267.63106499999998</v>
      </c>
      <c r="D37" s="103">
        <f>HLOOKUP(D$28,AFUDC!$J$13:$AK$38,16,FALSE)</f>
        <v>232.81186500000001</v>
      </c>
      <c r="E37" s="103">
        <f>HLOOKUP(E$28,AFUDC!$J$13:$AK$38,16,FALSE)</f>
        <v>230.61402000000001</v>
      </c>
      <c r="F37" s="103">
        <f>HLOOKUP(F$28,AFUDC!$J$13:$AK$38,16,FALSE)</f>
        <v>293.88995999999997</v>
      </c>
      <c r="G37" s="103">
        <f>HLOOKUP(G$28,AFUDC!$J$13:$AK$38,16,FALSE)</f>
        <v>316.42610999999999</v>
      </c>
      <c r="H37" s="103">
        <f>HLOOKUP(H$28,AFUDC!$J$13:$AK$38,16,FALSE)</f>
        <v>321.30500999999998</v>
      </c>
      <c r="I37" s="103">
        <f>HLOOKUP(I$28,AFUDC!$J$13:$AK$38,16,FALSE)</f>
        <v>327.43678499999999</v>
      </c>
      <c r="J37" s="103">
        <f>HLOOKUP(J$28,AFUDC!$J$13:$AK$38,16,FALSE)</f>
        <v>330.26451558880001</v>
      </c>
      <c r="K37" s="103">
        <f>HLOOKUP(K$28,AFUDC!$J$13:$AK$38,16,FALSE)</f>
        <v>343.51772082049661</v>
      </c>
      <c r="L37" s="103">
        <f>HLOOKUP(L$28,AFUDC!$J$13:$AK$38,16,FALSE)</f>
        <v>357.77880932871307</v>
      </c>
      <c r="M37" s="103">
        <f>HLOOKUP(M$28,AFUDC!$J$13:$AK$38,16,FALSE)</f>
        <v>372.36874721630846</v>
      </c>
      <c r="N37" s="103">
        <f>HLOOKUP(N$28,AFUDC!$J$13:$AK$38,16,FALSE)</f>
        <v>387.36153480135806</v>
      </c>
      <c r="O37" s="103">
        <f>HLOOKUP(O$28,AFUDC!$J$13:$AK$38,16,FALSE)</f>
        <v>402.94240483865332</v>
      </c>
      <c r="P37" s="103">
        <f>HLOOKUP(P$28,AFUDC!$J$13:$AK$38,16,FALSE)</f>
        <v>419.00986375715962</v>
      </c>
      <c r="Q37" s="103">
        <f>HLOOKUP(Q$28,AFUDC!$J$13:$AK$38,16,FALSE)</f>
        <v>435.37055015223865</v>
      </c>
      <c r="R37" s="103">
        <f>HLOOKUP(R$28,AFUDC!$J$13:$AK$38,16,FALSE)</f>
        <v>452.03177115317186</v>
      </c>
      <c r="S37" s="103">
        <f>HLOOKUP(S$28,AFUDC!$J$13:$AK$38,16,FALSE)</f>
        <v>469.07450335947971</v>
      </c>
      <c r="T37" s="103">
        <f>HLOOKUP(T$28,AFUDC!$J$13:$AK$38,16,FALSE)</f>
        <v>486.54331371673459</v>
      </c>
      <c r="U37" s="103">
        <f>HLOOKUP(U$28,AFUDC!$J$13:$AK$38,16,FALSE)</f>
        <v>504.49956195414529</v>
      </c>
      <c r="V37" s="103">
        <f>HLOOKUP(V$28,AFUDC!$J$13:$AK$38,16,FALSE)</f>
        <v>523.00624185403251</v>
      </c>
      <c r="W37" s="103">
        <f>HLOOKUP(W$28,AFUDC!$J$13:$AK$38,16,FALSE)</f>
        <v>542.02353207630961</v>
      </c>
      <c r="X37" s="103">
        <f>HLOOKUP(X$28,AFUDC!$J$13:$AK$38,16,FALSE)</f>
        <v>561.52849161947142</v>
      </c>
      <c r="Y37" s="103">
        <f>HLOOKUP(Y$28,AFUDC!$J$13:$AK$38,16,FALSE)</f>
        <v>581.57509939455269</v>
      </c>
      <c r="Z37" s="103">
        <f>HLOOKUP(Z$28,AFUDC!$J$13:$AK$38,16,FALSE)</f>
        <v>602.21939342138216</v>
      </c>
      <c r="AA37" s="103" t="e">
        <f>HLOOKUP(AA$28,AFUDC!$J$13:$AK$38,16,FALSE)</f>
        <v>#N/A</v>
      </c>
      <c r="AB37" s="103" t="e">
        <f>HLOOKUP(AB$28,AFUDC!$J$13:$AK$38,16,FALSE)</f>
        <v>#N/A</v>
      </c>
      <c r="AC37" s="103" t="e">
        <f>HLOOKUP(AC$28,AFUDC!$J$13:$AK$38,16,FALSE)</f>
        <v>#N/A</v>
      </c>
      <c r="AD37" s="103" t="e">
        <f>HLOOKUP(AD$28,AFUDC!$J$13:$AK$38,16,FALSE)</f>
        <v>#N/A</v>
      </c>
      <c r="AE37" s="103" t="e">
        <f>HLOOKUP(AE$28,AFUDC!$J$13:$AK$38,16,FALSE)</f>
        <v>#N/A</v>
      </c>
    </row>
    <row r="38" spans="1:34">
      <c r="A38" s="959"/>
      <c r="B38" s="295" t="s">
        <v>695</v>
      </c>
      <c r="C38" s="282">
        <f>SUM(C29:C37)</f>
        <v>491195.49232129991</v>
      </c>
      <c r="D38" s="282">
        <f t="shared" ref="D38:E38" si="20">SUM(D29:D37)</f>
        <v>565487.00099702319</v>
      </c>
      <c r="E38" s="282">
        <f t="shared" si="20"/>
        <v>605032.25449180312</v>
      </c>
      <c r="F38" s="282">
        <f>SUM(F29:F37)</f>
        <v>595832.55134588445</v>
      </c>
      <c r="G38" s="282">
        <f t="shared" ref="G38:AE38" si="21">SUM(G29:G37)</f>
        <v>568425.64355970838</v>
      </c>
      <c r="H38" s="282">
        <f t="shared" si="21"/>
        <v>545210.34258010553</v>
      </c>
      <c r="I38" s="282">
        <f t="shared" si="21"/>
        <v>553545.21330522292</v>
      </c>
      <c r="J38" s="282">
        <f t="shared" si="21"/>
        <v>540020.15647396434</v>
      </c>
      <c r="K38" s="282">
        <f t="shared" si="21"/>
        <v>540744.43397417816</v>
      </c>
      <c r="L38" s="282">
        <f t="shared" si="21"/>
        <v>523221.31210195489</v>
      </c>
      <c r="M38" s="282">
        <f t="shared" si="21"/>
        <v>520949.20263302414</v>
      </c>
      <c r="N38" s="282">
        <f t="shared" si="21"/>
        <v>521427.50755398278</v>
      </c>
      <c r="O38" s="282">
        <f t="shared" si="21"/>
        <v>530559.27990829712</v>
      </c>
      <c r="P38" s="282">
        <f t="shared" si="21"/>
        <v>538751.31464179757</v>
      </c>
      <c r="Q38" s="282">
        <f t="shared" si="21"/>
        <v>546699.65720554499</v>
      </c>
      <c r="R38" s="282">
        <f t="shared" si="21"/>
        <v>554458.86256065138</v>
      </c>
      <c r="S38" s="282">
        <f t="shared" si="21"/>
        <v>562164.83609271061</v>
      </c>
      <c r="T38" s="282">
        <f t="shared" si="21"/>
        <v>569770.85992696811</v>
      </c>
      <c r="U38" s="282">
        <f t="shared" si="21"/>
        <v>577445.68448774249</v>
      </c>
      <c r="V38" s="282">
        <f t="shared" si="21"/>
        <v>585137.2902713574</v>
      </c>
      <c r="W38" s="282">
        <f t="shared" si="21"/>
        <v>592769.48876957968</v>
      </c>
      <c r="X38" s="282">
        <f t="shared" si="21"/>
        <v>600335.79061295919</v>
      </c>
      <c r="Y38" s="282">
        <f t="shared" si="21"/>
        <v>607936.02313422016</v>
      </c>
      <c r="Z38" s="282">
        <f t="shared" si="21"/>
        <v>615561.30795516702</v>
      </c>
      <c r="AA38" s="282" t="e">
        <f t="shared" si="21"/>
        <v>#N/A</v>
      </c>
      <c r="AB38" s="282" t="e">
        <f t="shared" si="21"/>
        <v>#N/A</v>
      </c>
      <c r="AC38" s="282" t="e">
        <f t="shared" si="21"/>
        <v>#N/A</v>
      </c>
      <c r="AD38" s="282" t="e">
        <f t="shared" si="21"/>
        <v>#N/A</v>
      </c>
      <c r="AE38" s="282" t="e">
        <f t="shared" si="21"/>
        <v>#N/A</v>
      </c>
    </row>
    <row r="39" spans="1:34" ht="15" thickBot="1">
      <c r="A39" s="959"/>
      <c r="B39" s="295"/>
      <c r="C39" s="283"/>
      <c r="D39" s="283"/>
      <c r="E39" s="283"/>
      <c r="F39" s="282"/>
      <c r="G39" s="282">
        <f>+G38-G34+G36+G37</f>
        <v>530550.15375725727</v>
      </c>
      <c r="H39" s="282"/>
      <c r="I39" s="282"/>
      <c r="J39" s="282"/>
      <c r="K39" s="282"/>
      <c r="L39" s="282"/>
      <c r="M39" s="282"/>
      <c r="N39" s="282"/>
      <c r="O39" s="282"/>
      <c r="P39" s="282"/>
      <c r="Q39" s="282"/>
      <c r="R39" s="282"/>
      <c r="S39" s="282"/>
      <c r="T39" s="282"/>
      <c r="U39" s="282"/>
      <c r="V39" s="282"/>
      <c r="W39" s="282"/>
      <c r="X39" s="282"/>
      <c r="Y39" s="282"/>
      <c r="Z39" s="282"/>
      <c r="AA39" s="282"/>
      <c r="AB39" s="282"/>
      <c r="AC39" s="282"/>
      <c r="AD39" s="282"/>
      <c r="AE39" s="282"/>
    </row>
    <row r="40" spans="1:34" ht="15">
      <c r="A40" s="959"/>
      <c r="B40" s="554" t="s">
        <v>67</v>
      </c>
      <c r="C40" s="708">
        <f>+C28</f>
        <v>2022</v>
      </c>
      <c r="D40" s="709">
        <f>+D28</f>
        <v>2023</v>
      </c>
      <c r="E40" s="709">
        <f>+E28</f>
        <v>2024</v>
      </c>
      <c r="F40" s="710">
        <f t="shared" ref="F40:AE40" si="22">E40+1</f>
        <v>2025</v>
      </c>
      <c r="G40" s="710">
        <f t="shared" si="22"/>
        <v>2026</v>
      </c>
      <c r="H40" s="710">
        <f t="shared" si="22"/>
        <v>2027</v>
      </c>
      <c r="I40" s="710">
        <f t="shared" si="22"/>
        <v>2028</v>
      </c>
      <c r="J40" s="710">
        <f t="shared" si="22"/>
        <v>2029</v>
      </c>
      <c r="K40" s="710">
        <f t="shared" si="22"/>
        <v>2030</v>
      </c>
      <c r="L40" s="710">
        <f t="shared" si="22"/>
        <v>2031</v>
      </c>
      <c r="M40" s="710">
        <f t="shared" si="22"/>
        <v>2032</v>
      </c>
      <c r="N40" s="710">
        <f t="shared" si="22"/>
        <v>2033</v>
      </c>
      <c r="O40" s="710">
        <f t="shared" si="22"/>
        <v>2034</v>
      </c>
      <c r="P40" s="710">
        <f>O40+1</f>
        <v>2035</v>
      </c>
      <c r="Q40" s="710">
        <f t="shared" si="22"/>
        <v>2036</v>
      </c>
      <c r="R40" s="711">
        <f t="shared" si="22"/>
        <v>2037</v>
      </c>
      <c r="S40" s="711">
        <f t="shared" si="22"/>
        <v>2038</v>
      </c>
      <c r="T40" s="711">
        <f t="shared" si="22"/>
        <v>2039</v>
      </c>
      <c r="U40" s="711">
        <f t="shared" si="22"/>
        <v>2040</v>
      </c>
      <c r="V40" s="711">
        <f t="shared" si="22"/>
        <v>2041</v>
      </c>
      <c r="W40" s="711">
        <f t="shared" si="22"/>
        <v>2042</v>
      </c>
      <c r="X40" s="711">
        <f t="shared" si="22"/>
        <v>2043</v>
      </c>
      <c r="Y40" s="711">
        <f t="shared" si="22"/>
        <v>2044</v>
      </c>
      <c r="Z40" s="711">
        <f t="shared" si="22"/>
        <v>2045</v>
      </c>
      <c r="AA40" s="711">
        <f t="shared" si="22"/>
        <v>2046</v>
      </c>
      <c r="AB40" s="711">
        <f t="shared" si="22"/>
        <v>2047</v>
      </c>
      <c r="AC40" s="711">
        <f t="shared" si="22"/>
        <v>2048</v>
      </c>
      <c r="AD40" s="711">
        <f t="shared" si="22"/>
        <v>2049</v>
      </c>
      <c r="AE40" s="711">
        <f t="shared" si="22"/>
        <v>2050</v>
      </c>
      <c r="AF40" s="712"/>
    </row>
    <row r="41" spans="1:34">
      <c r="A41" s="959"/>
      <c r="B41" s="284" t="s">
        <v>690</v>
      </c>
      <c r="C41" s="713"/>
      <c r="D41" s="106">
        <v>0</v>
      </c>
      <c r="E41" s="106">
        <v>0</v>
      </c>
      <c r="F41" s="106">
        <v>0</v>
      </c>
      <c r="G41" s="106">
        <v>0</v>
      </c>
      <c r="H41" s="106">
        <v>0</v>
      </c>
      <c r="I41" s="106">
        <v>0</v>
      </c>
      <c r="J41" s="106">
        <v>0</v>
      </c>
      <c r="K41" s="106">
        <v>0</v>
      </c>
      <c r="L41" s="106">
        <v>0</v>
      </c>
      <c r="M41" s="106">
        <v>0</v>
      </c>
      <c r="N41" s="106">
        <v>0</v>
      </c>
      <c r="O41" s="106">
        <f t="shared" ref="O41:O43" si="23">N41*(1+O$18)</f>
        <v>0</v>
      </c>
      <c r="P41" s="282">
        <f t="shared" ref="P41:P43" si="24">O41*(1+P$18)</f>
        <v>0</v>
      </c>
      <c r="Q41" s="282">
        <f t="shared" ref="Q41:Q43" si="25">P41*(1+Q$18)</f>
        <v>0</v>
      </c>
      <c r="R41" s="282">
        <f t="shared" ref="R41:R43" si="26">Q41*(1+R$18)</f>
        <v>0</v>
      </c>
      <c r="S41" s="282">
        <f t="shared" ref="S41:S43" si="27">R41*(1+S$18)</f>
        <v>0</v>
      </c>
      <c r="T41" s="282">
        <f t="shared" ref="T41:T43" si="28">S41*(1+T$18)</f>
        <v>0</v>
      </c>
      <c r="U41" s="282">
        <f t="shared" ref="U41:U43" si="29">T41*(1+U$18)</f>
        <v>0</v>
      </c>
      <c r="V41" s="282">
        <f t="shared" ref="V41:V43" si="30">U41*(1+V$18)</f>
        <v>0</v>
      </c>
      <c r="W41" s="282">
        <f t="shared" ref="W41:W43" si="31">V41*(1+W$18)</f>
        <v>0</v>
      </c>
      <c r="X41" s="282">
        <f t="shared" ref="X41:X43" si="32">W41*(1+X$18)</f>
        <v>0</v>
      </c>
      <c r="Y41" s="282">
        <f t="shared" ref="Y41:Y43" si="33">X41*(1+Y$18)</f>
        <v>0</v>
      </c>
      <c r="Z41" s="282">
        <f t="shared" ref="Z41:Z43" si="34">Y41*(1+Z$18)</f>
        <v>0</v>
      </c>
      <c r="AA41" s="282">
        <f t="shared" ref="AA41:AA43" si="35">Z41*(1+AA$18)</f>
        <v>0</v>
      </c>
      <c r="AB41" s="282">
        <f t="shared" ref="AB41:AB43" si="36">AA41*(1+AB$18)</f>
        <v>0</v>
      </c>
      <c r="AC41" s="282">
        <f t="shared" ref="AC41:AC43" si="37">AB41*(1+AC$18)</f>
        <v>0</v>
      </c>
      <c r="AD41" s="282">
        <f t="shared" ref="AD41:AD43" si="38">AC41*(1+AD$18)</f>
        <v>0</v>
      </c>
      <c r="AE41" s="282">
        <f t="shared" ref="AE41:AE43" si="39">AD41*(1+AE$18)</f>
        <v>0</v>
      </c>
      <c r="AF41" s="714"/>
      <c r="AG41" s="286" t="s">
        <v>624</v>
      </c>
    </row>
    <row r="42" spans="1:34">
      <c r="A42" s="959"/>
      <c r="B42" s="284" t="s">
        <v>691</v>
      </c>
      <c r="C42" s="713">
        <v>17373</v>
      </c>
      <c r="D42" s="106">
        <v>12228</v>
      </c>
      <c r="E42" s="106">
        <v>16500</v>
      </c>
      <c r="F42" s="106">
        <v>19384</v>
      </c>
      <c r="G42" s="106">
        <v>18500</v>
      </c>
      <c r="H42" s="106">
        <v>19234</v>
      </c>
      <c r="I42" s="106">
        <v>18500</v>
      </c>
      <c r="J42" s="106">
        <v>18860.239320000001</v>
      </c>
      <c r="K42" s="106">
        <v>19297.796872224004</v>
      </c>
      <c r="L42" s="106">
        <v>19739.716420597932</v>
      </c>
      <c r="M42" s="106">
        <v>20181.886068419324</v>
      </c>
      <c r="N42" s="106">
        <v>20635.978504958759</v>
      </c>
      <c r="O42" s="106">
        <f t="shared" si="23"/>
        <v>21108.896381200608</v>
      </c>
      <c r="P42" s="282">
        <f t="shared" si="24"/>
        <v>21581.869156971527</v>
      </c>
      <c r="Q42" s="282">
        <f t="shared" si="25"/>
        <v>22053.365135410186</v>
      </c>
      <c r="R42" s="282">
        <f t="shared" si="26"/>
        <v>22525.704998038706</v>
      </c>
      <c r="S42" s="282">
        <f t="shared" si="27"/>
        <v>23004.457909942812</v>
      </c>
      <c r="T42" s="282">
        <f t="shared" si="28"/>
        <v>23487.975316692111</v>
      </c>
      <c r="U42" s="282">
        <f t="shared" si="29"/>
        <v>23983.166716160882</v>
      </c>
      <c r="V42" s="282">
        <f t="shared" si="30"/>
        <v>24488.218071052503</v>
      </c>
      <c r="W42" s="282">
        <f t="shared" si="31"/>
        <v>25000.349112358541</v>
      </c>
      <c r="X42" s="282">
        <f t="shared" si="32"/>
        <v>25519.533174593442</v>
      </c>
      <c r="Y42" s="282">
        <f t="shared" si="33"/>
        <v>26049.972424568827</v>
      </c>
      <c r="Z42" s="282">
        <f t="shared" si="34"/>
        <v>26591.582944433096</v>
      </c>
      <c r="AA42" s="282">
        <f t="shared" si="35"/>
        <v>27141.106054995835</v>
      </c>
      <c r="AB42" s="282">
        <f t="shared" si="36"/>
        <v>27704.149351013119</v>
      </c>
      <c r="AC42" s="282">
        <f t="shared" si="37"/>
        <v>28284.403649397122</v>
      </c>
      <c r="AD42" s="282">
        <f t="shared" si="38"/>
        <v>28879.559248531536</v>
      </c>
      <c r="AE42" s="282">
        <f t="shared" si="39"/>
        <v>29490.703943371147</v>
      </c>
      <c r="AF42" s="714"/>
      <c r="AG42" s="286" t="s">
        <v>757</v>
      </c>
      <c r="AH42" s="286" t="s">
        <v>625</v>
      </c>
    </row>
    <row r="43" spans="1:34">
      <c r="A43" s="959"/>
      <c r="B43" s="284" t="s">
        <v>692</v>
      </c>
      <c r="C43" s="715"/>
      <c r="D43" s="106">
        <v>0</v>
      </c>
      <c r="E43" s="106">
        <v>0</v>
      </c>
      <c r="F43" s="106">
        <v>0</v>
      </c>
      <c r="G43" s="106">
        <v>0</v>
      </c>
      <c r="H43" s="106">
        <v>0</v>
      </c>
      <c r="I43" s="106">
        <v>0</v>
      </c>
      <c r="J43" s="106">
        <v>0</v>
      </c>
      <c r="K43" s="106">
        <v>0</v>
      </c>
      <c r="L43" s="106">
        <v>0</v>
      </c>
      <c r="M43" s="106">
        <v>0</v>
      </c>
      <c r="N43" s="106">
        <v>0</v>
      </c>
      <c r="O43" s="106">
        <f t="shared" si="23"/>
        <v>0</v>
      </c>
      <c r="P43" s="282">
        <f t="shared" si="24"/>
        <v>0</v>
      </c>
      <c r="Q43" s="282">
        <f t="shared" si="25"/>
        <v>0</v>
      </c>
      <c r="R43" s="282">
        <f t="shared" si="26"/>
        <v>0</v>
      </c>
      <c r="S43" s="282">
        <f t="shared" si="27"/>
        <v>0</v>
      </c>
      <c r="T43" s="282">
        <f t="shared" si="28"/>
        <v>0</v>
      </c>
      <c r="U43" s="282">
        <f t="shared" si="29"/>
        <v>0</v>
      </c>
      <c r="V43" s="282">
        <f t="shared" si="30"/>
        <v>0</v>
      </c>
      <c r="W43" s="282">
        <f t="shared" si="31"/>
        <v>0</v>
      </c>
      <c r="X43" s="282">
        <f t="shared" si="32"/>
        <v>0</v>
      </c>
      <c r="Y43" s="282">
        <f t="shared" si="33"/>
        <v>0</v>
      </c>
      <c r="Z43" s="282">
        <f t="shared" si="34"/>
        <v>0</v>
      </c>
      <c r="AA43" s="282">
        <f t="shared" si="35"/>
        <v>0</v>
      </c>
      <c r="AB43" s="282">
        <f t="shared" si="36"/>
        <v>0</v>
      </c>
      <c r="AC43" s="282">
        <f t="shared" si="37"/>
        <v>0</v>
      </c>
      <c r="AD43" s="282">
        <f t="shared" si="38"/>
        <v>0</v>
      </c>
      <c r="AE43" s="282">
        <f t="shared" si="39"/>
        <v>0</v>
      </c>
      <c r="AF43" s="714"/>
      <c r="AG43" s="286" t="s">
        <v>627</v>
      </c>
    </row>
    <row r="44" spans="1:34" ht="15" thickBot="1">
      <c r="A44" s="959"/>
      <c r="B44" s="284" t="s">
        <v>693</v>
      </c>
      <c r="C44" s="716"/>
      <c r="D44" s="717"/>
      <c r="E44" s="718"/>
      <c r="F44" s="719"/>
      <c r="G44" s="719"/>
      <c r="H44" s="719"/>
      <c r="I44" s="719"/>
      <c r="J44" s="719"/>
      <c r="K44" s="719"/>
      <c r="L44" s="719"/>
      <c r="M44" s="719"/>
      <c r="N44" s="719"/>
      <c r="O44" s="719"/>
      <c r="P44" s="719"/>
      <c r="Q44" s="719"/>
      <c r="R44" s="719"/>
      <c r="S44" s="719"/>
      <c r="T44" s="719"/>
      <c r="U44" s="719"/>
      <c r="V44" s="719"/>
      <c r="W44" s="719"/>
      <c r="X44" s="719"/>
      <c r="Y44" s="719"/>
      <c r="Z44" s="719"/>
      <c r="AA44" s="719"/>
      <c r="AB44" s="719"/>
      <c r="AC44" s="719"/>
      <c r="AD44" s="719"/>
      <c r="AE44" s="719"/>
      <c r="AF44" s="720"/>
    </row>
    <row r="45" spans="1:34">
      <c r="B45" s="295" t="s">
        <v>696</v>
      </c>
      <c r="C45" s="282">
        <f>SUM(C41:C43)</f>
        <v>17373</v>
      </c>
      <c r="D45" s="282">
        <f>SUM(D41:D43)</f>
        <v>12228</v>
      </c>
      <c r="E45" s="282">
        <f>SUM(E41:E43)</f>
        <v>16500</v>
      </c>
      <c r="F45" s="282">
        <f>SUM(F41:F43)</f>
        <v>19384</v>
      </c>
      <c r="G45" s="282">
        <f t="shared" ref="G45:AE45" si="40">SUM(G41:G43)</f>
        <v>18500</v>
      </c>
      <c r="H45" s="282">
        <f t="shared" si="40"/>
        <v>19234</v>
      </c>
      <c r="I45" s="282">
        <f t="shared" si="40"/>
        <v>18500</v>
      </c>
      <c r="J45" s="282">
        <f t="shared" si="40"/>
        <v>18860.239320000001</v>
      </c>
      <c r="K45" s="282">
        <f t="shared" si="40"/>
        <v>19297.796872224004</v>
      </c>
      <c r="L45" s="282">
        <f t="shared" si="40"/>
        <v>19739.716420597932</v>
      </c>
      <c r="M45" s="282">
        <f t="shared" si="40"/>
        <v>20181.886068419324</v>
      </c>
      <c r="N45" s="282">
        <f t="shared" si="40"/>
        <v>20635.978504958759</v>
      </c>
      <c r="O45" s="282">
        <f>SUM(O41:O43)</f>
        <v>21108.896381200608</v>
      </c>
      <c r="P45" s="282">
        <f t="shared" si="40"/>
        <v>21581.869156971527</v>
      </c>
      <c r="Q45" s="282">
        <f t="shared" si="40"/>
        <v>22053.365135410186</v>
      </c>
      <c r="R45" s="282">
        <f t="shared" si="40"/>
        <v>22525.704998038706</v>
      </c>
      <c r="S45" s="282">
        <f t="shared" si="40"/>
        <v>23004.457909942812</v>
      </c>
      <c r="T45" s="282">
        <f t="shared" si="40"/>
        <v>23487.975316692111</v>
      </c>
      <c r="U45" s="282">
        <f t="shared" si="40"/>
        <v>23983.166716160882</v>
      </c>
      <c r="V45" s="282">
        <f t="shared" si="40"/>
        <v>24488.218071052503</v>
      </c>
      <c r="W45" s="282">
        <f t="shared" si="40"/>
        <v>25000.349112358541</v>
      </c>
      <c r="X45" s="282">
        <f t="shared" si="40"/>
        <v>25519.533174593442</v>
      </c>
      <c r="Y45" s="282">
        <f t="shared" si="40"/>
        <v>26049.972424568827</v>
      </c>
      <c r="Z45" s="282">
        <f t="shared" si="40"/>
        <v>26591.582944433096</v>
      </c>
      <c r="AA45" s="282">
        <f t="shared" si="40"/>
        <v>27141.106054995835</v>
      </c>
      <c r="AB45" s="282">
        <f t="shared" si="40"/>
        <v>27704.149351013119</v>
      </c>
      <c r="AC45" s="282">
        <f t="shared" si="40"/>
        <v>28284.403649397122</v>
      </c>
      <c r="AD45" s="282">
        <f t="shared" si="40"/>
        <v>28879.559248531536</v>
      </c>
      <c r="AE45" s="282">
        <f t="shared" si="40"/>
        <v>29490.703943371147</v>
      </c>
    </row>
    <row r="46" spans="1:34">
      <c r="C46" s="288"/>
      <c r="D46" s="524"/>
      <c r="E46" s="282"/>
      <c r="F46" s="282"/>
      <c r="G46" s="282"/>
      <c r="H46" s="282"/>
      <c r="I46" s="282"/>
      <c r="J46" s="282"/>
      <c r="K46" s="282"/>
      <c r="L46" s="282"/>
      <c r="M46" s="282"/>
      <c r="N46" s="282"/>
      <c r="O46" s="282"/>
      <c r="P46" s="287"/>
      <c r="Q46" s="287"/>
      <c r="R46" s="287"/>
      <c r="S46" s="287"/>
      <c r="T46" s="287"/>
      <c r="U46" s="287"/>
      <c r="V46" s="287"/>
      <c r="W46" s="287"/>
      <c r="X46" s="287"/>
      <c r="Y46" s="287"/>
      <c r="Z46" s="287"/>
      <c r="AA46" s="287"/>
      <c r="AB46" s="287"/>
      <c r="AC46" s="287"/>
      <c r="AD46" s="287"/>
      <c r="AE46" s="287"/>
    </row>
    <row r="47" spans="1:34" ht="15">
      <c r="A47" s="963" t="s">
        <v>69</v>
      </c>
      <c r="B47" s="963"/>
      <c r="C47" s="963"/>
      <c r="D47" s="963"/>
      <c r="E47" s="963"/>
      <c r="F47" s="963"/>
      <c r="G47" s="963"/>
      <c r="H47" s="963"/>
      <c r="I47" s="963"/>
      <c r="J47" s="963"/>
      <c r="K47" s="963"/>
      <c r="L47" s="963"/>
      <c r="M47" s="963"/>
      <c r="N47" s="963"/>
      <c r="O47" s="963"/>
      <c r="P47" s="963"/>
      <c r="Q47" s="963"/>
      <c r="R47" s="963"/>
      <c r="S47" s="963" t="s">
        <v>474</v>
      </c>
      <c r="T47" s="963"/>
      <c r="U47" s="963"/>
      <c r="V47" s="963"/>
      <c r="W47" s="963"/>
      <c r="X47" s="963"/>
      <c r="Y47" s="963"/>
      <c r="Z47" s="963"/>
      <c r="AA47" s="963"/>
      <c r="AB47" s="963"/>
      <c r="AC47" s="963"/>
      <c r="AD47" s="963"/>
      <c r="AE47" s="963"/>
    </row>
    <row r="48" spans="1:34" ht="15">
      <c r="A48" s="128" t="s">
        <v>15</v>
      </c>
      <c r="B48" s="273" t="s">
        <v>12</v>
      </c>
      <c r="C48" s="273">
        <f>C17</f>
        <v>2022</v>
      </c>
      <c r="D48" s="273">
        <f>D17</f>
        <v>2023</v>
      </c>
      <c r="E48" s="273">
        <f t="shared" ref="E48:R48" si="41">D48+1</f>
        <v>2024</v>
      </c>
      <c r="F48" s="273">
        <f>E48+1</f>
        <v>2025</v>
      </c>
      <c r="G48" s="273">
        <f t="shared" si="41"/>
        <v>2026</v>
      </c>
      <c r="H48" s="273">
        <f t="shared" si="41"/>
        <v>2027</v>
      </c>
      <c r="I48" s="273">
        <f t="shared" si="41"/>
        <v>2028</v>
      </c>
      <c r="J48" s="273">
        <f t="shared" si="41"/>
        <v>2029</v>
      </c>
      <c r="K48" s="273">
        <f t="shared" si="41"/>
        <v>2030</v>
      </c>
      <c r="L48" s="273">
        <f t="shared" si="41"/>
        <v>2031</v>
      </c>
      <c r="M48" s="273">
        <f t="shared" si="41"/>
        <v>2032</v>
      </c>
      <c r="N48" s="273">
        <f t="shared" si="41"/>
        <v>2033</v>
      </c>
      <c r="O48" s="273">
        <f t="shared" si="41"/>
        <v>2034</v>
      </c>
      <c r="P48" s="273">
        <f>O48+1</f>
        <v>2035</v>
      </c>
      <c r="Q48" s="273">
        <f t="shared" si="41"/>
        <v>2036</v>
      </c>
      <c r="R48" s="273">
        <f t="shared" si="41"/>
        <v>2037</v>
      </c>
      <c r="S48" s="273">
        <f>R48+1</f>
        <v>2038</v>
      </c>
      <c r="T48" s="273">
        <f t="shared" ref="T48:AE48" si="42">S48+1</f>
        <v>2039</v>
      </c>
      <c r="U48" s="273">
        <f t="shared" si="42"/>
        <v>2040</v>
      </c>
      <c r="V48" s="273">
        <f t="shared" si="42"/>
        <v>2041</v>
      </c>
      <c r="W48" s="273">
        <f t="shared" si="42"/>
        <v>2042</v>
      </c>
      <c r="X48" s="273">
        <f t="shared" si="42"/>
        <v>2043</v>
      </c>
      <c r="Y48" s="273">
        <f t="shared" si="42"/>
        <v>2044</v>
      </c>
      <c r="Z48" s="273">
        <f t="shared" si="42"/>
        <v>2045</v>
      </c>
      <c r="AA48" s="273">
        <f t="shared" si="42"/>
        <v>2046</v>
      </c>
      <c r="AB48" s="273">
        <f t="shared" si="42"/>
        <v>2047</v>
      </c>
      <c r="AC48" s="273">
        <f t="shared" si="42"/>
        <v>2048</v>
      </c>
      <c r="AD48" s="273">
        <f t="shared" si="42"/>
        <v>2049</v>
      </c>
      <c r="AE48" s="273">
        <f t="shared" si="42"/>
        <v>2050</v>
      </c>
    </row>
    <row r="49" spans="1:35" ht="15.75" thickBot="1">
      <c r="A49" s="164"/>
      <c r="B49" s="554" t="s">
        <v>230</v>
      </c>
      <c r="C49" s="701"/>
      <c r="D49" s="137"/>
      <c r="E49" s="137"/>
      <c r="F49" s="137"/>
      <c r="G49" s="137"/>
      <c r="H49" s="137"/>
      <c r="I49" s="137"/>
      <c r="J49" s="137"/>
      <c r="K49" s="137"/>
      <c r="L49" s="137"/>
      <c r="M49" s="137"/>
      <c r="N49" s="137"/>
      <c r="O49" s="137"/>
      <c r="P49" s="137"/>
      <c r="Q49" s="137"/>
      <c r="R49" s="568"/>
      <c r="S49" s="568">
        <v>2.147605138344021E-2</v>
      </c>
      <c r="T49" s="568">
        <v>2.1117067078244685E-2</v>
      </c>
      <c r="U49" s="568">
        <v>2.099877774131011E-2</v>
      </c>
      <c r="V49" s="568">
        <v>2.0877914081677353E-2</v>
      </c>
      <c r="W49" s="568">
        <v>2.0850530425745837E-2</v>
      </c>
      <c r="X49" s="568">
        <v>2.0878201518282527E-2</v>
      </c>
      <c r="Y49" s="568">
        <v>2.0787414276418389E-2</v>
      </c>
      <c r="Z49" s="568">
        <v>2.0749722641885602E-2</v>
      </c>
      <c r="AA49" s="568">
        <v>2.0841294364763164E-2</v>
      </c>
      <c r="AB49" s="568">
        <v>2.1027593911388309E-2</v>
      </c>
      <c r="AC49" s="568">
        <v>2.1166277605925456E-2</v>
      </c>
      <c r="AD49" s="568">
        <v>2.1267563011759461E-2</v>
      </c>
      <c r="AE49" s="568">
        <v>2.1443531008200234E-2</v>
      </c>
    </row>
    <row r="50" spans="1:35" ht="15" thickBot="1">
      <c r="A50" s="958" t="s">
        <v>737</v>
      </c>
      <c r="B50" s="569" t="s">
        <v>378</v>
      </c>
      <c r="C50" s="677">
        <f>HLOOKUP(C$48,$C$40:$AE$45,6,FALSE)*$B$8</f>
        <v>11292.45</v>
      </c>
      <c r="D50" s="677">
        <f>HLOOKUP(D$48,$C$40:$AE$45,6,FALSE)*$B$8</f>
        <v>7948.2</v>
      </c>
      <c r="E50" s="677">
        <f>HLOOKUP(E$48,$C$40:$AE$45,6,FALSE)*$B$8</f>
        <v>10725</v>
      </c>
      <c r="F50" s="677">
        <f>HLOOKUP(F$48,$C$40:$AE$45,6,FALSE)*$B$8</f>
        <v>12599.6</v>
      </c>
      <c r="G50" s="677">
        <f t="shared" ref="G50:AE50" si="43">HLOOKUP(G$48,$C$40:$AE$45,6,FALSE)*$B$8</f>
        <v>12025</v>
      </c>
      <c r="H50" s="677">
        <f t="shared" si="43"/>
        <v>12502.1</v>
      </c>
      <c r="I50" s="677">
        <f t="shared" si="43"/>
        <v>12025</v>
      </c>
      <c r="J50" s="677">
        <f t="shared" si="43"/>
        <v>12259.155558</v>
      </c>
      <c r="K50" s="677">
        <f t="shared" si="43"/>
        <v>12543.567966945602</v>
      </c>
      <c r="L50" s="677">
        <f t="shared" si="43"/>
        <v>12830.815673388655</v>
      </c>
      <c r="M50" s="677">
        <f t="shared" si="43"/>
        <v>13118.225944472561</v>
      </c>
      <c r="N50" s="677">
        <f t="shared" si="43"/>
        <v>13413.386028223194</v>
      </c>
      <c r="O50" s="677">
        <f t="shared" si="43"/>
        <v>13720.782647780396</v>
      </c>
      <c r="P50" s="677">
        <f t="shared" si="43"/>
        <v>14028.214952031492</v>
      </c>
      <c r="Q50" s="677">
        <f t="shared" si="43"/>
        <v>14334.687338016622</v>
      </c>
      <c r="R50" s="677">
        <f t="shared" si="43"/>
        <v>14641.708248725159</v>
      </c>
      <c r="S50" s="677">
        <f t="shared" si="43"/>
        <v>14952.897641462829</v>
      </c>
      <c r="T50" s="677">
        <f t="shared" si="43"/>
        <v>15267.183955849872</v>
      </c>
      <c r="U50" s="677">
        <f t="shared" si="43"/>
        <v>15589.058365504574</v>
      </c>
      <c r="V50" s="677">
        <f t="shared" si="43"/>
        <v>15917.341746184127</v>
      </c>
      <c r="W50" s="677">
        <f t="shared" si="43"/>
        <v>16250.226923033053</v>
      </c>
      <c r="X50" s="677">
        <f t="shared" si="43"/>
        <v>16587.696563485737</v>
      </c>
      <c r="Y50" s="677">
        <f t="shared" si="43"/>
        <v>16932.48207596974</v>
      </c>
      <c r="Z50" s="677">
        <f t="shared" si="43"/>
        <v>17284.528913881513</v>
      </c>
      <c r="AA50" s="677">
        <f t="shared" si="43"/>
        <v>17641.718935747293</v>
      </c>
      <c r="AB50" s="677">
        <f t="shared" si="43"/>
        <v>18007.697078158526</v>
      </c>
      <c r="AC50" s="677">
        <f t="shared" si="43"/>
        <v>18384.862372108131</v>
      </c>
      <c r="AD50" s="677">
        <f t="shared" si="43"/>
        <v>18771.713511545498</v>
      </c>
      <c r="AE50" s="677">
        <f t="shared" si="43"/>
        <v>19168.957563191245</v>
      </c>
    </row>
    <row r="51" spans="1:35">
      <c r="A51" s="958"/>
      <c r="B51" s="569" t="s">
        <v>379</v>
      </c>
      <c r="C51" s="285"/>
      <c r="D51" s="292">
        <f>HLOOKUP(D$48,$C$28:$AE$38,10,FALSE)</f>
        <v>232.81186500000001</v>
      </c>
      <c r="E51" s="292">
        <f t="shared" ref="E51:AE51" si="44">HLOOKUP(E$48,$C$28:$AE$38,10,FALSE)</f>
        <v>230.61402000000001</v>
      </c>
      <c r="F51" s="292">
        <f t="shared" si="44"/>
        <v>293.88995999999997</v>
      </c>
      <c r="G51" s="292">
        <f t="shared" si="44"/>
        <v>316.42610999999999</v>
      </c>
      <c r="H51" s="292">
        <f t="shared" si="44"/>
        <v>321.30500999999998</v>
      </c>
      <c r="I51" s="292">
        <f t="shared" si="44"/>
        <v>327.43678499999999</v>
      </c>
      <c r="J51" s="292">
        <f t="shared" si="44"/>
        <v>330.26451558880001</v>
      </c>
      <c r="K51" s="292">
        <f t="shared" si="44"/>
        <v>343.51772082049661</v>
      </c>
      <c r="L51" s="292">
        <f t="shared" si="44"/>
        <v>357.77880932871307</v>
      </c>
      <c r="M51" s="292">
        <f t="shared" si="44"/>
        <v>372.36874721630846</v>
      </c>
      <c r="N51" s="292">
        <f t="shared" si="44"/>
        <v>387.36153480135806</v>
      </c>
      <c r="O51" s="292">
        <f t="shared" si="44"/>
        <v>402.94240483865332</v>
      </c>
      <c r="P51" s="292">
        <f t="shared" si="44"/>
        <v>419.00986375715962</v>
      </c>
      <c r="Q51" s="292">
        <f t="shared" si="44"/>
        <v>435.37055015223865</v>
      </c>
      <c r="R51" s="292">
        <f t="shared" si="44"/>
        <v>452.03177115317186</v>
      </c>
      <c r="S51" s="292">
        <f t="shared" si="44"/>
        <v>469.07450335947971</v>
      </c>
      <c r="T51" s="292">
        <f t="shared" si="44"/>
        <v>486.54331371673459</v>
      </c>
      <c r="U51" s="292">
        <f t="shared" si="44"/>
        <v>504.49956195414529</v>
      </c>
      <c r="V51" s="292">
        <f t="shared" si="44"/>
        <v>523.00624185403251</v>
      </c>
      <c r="W51" s="292">
        <f t="shared" si="44"/>
        <v>542.02353207630961</v>
      </c>
      <c r="X51" s="292">
        <f t="shared" si="44"/>
        <v>561.52849161947142</v>
      </c>
      <c r="Y51" s="292">
        <f t="shared" si="44"/>
        <v>581.57509939455269</v>
      </c>
      <c r="Z51" s="292">
        <f t="shared" si="44"/>
        <v>602.21939342138216</v>
      </c>
      <c r="AA51" s="292" t="e">
        <f t="shared" si="44"/>
        <v>#N/A</v>
      </c>
      <c r="AB51" s="292" t="e">
        <f t="shared" si="44"/>
        <v>#N/A</v>
      </c>
      <c r="AC51" s="292" t="e">
        <f t="shared" si="44"/>
        <v>#N/A</v>
      </c>
      <c r="AD51" s="292" t="e">
        <f t="shared" si="44"/>
        <v>#N/A</v>
      </c>
      <c r="AE51" s="292" t="e">
        <f t="shared" si="44"/>
        <v>#N/A</v>
      </c>
    </row>
    <row r="52" spans="1:35">
      <c r="A52" s="958"/>
      <c r="B52" s="130" t="s">
        <v>380</v>
      </c>
      <c r="C52" s="402"/>
      <c r="D52" s="276">
        <f>SUM(D50:D51)</f>
        <v>8181.0118649999995</v>
      </c>
      <c r="E52" s="276">
        <f t="shared" ref="E52:M52" si="45">SUM(E50:E51)</f>
        <v>10955.614020000001</v>
      </c>
      <c r="F52" s="276">
        <f t="shared" si="45"/>
        <v>12893.489960000001</v>
      </c>
      <c r="G52" s="276">
        <f>SUM(G50:G51)</f>
        <v>12341.42611</v>
      </c>
      <c r="H52" s="276">
        <f t="shared" si="45"/>
        <v>12823.40501</v>
      </c>
      <c r="I52" s="276">
        <f t="shared" si="45"/>
        <v>12352.436785</v>
      </c>
      <c r="J52" s="276">
        <f t="shared" si="45"/>
        <v>12589.420073588801</v>
      </c>
      <c r="K52" s="276">
        <f t="shared" si="45"/>
        <v>12887.085687766099</v>
      </c>
      <c r="L52" s="276">
        <f t="shared" si="45"/>
        <v>13188.594482717368</v>
      </c>
      <c r="M52" s="276">
        <f t="shared" si="45"/>
        <v>13490.59469168887</v>
      </c>
      <c r="N52" s="276">
        <f t="shared" ref="N52" si="46">SUM(N50:N51)</f>
        <v>13800.747563024552</v>
      </c>
      <c r="O52" s="276">
        <f t="shared" ref="O52" si="47">SUM(O50:O51)</f>
        <v>14123.725052619049</v>
      </c>
      <c r="P52" s="276">
        <f t="shared" ref="P52" si="48">SUM(P50:P51)</f>
        <v>14447.224815788652</v>
      </c>
      <c r="Q52" s="276">
        <f t="shared" ref="Q52" si="49">SUM(Q50:Q51)</f>
        <v>14770.05788816886</v>
      </c>
      <c r="R52" s="276">
        <f t="shared" ref="R52" si="50">SUM(R50:R51)</f>
        <v>15093.740019878331</v>
      </c>
      <c r="S52" s="276">
        <f t="shared" ref="S52" si="51">SUM(S50:S51)</f>
        <v>15421.972144822308</v>
      </c>
      <c r="T52" s="276">
        <f t="shared" ref="T52" si="52">SUM(T50:T51)</f>
        <v>15753.727269566607</v>
      </c>
      <c r="U52" s="276">
        <f t="shared" ref="U52" si="53">SUM(U50:U51)</f>
        <v>16093.55792745872</v>
      </c>
      <c r="V52" s="276">
        <f t="shared" ref="V52" si="54">SUM(V50:V51)</f>
        <v>16440.34798803816</v>
      </c>
      <c r="W52" s="276">
        <f t="shared" ref="W52" si="55">SUM(W50:W51)</f>
        <v>16792.250455109363</v>
      </c>
      <c r="X52" s="276">
        <f t="shared" ref="X52" si="56">SUM(X50:X51)</f>
        <v>17149.225055105209</v>
      </c>
      <c r="Y52" s="276">
        <f t="shared" ref="Y52" si="57">SUM(Y50:Y51)</f>
        <v>17514.057175364291</v>
      </c>
      <c r="Z52" s="276">
        <f t="shared" ref="Z52" si="58">SUM(Z50:Z51)</f>
        <v>17886.748307302896</v>
      </c>
      <c r="AA52" s="276" t="e">
        <f t="shared" ref="AA52" si="59">SUM(AA50:AA51)</f>
        <v>#N/A</v>
      </c>
      <c r="AB52" s="276" t="e">
        <f t="shared" ref="AB52" si="60">SUM(AB50:AB51)</f>
        <v>#N/A</v>
      </c>
      <c r="AC52" s="276" t="e">
        <f t="shared" ref="AC52" si="61">SUM(AC50:AC51)</f>
        <v>#N/A</v>
      </c>
      <c r="AD52" s="276" t="e">
        <f t="shared" ref="AD52" si="62">SUM(AD50:AD51)</f>
        <v>#N/A</v>
      </c>
      <c r="AE52" s="276" t="e">
        <f t="shared" ref="AE52" si="63">SUM(AE50:AE51)</f>
        <v>#N/A</v>
      </c>
    </row>
    <row r="53" spans="1:35">
      <c r="A53" s="958"/>
      <c r="B53" s="130" t="s">
        <v>367</v>
      </c>
      <c r="C53" s="402"/>
      <c r="D53" s="276">
        <f>HLOOKUP(D$48,$C$28:$AE$38,6,FALSE)</f>
        <v>6199.4158049066109</v>
      </c>
      <c r="E53" s="276">
        <f>HLOOKUP(E$48,$C$28:$AE$38,6,FALSE)</f>
        <v>6227.3669349341853</v>
      </c>
      <c r="F53" s="276">
        <f t="shared" ref="F53:AE53" si="64">HLOOKUP(F$48,$C$28:$AE$38,6,FALSE)</f>
        <v>6252.4181723903639</v>
      </c>
      <c r="G53" s="276">
        <f t="shared" si="64"/>
        <v>6300.5017041387782</v>
      </c>
      <c r="H53" s="276">
        <f t="shared" si="64"/>
        <v>6349.3661206781817</v>
      </c>
      <c r="I53" s="276">
        <f t="shared" si="64"/>
        <v>6350.6925198163326</v>
      </c>
      <c r="J53" s="276">
        <f t="shared" si="64"/>
        <v>6384.8490421444849</v>
      </c>
      <c r="K53" s="276">
        <f t="shared" si="64"/>
        <v>6397.2787097735336</v>
      </c>
      <c r="L53" s="276">
        <f t="shared" si="64"/>
        <v>6439.1463138895861</v>
      </c>
      <c r="M53" s="276">
        <f t="shared" si="64"/>
        <v>6456.4151449630181</v>
      </c>
      <c r="N53" s="276">
        <f t="shared" si="64"/>
        <v>6468.9437829896242</v>
      </c>
      <c r="O53" s="276">
        <f t="shared" si="64"/>
        <v>6617.1935572682814</v>
      </c>
      <c r="P53" s="276">
        <f t="shared" si="64"/>
        <v>6765.4605413907648</v>
      </c>
      <c r="Q53" s="276">
        <f t="shared" si="64"/>
        <v>6913.2645807142426</v>
      </c>
      <c r="R53" s="276">
        <f t="shared" si="64"/>
        <v>7061.3331599228659</v>
      </c>
      <c r="S53" s="276">
        <f t="shared" si="64"/>
        <v>7211.4120947456586</v>
      </c>
      <c r="T53" s="276">
        <f t="shared" si="64"/>
        <v>7362.9845981579165</v>
      </c>
      <c r="U53" s="276">
        <f t="shared" si="64"/>
        <v>7518.2166519330103</v>
      </c>
      <c r="V53" s="276">
        <f t="shared" si="64"/>
        <v>7676.539593659837</v>
      </c>
      <c r="W53" s="276">
        <f t="shared" si="64"/>
        <v>7837.0818676759009</v>
      </c>
      <c r="X53" s="276">
        <f t="shared" si="64"/>
        <v>7999.835114914199</v>
      </c>
      <c r="Y53" s="276">
        <f t="shared" si="64"/>
        <v>8166.1166259924066</v>
      </c>
      <c r="Z53" s="276">
        <f t="shared" si="64"/>
        <v>8335.9000944349536</v>
      </c>
      <c r="AA53" s="276">
        <f t="shared" si="64"/>
        <v>8508.1639930831188</v>
      </c>
      <c r="AB53" s="276">
        <f t="shared" si="64"/>
        <v>8684.6661845566068</v>
      </c>
      <c r="AC53" s="276">
        <f t="shared" si="64"/>
        <v>8866.5636620705627</v>
      </c>
      <c r="AD53" s="276">
        <f t="shared" si="64"/>
        <v>9053.1323829096</v>
      </c>
      <c r="AE53" s="276">
        <f t="shared" si="64"/>
        <v>9244.7133478364522</v>
      </c>
    </row>
    <row r="54" spans="1:35">
      <c r="A54" s="958"/>
      <c r="B54" s="561" t="s">
        <v>364</v>
      </c>
      <c r="C54" s="283"/>
      <c r="D54" s="292">
        <f>(SUM(HLOOKUP(D$48,$C$28:$AE$38,2,FALSE),HLOOKUP(D$48,$C$28:$AE$38,3,FALSE),HLOOKUP(D$48,$C$28:$AE$38,4,FALSE),HLOOKUP(D$48,$C$28:$AE$38,5,FALSE)))+(HLOOKUP(D$48,$C$28:$AE$38,9,FALSE))</f>
        <v>503603.82695049199</v>
      </c>
      <c r="E54" s="292">
        <f t="shared" ref="E54:AE54" si="65">(SUM(HLOOKUP(E$48,$C$28:$AE$38,2,FALSE),HLOOKUP(E$48,$C$28:$AE$38,3,FALSE),HLOOKUP(E$48,$C$28:$AE$38,4,FALSE),HLOOKUP(E$48,$C$28:$AE$38,5,FALSE)))+(HLOOKUP(E$48,$C$28:$AE$38,9,FALSE))</f>
        <v>556539.54672606324</v>
      </c>
      <c r="F54" s="292">
        <f t="shared" si="65"/>
        <v>539133.15626918641</v>
      </c>
      <c r="G54" s="292">
        <f>(SUM(HLOOKUP(G$48,$C$28:$AE$38,2,FALSE),HLOOKUP(G$48,$C$28:$AE$38,3,FALSE),HLOOKUP(G$48,$C$28:$AE$38,4,FALSE),HLOOKUP(G$48,$C$28:$AE$38,5,FALSE)))+(HLOOKUP(G$48,$C$28:$AE$38,9,FALSE))</f>
        <v>511348.44676191773</v>
      </c>
      <c r="H54" s="292">
        <f t="shared" si="65"/>
        <v>487789.85343334952</v>
      </c>
      <c r="I54" s="292">
        <f t="shared" si="65"/>
        <v>496196.6649593187</v>
      </c>
      <c r="J54" s="292">
        <f t="shared" si="65"/>
        <v>482452.2629345493</v>
      </c>
      <c r="K54" s="292">
        <f t="shared" si="65"/>
        <v>483141.88101711607</v>
      </c>
      <c r="L54" s="292">
        <f t="shared" si="65"/>
        <v>480906.87358069478</v>
      </c>
      <c r="M54" s="292">
        <f t="shared" si="65"/>
        <v>480360.64236665441</v>
      </c>
      <c r="N54" s="292">
        <f t="shared" si="65"/>
        <v>482493.65411017206</v>
      </c>
      <c r="O54" s="292">
        <f t="shared" si="65"/>
        <v>490726.46974261833</v>
      </c>
      <c r="P54" s="292">
        <f t="shared" si="65"/>
        <v>498018.95861708187</v>
      </c>
      <c r="Q54" s="292">
        <f t="shared" si="65"/>
        <v>505070.22064324573</v>
      </c>
      <c r="R54" s="292">
        <f t="shared" si="65"/>
        <v>511930.46861248859</v>
      </c>
      <c r="S54" s="292">
        <f t="shared" si="65"/>
        <v>518725.12414254068</v>
      </c>
      <c r="T54" s="292">
        <f t="shared" si="65"/>
        <v>525410.50417027343</v>
      </c>
      <c r="U54" s="292">
        <f t="shared" si="65"/>
        <v>532142.39132582548</v>
      </c>
      <c r="V54" s="292">
        <f t="shared" si="65"/>
        <v>538872.09160014719</v>
      </c>
      <c r="W54" s="292">
        <f t="shared" si="65"/>
        <v>545528.6496446121</v>
      </c>
      <c r="X54" s="292">
        <f t="shared" si="65"/>
        <v>552105.64883993962</v>
      </c>
      <c r="Y54" s="292">
        <f t="shared" si="65"/>
        <v>558695.0132010344</v>
      </c>
      <c r="Z54" s="292">
        <f t="shared" si="65"/>
        <v>565287.9650640625</v>
      </c>
      <c r="AA54" s="292" t="e">
        <f t="shared" si="65"/>
        <v>#N/A</v>
      </c>
      <c r="AB54" s="292" t="e">
        <f t="shared" si="65"/>
        <v>#N/A</v>
      </c>
      <c r="AC54" s="292" t="e">
        <f t="shared" si="65"/>
        <v>#N/A</v>
      </c>
      <c r="AD54" s="292" t="e">
        <f t="shared" si="65"/>
        <v>#N/A</v>
      </c>
      <c r="AE54" s="292" t="e">
        <f t="shared" si="65"/>
        <v>#N/A</v>
      </c>
      <c r="AH54" s="294"/>
    </row>
    <row r="55" spans="1:35">
      <c r="A55" s="958"/>
      <c r="B55" s="570" t="s">
        <v>365</v>
      </c>
      <c r="C55" s="403"/>
      <c r="D55" s="277">
        <f t="shared" ref="D55:AE55" si="66">-HLOOKUP(D$48,$D$12:$AE$14,2,FALSE)</f>
        <v>0</v>
      </c>
      <c r="E55" s="277">
        <f t="shared" si="66"/>
        <v>0</v>
      </c>
      <c r="F55" s="277">
        <f t="shared" si="66"/>
        <v>0</v>
      </c>
      <c r="G55" s="277">
        <f t="shared" si="66"/>
        <v>0</v>
      </c>
      <c r="H55" s="277">
        <f t="shared" si="66"/>
        <v>0</v>
      </c>
      <c r="I55" s="277">
        <f t="shared" si="66"/>
        <v>0</v>
      </c>
      <c r="J55" s="277">
        <f t="shared" si="66"/>
        <v>0</v>
      </c>
      <c r="K55" s="277">
        <f t="shared" si="66"/>
        <v>0</v>
      </c>
      <c r="L55" s="277">
        <f t="shared" si="66"/>
        <v>0</v>
      </c>
      <c r="M55" s="277">
        <f t="shared" si="66"/>
        <v>0</v>
      </c>
      <c r="N55" s="277">
        <f t="shared" si="66"/>
        <v>0</v>
      </c>
      <c r="O55" s="277">
        <f t="shared" si="66"/>
        <v>0</v>
      </c>
      <c r="P55" s="277">
        <f t="shared" si="66"/>
        <v>0</v>
      </c>
      <c r="Q55" s="277">
        <f t="shared" si="66"/>
        <v>0</v>
      </c>
      <c r="R55" s="277">
        <f t="shared" si="66"/>
        <v>0</v>
      </c>
      <c r="S55" s="277">
        <f t="shared" si="66"/>
        <v>0</v>
      </c>
      <c r="T55" s="277">
        <f t="shared" si="66"/>
        <v>0</v>
      </c>
      <c r="U55" s="277">
        <f t="shared" si="66"/>
        <v>0</v>
      </c>
      <c r="V55" s="277">
        <f t="shared" si="66"/>
        <v>0</v>
      </c>
      <c r="W55" s="277">
        <f t="shared" si="66"/>
        <v>0</v>
      </c>
      <c r="X55" s="277">
        <f t="shared" si="66"/>
        <v>0</v>
      </c>
      <c r="Y55" s="277">
        <f t="shared" si="66"/>
        <v>0</v>
      </c>
      <c r="Z55" s="277">
        <f t="shared" si="66"/>
        <v>0</v>
      </c>
      <c r="AA55" s="277">
        <f t="shared" si="66"/>
        <v>0</v>
      </c>
      <c r="AB55" s="277">
        <f t="shared" si="66"/>
        <v>0</v>
      </c>
      <c r="AC55" s="277">
        <f t="shared" si="66"/>
        <v>0</v>
      </c>
      <c r="AD55" s="277">
        <f t="shared" si="66"/>
        <v>0</v>
      </c>
      <c r="AE55" s="277" t="e">
        <f t="shared" si="66"/>
        <v>#N/A</v>
      </c>
    </row>
    <row r="56" spans="1:35">
      <c r="A56" s="958"/>
      <c r="B56" s="570" t="s">
        <v>473</v>
      </c>
      <c r="C56" s="403"/>
      <c r="D56" s="277">
        <f t="shared" ref="D56:AE56" si="67">-HLOOKUP(D$48,$D$12:$AE$14,3,FALSE)</f>
        <v>-40000</v>
      </c>
      <c r="E56" s="277">
        <f t="shared" si="67"/>
        <v>-55000</v>
      </c>
      <c r="F56" s="277">
        <f t="shared" si="67"/>
        <v>-55000</v>
      </c>
      <c r="G56" s="277">
        <f t="shared" si="67"/>
        <v>-70000</v>
      </c>
      <c r="H56" s="277">
        <f t="shared" si="67"/>
        <v>-70000</v>
      </c>
      <c r="I56" s="277">
        <f t="shared" si="67"/>
        <v>-85000</v>
      </c>
      <c r="J56" s="277">
        <f t="shared" si="67"/>
        <v>-85000</v>
      </c>
      <c r="K56" s="277">
        <f t="shared" si="67"/>
        <v>-100000</v>
      </c>
      <c r="L56" s="277">
        <f t="shared" si="67"/>
        <v>-100000</v>
      </c>
      <c r="M56" s="277">
        <f t="shared" si="67"/>
        <v>-102362.63993118033</v>
      </c>
      <c r="N56" s="277">
        <f t="shared" si="67"/>
        <v>-103246.38663999228</v>
      </c>
      <c r="O56" s="277">
        <f t="shared" si="67"/>
        <v>-105574.5158957644</v>
      </c>
      <c r="P56" s="277">
        <f t="shared" si="67"/>
        <v>-107964.69445587011</v>
      </c>
      <c r="Q56" s="277">
        <f t="shared" si="67"/>
        <v>-110409.02618404938</v>
      </c>
      <c r="R56" s="277">
        <f t="shared" si="67"/>
        <v>-112911.52090132266</v>
      </c>
      <c r="S56" s="277">
        <f t="shared" si="67"/>
        <v>-115474.54580182419</v>
      </c>
      <c r="T56" s="277">
        <f t="shared" si="67"/>
        <v>-118098.27379364733</v>
      </c>
      <c r="U56" s="277">
        <f t="shared" si="67"/>
        <v>-120791.95957664224</v>
      </c>
      <c r="V56" s="277">
        <f t="shared" si="67"/>
        <v>-123536.33213212626</v>
      </c>
      <c r="W56" s="277">
        <f t="shared" si="67"/>
        <v>-126356.86246898409</v>
      </c>
      <c r="X56" s="277">
        <f t="shared" si="67"/>
        <v>-129259.64353907452</v>
      </c>
      <c r="Y56" s="277">
        <f t="shared" si="67"/>
        <v>-132234.29262308156</v>
      </c>
      <c r="Z56" s="277">
        <f t="shared" si="67"/>
        <v>0</v>
      </c>
      <c r="AA56" s="277">
        <f t="shared" si="67"/>
        <v>0</v>
      </c>
      <c r="AB56" s="277">
        <f t="shared" si="67"/>
        <v>0</v>
      </c>
      <c r="AC56" s="277">
        <f t="shared" si="67"/>
        <v>0</v>
      </c>
      <c r="AD56" s="277">
        <f t="shared" si="67"/>
        <v>0</v>
      </c>
      <c r="AE56" s="277" t="e">
        <f t="shared" si="67"/>
        <v>#N/A</v>
      </c>
    </row>
    <row r="57" spans="1:35" ht="15" thickBot="1">
      <c r="A57" s="958"/>
      <c r="B57" s="571" t="s">
        <v>373</v>
      </c>
      <c r="C57" s="402"/>
      <c r="D57" s="276">
        <f>SUM(D54:D56)</f>
        <v>463603.82695049199</v>
      </c>
      <c r="E57" s="276">
        <f t="shared" ref="E57:AE57" si="68">SUM(E54:E56)</f>
        <v>501539.54672606324</v>
      </c>
      <c r="F57" s="276">
        <f>SUM(F54:F56)</f>
        <v>484133.15626918641</v>
      </c>
      <c r="G57" s="276">
        <f>SUM(G54:G56)</f>
        <v>441348.44676191773</v>
      </c>
      <c r="H57" s="276">
        <f t="shared" si="68"/>
        <v>417789.85343334952</v>
      </c>
      <c r="I57" s="276">
        <f t="shared" si="68"/>
        <v>411196.6649593187</v>
      </c>
      <c r="J57" s="276">
        <f t="shared" si="68"/>
        <v>397452.2629345493</v>
      </c>
      <c r="K57" s="276">
        <f t="shared" si="68"/>
        <v>383141.88101711607</v>
      </c>
      <c r="L57" s="276">
        <f t="shared" si="68"/>
        <v>380906.87358069478</v>
      </c>
      <c r="M57" s="276">
        <f t="shared" si="68"/>
        <v>377998.00243547407</v>
      </c>
      <c r="N57" s="276">
        <f t="shared" si="68"/>
        <v>379247.26747017977</v>
      </c>
      <c r="O57" s="276">
        <f t="shared" si="68"/>
        <v>385151.95384685392</v>
      </c>
      <c r="P57" s="276">
        <f t="shared" si="68"/>
        <v>390054.26416121179</v>
      </c>
      <c r="Q57" s="276">
        <f t="shared" si="68"/>
        <v>394661.19445919635</v>
      </c>
      <c r="R57" s="276">
        <f t="shared" si="68"/>
        <v>399018.94771116594</v>
      </c>
      <c r="S57" s="276">
        <f t="shared" si="68"/>
        <v>403250.57834071649</v>
      </c>
      <c r="T57" s="276">
        <f t="shared" si="68"/>
        <v>407312.23037662613</v>
      </c>
      <c r="U57" s="276">
        <f t="shared" si="68"/>
        <v>411350.43174918322</v>
      </c>
      <c r="V57" s="276">
        <f t="shared" si="68"/>
        <v>415335.75946802093</v>
      </c>
      <c r="W57" s="276">
        <f t="shared" si="68"/>
        <v>419171.78717562801</v>
      </c>
      <c r="X57" s="276">
        <f t="shared" si="68"/>
        <v>422846.0053008651</v>
      </c>
      <c r="Y57" s="276">
        <f t="shared" si="68"/>
        <v>426460.7205779528</v>
      </c>
      <c r="Z57" s="276">
        <f t="shared" si="68"/>
        <v>565287.9650640625</v>
      </c>
      <c r="AA57" s="276" t="e">
        <f t="shared" si="68"/>
        <v>#N/A</v>
      </c>
      <c r="AB57" s="276" t="e">
        <f t="shared" si="68"/>
        <v>#N/A</v>
      </c>
      <c r="AC57" s="276" t="e">
        <f t="shared" si="68"/>
        <v>#N/A</v>
      </c>
      <c r="AD57" s="276" t="e">
        <f t="shared" si="68"/>
        <v>#N/A</v>
      </c>
      <c r="AE57" s="276" t="e">
        <f t="shared" si="68"/>
        <v>#N/A</v>
      </c>
    </row>
    <row r="58" spans="1:35" ht="15.75" thickBot="1">
      <c r="A58" s="958"/>
      <c r="B58" s="572" t="s">
        <v>366</v>
      </c>
      <c r="C58" s="567"/>
      <c r="D58" s="688">
        <f>D57+D53+D52</f>
        <v>477984.25462039863</v>
      </c>
      <c r="E58" s="688">
        <f>E57+E53+E52</f>
        <v>518722.52768099739</v>
      </c>
      <c r="F58" s="688">
        <f t="shared" ref="F58:P58" si="69">F57+F53+F52</f>
        <v>503279.06440157676</v>
      </c>
      <c r="G58" s="689">
        <f t="shared" si="69"/>
        <v>459990.37457605649</v>
      </c>
      <c r="H58" s="689">
        <f t="shared" si="69"/>
        <v>436962.6245640277</v>
      </c>
      <c r="I58" s="689">
        <f t="shared" si="69"/>
        <v>429899.79426413507</v>
      </c>
      <c r="J58" s="689">
        <f>J57+J53+J52</f>
        <v>416426.53205028258</v>
      </c>
      <c r="K58" s="689">
        <f>K57+K53+K52</f>
        <v>402426.24541465571</v>
      </c>
      <c r="L58" s="689">
        <f t="shared" si="69"/>
        <v>400534.61437730177</v>
      </c>
      <c r="M58" s="689">
        <f t="shared" si="69"/>
        <v>397945.01227212598</v>
      </c>
      <c r="N58" s="689">
        <f t="shared" si="69"/>
        <v>399516.95881619398</v>
      </c>
      <c r="O58" s="689">
        <f t="shared" si="69"/>
        <v>405892.87245674129</v>
      </c>
      <c r="P58" s="689">
        <f t="shared" si="69"/>
        <v>411266.94951839122</v>
      </c>
      <c r="Q58" s="689">
        <f>Q57+Q53+Q52</f>
        <v>416344.51692807942</v>
      </c>
      <c r="R58" s="689">
        <f>R57+R53+R52</f>
        <v>421174.02089096711</v>
      </c>
      <c r="S58" s="689">
        <f t="shared" ref="S58:AE58" si="70">S57+S53+S52</f>
        <v>425883.96258028445</v>
      </c>
      <c r="T58" s="689">
        <f t="shared" si="70"/>
        <v>430428.94224435068</v>
      </c>
      <c r="U58" s="689">
        <f t="shared" si="70"/>
        <v>434962.20632857498</v>
      </c>
      <c r="V58" s="689">
        <f t="shared" si="70"/>
        <v>439452.64704971894</v>
      </c>
      <c r="W58" s="689">
        <f t="shared" si="70"/>
        <v>443801.11949841323</v>
      </c>
      <c r="X58" s="689">
        <f t="shared" si="70"/>
        <v>447995.06547088455</v>
      </c>
      <c r="Y58" s="689">
        <f t="shared" si="70"/>
        <v>452140.89437930949</v>
      </c>
      <c r="Z58" s="689">
        <f t="shared" si="70"/>
        <v>591510.61346580042</v>
      </c>
      <c r="AA58" s="689" t="e">
        <f t="shared" si="70"/>
        <v>#N/A</v>
      </c>
      <c r="AB58" s="689" t="e">
        <f t="shared" si="70"/>
        <v>#N/A</v>
      </c>
      <c r="AC58" s="689" t="e">
        <f>AC57+AC53+AC52</f>
        <v>#N/A</v>
      </c>
      <c r="AD58" s="689" t="e">
        <f t="shared" si="70"/>
        <v>#N/A</v>
      </c>
      <c r="AE58" s="690" t="e">
        <f t="shared" si="70"/>
        <v>#N/A</v>
      </c>
      <c r="AF58" s="523"/>
    </row>
    <row r="59" spans="1:35">
      <c r="A59" s="958"/>
      <c r="B59" s="573" t="str">
        <f>B34&amp;" (Excluded from Rate Case)"</f>
        <v xml:space="preserve">  PFIA (Excluded from Rate Case)</v>
      </c>
      <c r="C59" s="283"/>
      <c r="D59" s="282">
        <f>HLOOKUP(D$48,$C$28:$AE$38,7,FALSE)</f>
        <v>55450.94637662443</v>
      </c>
      <c r="E59" s="282">
        <f t="shared" ref="E59:AE59" si="71">HLOOKUP(E$48,$C$28:$AE$38,7,FALSE)</f>
        <v>42034.726810805754</v>
      </c>
      <c r="F59" s="282">
        <f t="shared" si="71"/>
        <v>50153.086944307739</v>
      </c>
      <c r="G59" s="282">
        <f t="shared" si="71"/>
        <v>50460.268983651826</v>
      </c>
      <c r="H59" s="282">
        <f t="shared" si="71"/>
        <v>50749.818016077828</v>
      </c>
      <c r="I59" s="282">
        <f t="shared" si="71"/>
        <v>50670.419041087764</v>
      </c>
      <c r="J59" s="282">
        <f t="shared" si="71"/>
        <v>50852.779981681735</v>
      </c>
      <c r="K59" s="282">
        <f t="shared" si="71"/>
        <v>50861.756526468023</v>
      </c>
      <c r="L59" s="282">
        <f t="shared" si="71"/>
        <v>35517.513398041767</v>
      </c>
      <c r="M59" s="282">
        <f t="shared" si="71"/>
        <v>33759.776374190427</v>
      </c>
      <c r="N59" s="282">
        <f t="shared" si="71"/>
        <v>32077.548126019723</v>
      </c>
      <c r="O59" s="282">
        <f t="shared" si="71"/>
        <v>32812.674203571973</v>
      </c>
      <c r="P59" s="282">
        <f t="shared" si="71"/>
        <v>33547.885619567729</v>
      </c>
      <c r="Q59" s="282">
        <f t="shared" si="71"/>
        <v>34280.801431432745</v>
      </c>
      <c r="R59" s="282">
        <f t="shared" si="71"/>
        <v>35015.029017086752</v>
      </c>
      <c r="S59" s="282">
        <f t="shared" si="71"/>
        <v>35759.225352064801</v>
      </c>
      <c r="T59" s="282">
        <f t="shared" si="71"/>
        <v>36510.827844819964</v>
      </c>
      <c r="U59" s="282">
        <f t="shared" si="71"/>
        <v>37280.576948029855</v>
      </c>
      <c r="V59" s="282">
        <f t="shared" si="71"/>
        <v>38065.652835696361</v>
      </c>
      <c r="W59" s="282">
        <f t="shared" si="71"/>
        <v>38861.733725215388</v>
      </c>
      <c r="X59" s="282">
        <f t="shared" si="71"/>
        <v>39668.77816648579</v>
      </c>
      <c r="Y59" s="282">
        <f t="shared" si="71"/>
        <v>40493.318207798904</v>
      </c>
      <c r="Z59" s="282">
        <f t="shared" si="71"/>
        <v>41335.223403248194</v>
      </c>
      <c r="AA59" s="282">
        <f t="shared" si="71"/>
        <v>42189.428306650305</v>
      </c>
      <c r="AB59" s="282">
        <f t="shared" si="71"/>
        <v>43064.649630450731</v>
      </c>
      <c r="AC59" s="282">
        <f t="shared" si="71"/>
        <v>43966.624556295414</v>
      </c>
      <c r="AD59" s="282">
        <f t="shared" si="71"/>
        <v>44891.762773953313</v>
      </c>
      <c r="AE59" s="282">
        <f t="shared" si="71"/>
        <v>45841.755203726803</v>
      </c>
      <c r="AF59" s="523"/>
    </row>
    <row r="60" spans="1:35">
      <c r="A60" s="958"/>
      <c r="B60" s="569" t="str">
        <f>B55</f>
        <v>RESERVE FINANCING (Reduces Borrowings)</v>
      </c>
      <c r="C60" s="283"/>
      <c r="D60" s="282">
        <f>HLOOKUP(D$48,$D$12:$AE$14,2,FALSE)</f>
        <v>0</v>
      </c>
      <c r="E60" s="282">
        <f t="shared" ref="E60:AE60" si="72">HLOOKUP(E$48,$D$12:$AE$14,2,FALSE)</f>
        <v>0</v>
      </c>
      <c r="F60" s="282">
        <f t="shared" si="72"/>
        <v>0</v>
      </c>
      <c r="G60" s="282">
        <f t="shared" si="72"/>
        <v>0</v>
      </c>
      <c r="H60" s="282">
        <f t="shared" si="72"/>
        <v>0</v>
      </c>
      <c r="I60" s="282">
        <f t="shared" si="72"/>
        <v>0</v>
      </c>
      <c r="J60" s="282">
        <f t="shared" si="72"/>
        <v>0</v>
      </c>
      <c r="K60" s="282">
        <f t="shared" si="72"/>
        <v>0</v>
      </c>
      <c r="L60" s="282">
        <f t="shared" si="72"/>
        <v>0</v>
      </c>
      <c r="M60" s="282">
        <f t="shared" si="72"/>
        <v>0</v>
      </c>
      <c r="N60" s="282">
        <f t="shared" si="72"/>
        <v>0</v>
      </c>
      <c r="O60" s="282">
        <f t="shared" si="72"/>
        <v>0</v>
      </c>
      <c r="P60" s="282">
        <f t="shared" si="72"/>
        <v>0</v>
      </c>
      <c r="Q60" s="282">
        <f t="shared" si="72"/>
        <v>0</v>
      </c>
      <c r="R60" s="282">
        <f t="shared" si="72"/>
        <v>0</v>
      </c>
      <c r="S60" s="282">
        <f t="shared" si="72"/>
        <v>0</v>
      </c>
      <c r="T60" s="282">
        <f t="shared" si="72"/>
        <v>0</v>
      </c>
      <c r="U60" s="282">
        <f t="shared" si="72"/>
        <v>0</v>
      </c>
      <c r="V60" s="282">
        <f t="shared" si="72"/>
        <v>0</v>
      </c>
      <c r="W60" s="282">
        <f t="shared" si="72"/>
        <v>0</v>
      </c>
      <c r="X60" s="282">
        <f t="shared" si="72"/>
        <v>0</v>
      </c>
      <c r="Y60" s="282">
        <f t="shared" si="72"/>
        <v>0</v>
      </c>
      <c r="Z60" s="282">
        <f t="shared" si="72"/>
        <v>0</v>
      </c>
      <c r="AA60" s="282">
        <f t="shared" si="72"/>
        <v>0</v>
      </c>
      <c r="AB60" s="282">
        <f t="shared" si="72"/>
        <v>0</v>
      </c>
      <c r="AC60" s="282">
        <f t="shared" si="72"/>
        <v>0</v>
      </c>
      <c r="AD60" s="282">
        <f t="shared" si="72"/>
        <v>0</v>
      </c>
      <c r="AE60" s="282" t="e">
        <f t="shared" si="72"/>
        <v>#N/A</v>
      </c>
    </row>
    <row r="61" spans="1:35">
      <c r="A61" s="958"/>
      <c r="B61" s="569" t="s">
        <v>473</v>
      </c>
      <c r="C61" s="283"/>
      <c r="D61" s="282">
        <f t="shared" ref="D61:AE61" si="73">HLOOKUP(D$48,$D$12:$AE$14,3,FALSE)</f>
        <v>40000</v>
      </c>
      <c r="E61" s="282">
        <f t="shared" si="73"/>
        <v>55000</v>
      </c>
      <c r="F61" s="282">
        <f t="shared" si="73"/>
        <v>55000</v>
      </c>
      <c r="G61" s="282">
        <f t="shared" si="73"/>
        <v>70000</v>
      </c>
      <c r="H61" s="282">
        <f t="shared" si="73"/>
        <v>70000</v>
      </c>
      <c r="I61" s="282">
        <f t="shared" si="73"/>
        <v>85000</v>
      </c>
      <c r="J61" s="282">
        <f t="shared" si="73"/>
        <v>85000</v>
      </c>
      <c r="K61" s="282">
        <f t="shared" si="73"/>
        <v>100000</v>
      </c>
      <c r="L61" s="282">
        <f t="shared" si="73"/>
        <v>100000</v>
      </c>
      <c r="M61" s="282">
        <f t="shared" si="73"/>
        <v>102362.63993118033</v>
      </c>
      <c r="N61" s="282">
        <f t="shared" si="73"/>
        <v>103246.38663999228</v>
      </c>
      <c r="O61" s="282">
        <f t="shared" si="73"/>
        <v>105574.5158957644</v>
      </c>
      <c r="P61" s="282">
        <f t="shared" si="73"/>
        <v>107964.69445587011</v>
      </c>
      <c r="Q61" s="282">
        <f t="shared" si="73"/>
        <v>110409.02618404938</v>
      </c>
      <c r="R61" s="282">
        <f t="shared" si="73"/>
        <v>112911.52090132266</v>
      </c>
      <c r="S61" s="282">
        <f t="shared" si="73"/>
        <v>115474.54580182419</v>
      </c>
      <c r="T61" s="282">
        <f t="shared" si="73"/>
        <v>118098.27379364733</v>
      </c>
      <c r="U61" s="282">
        <f t="shared" si="73"/>
        <v>120791.95957664224</v>
      </c>
      <c r="V61" s="282">
        <f t="shared" si="73"/>
        <v>123536.33213212626</v>
      </c>
      <c r="W61" s="282">
        <f t="shared" si="73"/>
        <v>126356.86246898409</v>
      </c>
      <c r="X61" s="282">
        <f t="shared" si="73"/>
        <v>129259.64353907452</v>
      </c>
      <c r="Y61" s="282">
        <f t="shared" si="73"/>
        <v>132234.29262308156</v>
      </c>
      <c r="Z61" s="282">
        <f t="shared" si="73"/>
        <v>0</v>
      </c>
      <c r="AA61" s="282">
        <f t="shared" si="73"/>
        <v>0</v>
      </c>
      <c r="AB61" s="282">
        <f t="shared" si="73"/>
        <v>0</v>
      </c>
      <c r="AC61" s="282">
        <f t="shared" si="73"/>
        <v>0</v>
      </c>
      <c r="AD61" s="282">
        <f t="shared" si="73"/>
        <v>0</v>
      </c>
      <c r="AE61" s="282" t="e">
        <f t="shared" si="73"/>
        <v>#N/A</v>
      </c>
      <c r="AI61" s="525"/>
    </row>
    <row r="62" spans="1:35">
      <c r="A62" s="958"/>
      <c r="B62" s="286" t="s">
        <v>667</v>
      </c>
      <c r="C62" s="283"/>
      <c r="D62" s="282">
        <f>SUM(D58:D61)</f>
        <v>573435.20099702303</v>
      </c>
      <c r="E62" s="282">
        <f t="shared" ref="E62:M62" si="74">SUM(E58:E61)</f>
        <v>615757.25449180312</v>
      </c>
      <c r="F62" s="282">
        <f t="shared" si="74"/>
        <v>608432.15134588454</v>
      </c>
      <c r="G62" s="282">
        <f t="shared" si="74"/>
        <v>580450.64355970826</v>
      </c>
      <c r="H62" s="282">
        <f t="shared" si="74"/>
        <v>557712.4425801055</v>
      </c>
      <c r="I62" s="282">
        <f t="shared" si="74"/>
        <v>565570.2133052228</v>
      </c>
      <c r="J62" s="282">
        <f t="shared" si="74"/>
        <v>552279.31203196431</v>
      </c>
      <c r="K62" s="282">
        <f t="shared" si="74"/>
        <v>553288.00194112374</v>
      </c>
      <c r="L62" s="282">
        <f t="shared" si="74"/>
        <v>536052.1277753436</v>
      </c>
      <c r="M62" s="282">
        <f t="shared" si="74"/>
        <v>534067.42857749667</v>
      </c>
      <c r="N62" s="282">
        <f t="shared" ref="N62" si="75">SUM(N58:N61)</f>
        <v>534840.89358220599</v>
      </c>
      <c r="O62" s="282">
        <f t="shared" ref="O62" si="76">SUM(O58:O61)</f>
        <v>544280.06255607773</v>
      </c>
      <c r="P62" s="282">
        <f t="shared" ref="P62" si="77">SUM(P58:P61)</f>
        <v>552779.52959382907</v>
      </c>
      <c r="Q62" s="282">
        <f t="shared" ref="Q62" si="78">SUM(Q58:Q61)</f>
        <v>561034.34454356157</v>
      </c>
      <c r="R62" s="282">
        <f t="shared" ref="R62" si="79">SUM(R58:R61)</f>
        <v>569100.57080937643</v>
      </c>
      <c r="S62" s="282">
        <f t="shared" ref="S62" si="80">SUM(S58:S61)</f>
        <v>577117.73373417347</v>
      </c>
      <c r="T62" s="282">
        <f t="shared" ref="T62" si="81">SUM(T58:T61)</f>
        <v>585038.04388281796</v>
      </c>
      <c r="U62" s="282">
        <f t="shared" ref="U62" si="82">SUM(U58:U61)</f>
        <v>593034.74285324709</v>
      </c>
      <c r="V62" s="282">
        <f t="shared" ref="V62" si="83">SUM(V58:V61)</f>
        <v>601054.63201754156</v>
      </c>
      <c r="W62" s="282">
        <f t="shared" ref="W62" si="84">SUM(W58:W61)</f>
        <v>609019.71569261269</v>
      </c>
      <c r="X62" s="282">
        <f t="shared" ref="X62" si="85">SUM(X58:X61)</f>
        <v>616923.48717644485</v>
      </c>
      <c r="Y62" s="282">
        <f t="shared" ref="Y62" si="86">SUM(Y58:Y61)</f>
        <v>624868.50521018996</v>
      </c>
      <c r="Z62" s="282">
        <f t="shared" ref="Z62" si="87">SUM(Z58:Z61)</f>
        <v>632845.83686904865</v>
      </c>
      <c r="AA62" s="282" t="e">
        <f t="shared" ref="AA62" si="88">SUM(AA58:AA61)</f>
        <v>#N/A</v>
      </c>
      <c r="AB62" s="282" t="e">
        <f t="shared" ref="AB62" si="89">SUM(AB58:AB61)</f>
        <v>#N/A</v>
      </c>
      <c r="AC62" s="282" t="e">
        <f t="shared" ref="AC62" si="90">SUM(AC58:AC61)</f>
        <v>#N/A</v>
      </c>
      <c r="AD62" s="282" t="e">
        <f t="shared" ref="AD62" si="91">SUM(AD58:AD61)</f>
        <v>#N/A</v>
      </c>
      <c r="AE62" s="282" t="e">
        <f t="shared" ref="AE62" si="92">SUM(AE58:AE61)</f>
        <v>#N/A</v>
      </c>
      <c r="AI62" s="525"/>
    </row>
    <row r="63" spans="1:35" ht="15">
      <c r="A63" s="958"/>
      <c r="B63" s="124"/>
      <c r="C63" s="239"/>
      <c r="D63" s="279"/>
      <c r="E63" s="279"/>
      <c r="F63" s="279"/>
      <c r="G63" s="279"/>
      <c r="H63" s="279"/>
      <c r="I63" s="279"/>
      <c r="J63" s="279"/>
      <c r="K63" s="279"/>
      <c r="L63" s="279"/>
      <c r="M63" s="279"/>
      <c r="N63" s="279"/>
      <c r="O63" s="279"/>
      <c r="P63" s="279"/>
      <c r="Q63" s="279"/>
      <c r="R63" s="279"/>
      <c r="S63" s="279"/>
      <c r="T63" s="279"/>
      <c r="U63" s="279"/>
      <c r="V63" s="279"/>
      <c r="W63" s="279"/>
      <c r="X63" s="279"/>
      <c r="Y63" s="279"/>
      <c r="Z63" s="279"/>
      <c r="AA63" s="279"/>
      <c r="AB63" s="279"/>
      <c r="AC63" s="279"/>
      <c r="AD63" s="279"/>
      <c r="AE63" s="279"/>
      <c r="AI63" s="294"/>
    </row>
    <row r="64" spans="1:35" ht="15">
      <c r="A64" s="958"/>
      <c r="B64" s="554" t="s">
        <v>229</v>
      </c>
      <c r="C64" s="239"/>
      <c r="D64" s="279"/>
      <c r="E64" s="279"/>
      <c r="F64" s="279"/>
      <c r="G64" s="279"/>
      <c r="H64" s="279"/>
      <c r="I64" s="279"/>
      <c r="J64" s="279"/>
      <c r="K64" s="279"/>
      <c r="L64" s="279"/>
      <c r="M64" s="279"/>
      <c r="N64" s="279"/>
      <c r="O64" s="279"/>
      <c r="P64" s="279"/>
      <c r="Q64" s="279"/>
      <c r="R64" s="279"/>
      <c r="S64" s="279"/>
      <c r="T64" s="279"/>
      <c r="U64" s="279"/>
      <c r="V64" s="279"/>
      <c r="W64" s="279"/>
      <c r="X64" s="279"/>
      <c r="Y64" s="279"/>
      <c r="Z64" s="279"/>
      <c r="AA64" s="279"/>
      <c r="AB64" s="279"/>
      <c r="AC64" s="279"/>
      <c r="AD64" s="279"/>
      <c r="AE64" s="279"/>
    </row>
    <row r="65" spans="1:33">
      <c r="A65" s="958"/>
      <c r="B65" s="130" t="s">
        <v>501</v>
      </c>
      <c r="C65" s="722"/>
      <c r="D65" s="276">
        <f>HLOOKUP(D$48,$C$17:$AE$26,3,FALSE)</f>
        <v>43000</v>
      </c>
      <c r="E65" s="276">
        <f t="shared" ref="E65:AE65" si="93">HLOOKUP(E$48,$C$17:$AE$26,3,FALSE)</f>
        <v>41335</v>
      </c>
      <c r="F65" s="276">
        <f t="shared" si="93"/>
        <v>41300</v>
      </c>
      <c r="G65" s="276">
        <f t="shared" si="93"/>
        <v>29000</v>
      </c>
      <c r="H65" s="276">
        <f t="shared" si="93"/>
        <v>15700</v>
      </c>
      <c r="I65" s="276">
        <f t="shared" si="93"/>
        <v>15000</v>
      </c>
      <c r="J65" s="276">
        <f t="shared" si="93"/>
        <v>15000</v>
      </c>
      <c r="K65" s="276">
        <f t="shared" si="93"/>
        <v>15000</v>
      </c>
      <c r="L65" s="276">
        <f t="shared" si="93"/>
        <v>15000</v>
      </c>
      <c r="M65" s="276">
        <f t="shared" si="93"/>
        <v>15000</v>
      </c>
      <c r="N65" s="276">
        <f t="shared" si="93"/>
        <v>15000</v>
      </c>
      <c r="O65" s="276">
        <f t="shared" si="93"/>
        <v>15343.757294664903</v>
      </c>
      <c r="P65" s="276">
        <f t="shared" si="93"/>
        <v>15687.554495018596</v>
      </c>
      <c r="Q65" s="276">
        <f t="shared" si="93"/>
        <v>16030.278232343695</v>
      </c>
      <c r="R65" s="276">
        <f t="shared" si="93"/>
        <v>16373.615377113701</v>
      </c>
      <c r="S65" s="276">
        <f t="shared" si="93"/>
        <v>16721.614076416281</v>
      </c>
      <c r="T65" s="276">
        <f t="shared" si="93"/>
        <v>17073.076019425025</v>
      </c>
      <c r="U65" s="276">
        <f t="shared" si="93"/>
        <v>17433.023622115474</v>
      </c>
      <c r="V65" s="276">
        <f t="shared" si="93"/>
        <v>17800.138286513571</v>
      </c>
      <c r="W65" s="276">
        <f t="shared" si="93"/>
        <v>18172.399074522466</v>
      </c>
      <c r="X65" s="276">
        <f t="shared" si="93"/>
        <v>18549.786603379027</v>
      </c>
      <c r="Y65" s="276">
        <f t="shared" si="93"/>
        <v>18935.355368519911</v>
      </c>
      <c r="Z65" s="276">
        <f t="shared" si="93"/>
        <v>19329.044371249383</v>
      </c>
      <c r="AA65" s="276">
        <f t="shared" si="93"/>
        <v>19728.484923896805</v>
      </c>
      <c r="AB65" s="276">
        <f t="shared" si="93"/>
        <v>20137.753107531993</v>
      </c>
      <c r="AC65" s="276">
        <f t="shared" si="93"/>
        <v>20559.531724604527</v>
      </c>
      <c r="AD65" s="276">
        <f t="shared" si="93"/>
        <v>20992.141885778663</v>
      </c>
      <c r="AE65" s="276">
        <f t="shared" si="93"/>
        <v>21436.374293773821</v>
      </c>
    </row>
    <row r="66" spans="1:33">
      <c r="A66" s="958"/>
      <c r="B66" s="134" t="s">
        <v>502</v>
      </c>
      <c r="C66" s="135"/>
      <c r="D66" s="135"/>
      <c r="E66" s="135"/>
      <c r="F66" s="135"/>
      <c r="G66" s="135"/>
      <c r="H66" s="135"/>
      <c r="I66" s="135"/>
      <c r="J66" s="135"/>
      <c r="K66" s="135"/>
      <c r="L66" s="135"/>
      <c r="M66" s="135"/>
      <c r="N66" s="135"/>
      <c r="O66" s="135"/>
      <c r="P66" s="135"/>
      <c r="Q66" s="135"/>
      <c r="R66" s="135"/>
      <c r="S66" s="135"/>
      <c r="T66" s="135"/>
      <c r="U66" s="135"/>
      <c r="V66" s="135"/>
      <c r="W66" s="135"/>
      <c r="X66" s="135"/>
      <c r="Y66" s="135"/>
      <c r="Z66" s="135"/>
      <c r="AA66" s="135"/>
      <c r="AB66" s="135"/>
      <c r="AC66" s="135"/>
      <c r="AD66" s="135"/>
      <c r="AE66" s="135"/>
    </row>
    <row r="67" spans="1:33">
      <c r="A67" s="958"/>
      <c r="B67" s="130" t="s">
        <v>503</v>
      </c>
      <c r="C67" s="722"/>
      <c r="D67" s="276">
        <f>HLOOKUP(D$48,$C$17:$AE$26,4,FALSE)+HLOOKUP(D$48,$D$80:$AE$82,2,FALSE)-5000</f>
        <v>50031.902837232454</v>
      </c>
      <c r="E67" s="276">
        <f>HLOOKUP(E$48,$C$17:$AE$26,4,FALSE)+HLOOKUP(E$48,$D$80:$AE$82,2,FALSE)</f>
        <v>73421.909036666664</v>
      </c>
      <c r="F67" s="276">
        <f t="shared" ref="F67:AE67" si="94">HLOOKUP(F$48,$C$17:$AE$26,4,FALSE)+HLOOKUP(F$48,$D$80:$AE$82,2,FALSE)</f>
        <v>50714.228115766964</v>
      </c>
      <c r="G67" s="276">
        <f t="shared" si="94"/>
        <v>24471.702917771887</v>
      </c>
      <c r="H67" s="276">
        <f t="shared" si="94"/>
        <v>21298.343828124998</v>
      </c>
      <c r="I67" s="276">
        <f t="shared" si="94"/>
        <v>19697.355066875491</v>
      </c>
      <c r="J67" s="276">
        <f t="shared" si="94"/>
        <v>32071.048580220595</v>
      </c>
      <c r="K67" s="276">
        <f t="shared" si="94"/>
        <v>37748.117539302846</v>
      </c>
      <c r="L67" s="276">
        <f t="shared" si="94"/>
        <v>40818.168433483297</v>
      </c>
      <c r="M67" s="276">
        <f t="shared" si="94"/>
        <v>59300.59271169467</v>
      </c>
      <c r="N67" s="276">
        <f t="shared" si="94"/>
        <v>69759.942862193697</v>
      </c>
      <c r="O67" s="276">
        <f t="shared" si="94"/>
        <v>71358.64214447941</v>
      </c>
      <c r="P67" s="276">
        <f t="shared" si="94"/>
        <v>72957.527014669802</v>
      </c>
      <c r="Q67" s="276">
        <f t="shared" si="94"/>
        <v>74551.419570224214</v>
      </c>
      <c r="R67" s="276">
        <f t="shared" si="94"/>
        <v>76148.164876999188</v>
      </c>
      <c r="S67" s="276">
        <f t="shared" si="94"/>
        <v>77766.589502296891</v>
      </c>
      <c r="T67" s="276">
        <f t="shared" si="94"/>
        <v>79401.120506465275</v>
      </c>
      <c r="U67" s="276">
        <f t="shared" si="94"/>
        <v>81075.115452936559</v>
      </c>
      <c r="V67" s="276">
        <f t="shared" si="94"/>
        <v>82782.441987088881</v>
      </c>
      <c r="W67" s="276">
        <f t="shared" si="94"/>
        <v>84513.701407177927</v>
      </c>
      <c r="X67" s="276">
        <f t="shared" si="94"/>
        <v>86268.803570507138</v>
      </c>
      <c r="Y67" s="276">
        <f t="shared" si="94"/>
        <v>88061.953905552116</v>
      </c>
      <c r="Z67" s="276">
        <f t="shared" si="94"/>
        <v>89892.868727944253</v>
      </c>
      <c r="AA67" s="276">
        <f t="shared" si="94"/>
        <v>91750.532069912733</v>
      </c>
      <c r="AB67" s="276">
        <f t="shared" si="94"/>
        <v>93653.900410293034</v>
      </c>
      <c r="AC67" s="276">
        <f t="shared" si="94"/>
        <v>95615.450558791374</v>
      </c>
      <c r="AD67" s="276">
        <f t="shared" si="94"/>
        <v>97627.374567132181</v>
      </c>
      <c r="AE67" s="276">
        <f t="shared" si="94"/>
        <v>99693.349727083987</v>
      </c>
    </row>
    <row r="68" spans="1:33">
      <c r="A68" s="958"/>
      <c r="B68" s="286" t="s">
        <v>697</v>
      </c>
      <c r="C68" s="402"/>
      <c r="D68" s="292">
        <f t="shared" ref="D68:AE68" si="95">HLOOKUP(D$48,$C$17:$AE$26,5,FALSE)+HLOOKUP(D$48,$D$80:$AE$82,3,FALSE)</f>
        <v>242776.09716276755</v>
      </c>
      <c r="E68" s="292">
        <f t="shared" si="95"/>
        <v>214195.09096333332</v>
      </c>
      <c r="F68" s="292">
        <f t="shared" si="95"/>
        <v>242901.27188423305</v>
      </c>
      <c r="G68" s="292">
        <f t="shared" si="95"/>
        <v>275068.29708222812</v>
      </c>
      <c r="H68" s="292">
        <f t="shared" si="95"/>
        <v>284396.65617187502</v>
      </c>
      <c r="I68" s="292">
        <f t="shared" si="95"/>
        <v>292468.74493312452</v>
      </c>
      <c r="J68" s="292">
        <f t="shared" si="95"/>
        <v>286775.05141977943</v>
      </c>
      <c r="K68" s="292">
        <f t="shared" si="95"/>
        <v>287961.58246069716</v>
      </c>
      <c r="L68" s="292">
        <f t="shared" si="95"/>
        <v>291675.53156651673</v>
      </c>
      <c r="M68" s="292">
        <f t="shared" si="95"/>
        <v>279991.40728830534</v>
      </c>
      <c r="N68" s="292">
        <f t="shared" si="95"/>
        <v>276427.05713780632</v>
      </c>
      <c r="O68" s="292">
        <f t="shared" si="95"/>
        <v>282761.97829339781</v>
      </c>
      <c r="P68" s="276">
        <f t="shared" si="95"/>
        <v>289097.634849797</v>
      </c>
      <c r="Q68" s="276">
        <f t="shared" si="95"/>
        <v>295413.50912446686</v>
      </c>
      <c r="R68" s="276">
        <f t="shared" si="95"/>
        <v>301740.68756012485</v>
      </c>
      <c r="S68" s="276">
        <f t="shared" si="95"/>
        <v>308153.77131585788</v>
      </c>
      <c r="T68" s="276">
        <f t="shared" si="95"/>
        <v>314630.67735598079</v>
      </c>
      <c r="U68" s="276">
        <f t="shared" si="95"/>
        <v>321263.9611250161</v>
      </c>
      <c r="V68" s="276">
        <f t="shared" si="95"/>
        <v>328029.32287912944</v>
      </c>
      <c r="W68" s="276">
        <f t="shared" si="95"/>
        <v>334889.51982026937</v>
      </c>
      <c r="X68" s="276">
        <f t="shared" si="95"/>
        <v>341844.19475375797</v>
      </c>
      <c r="Y68" s="276">
        <f t="shared" si="95"/>
        <v>348949.63735856808</v>
      </c>
      <c r="Z68" s="276">
        <f t="shared" si="95"/>
        <v>356204.72352203645</v>
      </c>
      <c r="AA68" s="276">
        <f t="shared" si="95"/>
        <v>363565.80195335823</v>
      </c>
      <c r="AB68" s="276">
        <f t="shared" si="95"/>
        <v>371107.9885921856</v>
      </c>
      <c r="AC68" s="276">
        <f t="shared" si="95"/>
        <v>378880.72338425322</v>
      </c>
      <c r="AD68" s="276">
        <f t="shared" si="95"/>
        <v>386853.06696700508</v>
      </c>
      <c r="AE68" s="276">
        <f t="shared" si="95"/>
        <v>395039.59078216128</v>
      </c>
    </row>
    <row r="69" spans="1:33">
      <c r="A69" s="958"/>
      <c r="B69" s="286" t="s">
        <v>698</v>
      </c>
      <c r="C69" s="402"/>
      <c r="D69" s="277">
        <v>-35000</v>
      </c>
      <c r="E69" s="277"/>
      <c r="F69" s="277"/>
      <c r="G69" s="277"/>
      <c r="H69" s="276"/>
      <c r="I69" s="276"/>
      <c r="J69" s="276"/>
      <c r="K69" s="276"/>
      <c r="L69" s="276"/>
      <c r="M69" s="276"/>
      <c r="N69" s="276"/>
      <c r="O69" s="276"/>
      <c r="P69" s="276"/>
      <c r="Q69" s="276"/>
      <c r="R69" s="276"/>
      <c r="S69" s="276"/>
      <c r="T69" s="276"/>
      <c r="U69" s="276"/>
      <c r="V69" s="276"/>
      <c r="W69" s="276"/>
      <c r="X69" s="276"/>
      <c r="Y69" s="276"/>
      <c r="Z69" s="276"/>
      <c r="AA69" s="276"/>
      <c r="AB69" s="276"/>
      <c r="AC69" s="276"/>
      <c r="AD69" s="276"/>
      <c r="AE69" s="276"/>
    </row>
    <row r="70" spans="1:33">
      <c r="A70" s="958"/>
      <c r="B70" s="130" t="s">
        <v>504</v>
      </c>
      <c r="C70" s="722"/>
      <c r="D70" s="276">
        <f t="shared" ref="D70:E70" si="96">+D69+D68</f>
        <v>207776.09716276755</v>
      </c>
      <c r="E70" s="276">
        <f t="shared" si="96"/>
        <v>214195.09096333332</v>
      </c>
      <c r="F70" s="276">
        <f>+F69+F68</f>
        <v>242901.27188423305</v>
      </c>
      <c r="G70" s="276">
        <f t="shared" ref="G70:AE70" si="97">+G69+G68</f>
        <v>275068.29708222812</v>
      </c>
      <c r="H70" s="276">
        <f t="shared" si="97"/>
        <v>284396.65617187502</v>
      </c>
      <c r="I70" s="276">
        <f t="shared" si="97"/>
        <v>292468.74493312452</v>
      </c>
      <c r="J70" s="276">
        <f t="shared" si="97"/>
        <v>286775.05141977943</v>
      </c>
      <c r="K70" s="276">
        <f t="shared" si="97"/>
        <v>287961.58246069716</v>
      </c>
      <c r="L70" s="276">
        <f t="shared" si="97"/>
        <v>291675.53156651673</v>
      </c>
      <c r="M70" s="276">
        <f t="shared" si="97"/>
        <v>279991.40728830534</v>
      </c>
      <c r="N70" s="276">
        <f t="shared" si="97"/>
        <v>276427.05713780632</v>
      </c>
      <c r="O70" s="276">
        <f t="shared" si="97"/>
        <v>282761.97829339781</v>
      </c>
      <c r="P70" s="276">
        <f t="shared" si="97"/>
        <v>289097.634849797</v>
      </c>
      <c r="Q70" s="276">
        <f t="shared" si="97"/>
        <v>295413.50912446686</v>
      </c>
      <c r="R70" s="276">
        <f t="shared" si="97"/>
        <v>301740.68756012485</v>
      </c>
      <c r="S70" s="276">
        <f t="shared" si="97"/>
        <v>308153.77131585788</v>
      </c>
      <c r="T70" s="276">
        <f t="shared" si="97"/>
        <v>314630.67735598079</v>
      </c>
      <c r="U70" s="276">
        <f t="shared" si="97"/>
        <v>321263.9611250161</v>
      </c>
      <c r="V70" s="276">
        <f t="shared" si="97"/>
        <v>328029.32287912944</v>
      </c>
      <c r="W70" s="276">
        <f t="shared" si="97"/>
        <v>334889.51982026937</v>
      </c>
      <c r="X70" s="276">
        <f t="shared" si="97"/>
        <v>341844.19475375797</v>
      </c>
      <c r="Y70" s="276">
        <f t="shared" si="97"/>
        <v>348949.63735856808</v>
      </c>
      <c r="Z70" s="276">
        <f t="shared" si="97"/>
        <v>356204.72352203645</v>
      </c>
      <c r="AA70" s="276">
        <f t="shared" si="97"/>
        <v>363565.80195335823</v>
      </c>
      <c r="AB70" s="276">
        <f t="shared" si="97"/>
        <v>371107.9885921856</v>
      </c>
      <c r="AC70" s="276">
        <f t="shared" si="97"/>
        <v>378880.72338425322</v>
      </c>
      <c r="AD70" s="276">
        <f t="shared" si="97"/>
        <v>386853.06696700508</v>
      </c>
      <c r="AE70" s="276">
        <f t="shared" si="97"/>
        <v>395039.59078216128</v>
      </c>
    </row>
    <row r="71" spans="1:33">
      <c r="A71" s="958"/>
      <c r="B71" s="569" t="s">
        <v>377</v>
      </c>
      <c r="C71" s="283"/>
      <c r="D71" s="282">
        <f t="shared" ref="D71:E71" si="98">SUM(HLOOKUP(D$48,$C$17:$AE$26,6,FALSE),HLOOKUP(D$48,$C$40:$AE$45,5,FALSE),HLOOKUP(D$48,$C$17:$AE$26,9,FALSE))</f>
        <v>2766.49116</v>
      </c>
      <c r="E71" s="282">
        <f t="shared" si="98"/>
        <v>2704.3924999999999</v>
      </c>
      <c r="F71" s="282">
        <f>SUM(HLOOKUP(F$48,$C$17:$AE$26,6,FALSE),HLOOKUP(F$48,$C$40:$AE$45,5,FALSE),HLOOKUP(F$48,$C$17:$AE$26,9,FALSE))</f>
        <v>1196.16688</v>
      </c>
      <c r="G71" s="282">
        <f t="shared" ref="G71:AE71" si="99">SUM(HLOOKUP(G$48,$C$17:$AE$26,6,FALSE),HLOOKUP(G$48,$C$40:$AE$45,5,FALSE),HLOOKUP(G$48,$C$17:$AE$26,9,FALSE))</f>
        <v>1910.0975000000001</v>
      </c>
      <c r="H71" s="282">
        <f t="shared" si="99"/>
        <v>1920.91578</v>
      </c>
      <c r="I71" s="282">
        <f t="shared" si="99"/>
        <v>1918.2725</v>
      </c>
      <c r="J71" s="282">
        <f t="shared" si="99"/>
        <v>1988.2062591264003</v>
      </c>
      <c r="K71" s="282">
        <f t="shared" si="99"/>
        <v>2038.610565653172</v>
      </c>
      <c r="L71" s="282">
        <f t="shared" si="99"/>
        <v>2089.6706333197831</v>
      </c>
      <c r="M71" s="282">
        <f t="shared" si="99"/>
        <v>2140.9531610592744</v>
      </c>
      <c r="N71" s="282">
        <f t="shared" si="99"/>
        <v>2190.7598196627764</v>
      </c>
      <c r="O71" s="282">
        <f t="shared" si="99"/>
        <v>2240.9657975872997</v>
      </c>
      <c r="P71" s="282">
        <f t="shared" si="99"/>
        <v>2291.1776037637947</v>
      </c>
      <c r="Q71" s="282">
        <f t="shared" si="99"/>
        <v>2341.2326299622264</v>
      </c>
      <c r="R71" s="282">
        <f t="shared" si="99"/>
        <v>2391.3772447195511</v>
      </c>
      <c r="S71" s="282">
        <f t="shared" si="99"/>
        <v>2442.2026825680177</v>
      </c>
      <c r="T71" s="282">
        <f t="shared" si="99"/>
        <v>2493.5339294269625</v>
      </c>
      <c r="U71" s="282">
        <f t="shared" si="99"/>
        <v>2546.1045124375073</v>
      </c>
      <c r="V71" s="282">
        <f t="shared" si="99"/>
        <v>2599.7218495023299</v>
      </c>
      <c r="W71" s="282">
        <f t="shared" si="99"/>
        <v>2654.0907812893897</v>
      </c>
      <c r="X71" s="282">
        <f t="shared" si="99"/>
        <v>2709.2084769334415</v>
      </c>
      <c r="Y71" s="282">
        <f t="shared" si="99"/>
        <v>2765.5210474926175</v>
      </c>
      <c r="Z71" s="282">
        <f t="shared" si="99"/>
        <v>2823.0195840674733</v>
      </c>
      <c r="AA71" s="282">
        <f t="shared" si="99"/>
        <v>2881.3581382730645</v>
      </c>
      <c r="AB71" s="282">
        <f t="shared" si="99"/>
        <v>2941.1320244180206</v>
      </c>
      <c r="AC71" s="282">
        <f t="shared" si="99"/>
        <v>3002.733067556383</v>
      </c>
      <c r="AD71" s="282">
        <f t="shared" si="99"/>
        <v>3065.9160648015918</v>
      </c>
      <c r="AE71" s="282">
        <f t="shared" si="99"/>
        <v>3130.7964988034473</v>
      </c>
      <c r="AG71" s="283"/>
    </row>
    <row r="72" spans="1:33">
      <c r="A72" s="958"/>
      <c r="B72" s="569" t="s">
        <v>376</v>
      </c>
      <c r="C72" s="283"/>
      <c r="D72" s="282">
        <f t="shared" ref="D72:AE72" si="100">HLOOKUP(D$48,$C$40:$AE$45,6,FALSE)*(1-$B$8)</f>
        <v>4279.8</v>
      </c>
      <c r="E72" s="282">
        <f t="shared" si="100"/>
        <v>5775</v>
      </c>
      <c r="F72" s="282">
        <f t="shared" si="100"/>
        <v>6784.4</v>
      </c>
      <c r="G72" s="282">
        <f t="shared" si="100"/>
        <v>6475</v>
      </c>
      <c r="H72" s="282">
        <f t="shared" si="100"/>
        <v>6731.9</v>
      </c>
      <c r="I72" s="282">
        <f t="shared" si="100"/>
        <v>6475</v>
      </c>
      <c r="J72" s="282">
        <f t="shared" si="100"/>
        <v>6601.0837620000002</v>
      </c>
      <c r="K72" s="282">
        <f t="shared" si="100"/>
        <v>6754.2289052784008</v>
      </c>
      <c r="L72" s="282">
        <f t="shared" si="100"/>
        <v>6908.9007472092753</v>
      </c>
      <c r="M72" s="282">
        <f t="shared" si="100"/>
        <v>7063.6601239467627</v>
      </c>
      <c r="N72" s="282">
        <f t="shared" si="100"/>
        <v>7222.5924767355655</v>
      </c>
      <c r="O72" s="282">
        <f t="shared" si="100"/>
        <v>7388.1137334202122</v>
      </c>
      <c r="P72" s="282">
        <f t="shared" si="100"/>
        <v>7553.6542049400341</v>
      </c>
      <c r="Q72" s="282">
        <f t="shared" si="100"/>
        <v>7718.6777973935641</v>
      </c>
      <c r="R72" s="282">
        <f t="shared" si="100"/>
        <v>7883.9967493135464</v>
      </c>
      <c r="S72" s="282">
        <f t="shared" si="100"/>
        <v>8051.5602684799833</v>
      </c>
      <c r="T72" s="282">
        <f t="shared" si="100"/>
        <v>8220.7913608422386</v>
      </c>
      <c r="U72" s="282">
        <f t="shared" si="100"/>
        <v>8394.1083506563082</v>
      </c>
      <c r="V72" s="282">
        <f t="shared" si="100"/>
        <v>8570.8763248683754</v>
      </c>
      <c r="W72" s="282">
        <f t="shared" si="100"/>
        <v>8750.1221893254879</v>
      </c>
      <c r="X72" s="282">
        <f t="shared" si="100"/>
        <v>8931.8366111077048</v>
      </c>
      <c r="Y72" s="282">
        <f t="shared" si="100"/>
        <v>9117.490348599089</v>
      </c>
      <c r="Z72" s="282">
        <f t="shared" si="100"/>
        <v>9307.0540305515824</v>
      </c>
      <c r="AA72" s="282">
        <f t="shared" si="100"/>
        <v>9499.3871192485421</v>
      </c>
      <c r="AB72" s="282">
        <f t="shared" si="100"/>
        <v>9696.4522728545908</v>
      </c>
      <c r="AC72" s="282">
        <f t="shared" si="100"/>
        <v>9899.5412772889922</v>
      </c>
      <c r="AD72" s="282">
        <f t="shared" si="100"/>
        <v>10107.845736986037</v>
      </c>
      <c r="AE72" s="282">
        <f t="shared" si="100"/>
        <v>10321.7463801799</v>
      </c>
      <c r="AG72" s="283"/>
    </row>
    <row r="73" spans="1:33">
      <c r="A73" s="958"/>
      <c r="B73" s="130" t="s">
        <v>370</v>
      </c>
      <c r="C73" s="722"/>
      <c r="D73" s="276">
        <f t="shared" ref="D73:E73" si="101">SUM(D71:D72)</f>
        <v>7046.2911600000007</v>
      </c>
      <c r="E73" s="276">
        <f t="shared" si="101"/>
        <v>8479.3924999999999</v>
      </c>
      <c r="F73" s="276">
        <f t="shared" ref="F73:AE73" si="102">SUM(F71:F72)</f>
        <v>7980.5668799999994</v>
      </c>
      <c r="G73" s="276">
        <f t="shared" si="102"/>
        <v>8385.0974999999999</v>
      </c>
      <c r="H73" s="276">
        <f t="shared" si="102"/>
        <v>8652.815779999999</v>
      </c>
      <c r="I73" s="276">
        <f t="shared" si="102"/>
        <v>8393.2724999999991</v>
      </c>
      <c r="J73" s="276">
        <f t="shared" si="102"/>
        <v>8589.2900211264005</v>
      </c>
      <c r="K73" s="276">
        <f t="shared" si="102"/>
        <v>8792.8394709315726</v>
      </c>
      <c r="L73" s="276">
        <f t="shared" si="102"/>
        <v>8998.5713805290579</v>
      </c>
      <c r="M73" s="276">
        <f t="shared" si="102"/>
        <v>9204.6132850060367</v>
      </c>
      <c r="N73" s="276">
        <f t="shared" si="102"/>
        <v>9413.3522963983414</v>
      </c>
      <c r="O73" s="276">
        <f t="shared" si="102"/>
        <v>9629.0795310075118</v>
      </c>
      <c r="P73" s="276">
        <f t="shared" si="102"/>
        <v>9844.8318087038278</v>
      </c>
      <c r="Q73" s="276">
        <f t="shared" si="102"/>
        <v>10059.91042735579</v>
      </c>
      <c r="R73" s="276">
        <f t="shared" si="102"/>
        <v>10275.373994033098</v>
      </c>
      <c r="S73" s="276">
        <f t="shared" si="102"/>
        <v>10493.762951048</v>
      </c>
      <c r="T73" s="276">
        <f t="shared" si="102"/>
        <v>10714.3252902692</v>
      </c>
      <c r="U73" s="276">
        <f t="shared" si="102"/>
        <v>10940.212863093815</v>
      </c>
      <c r="V73" s="276">
        <f t="shared" si="102"/>
        <v>11170.598174370705</v>
      </c>
      <c r="W73" s="276">
        <f t="shared" si="102"/>
        <v>11404.212970614877</v>
      </c>
      <c r="X73" s="276">
        <f t="shared" si="102"/>
        <v>11641.045088041146</v>
      </c>
      <c r="Y73" s="276">
        <f t="shared" si="102"/>
        <v>11883.011396091706</v>
      </c>
      <c r="Z73" s="276">
        <f t="shared" si="102"/>
        <v>12130.073614619056</v>
      </c>
      <c r="AA73" s="276">
        <f t="shared" si="102"/>
        <v>12380.745257521607</v>
      </c>
      <c r="AB73" s="276">
        <f t="shared" si="102"/>
        <v>12637.584297272611</v>
      </c>
      <c r="AC73" s="276">
        <f t="shared" si="102"/>
        <v>12902.274344845375</v>
      </c>
      <c r="AD73" s="276">
        <f t="shared" si="102"/>
        <v>13173.761801787628</v>
      </c>
      <c r="AE73" s="276">
        <f t="shared" si="102"/>
        <v>13452.542878983348</v>
      </c>
      <c r="AG73" s="284"/>
    </row>
    <row r="74" spans="1:33" ht="15">
      <c r="A74" s="287"/>
      <c r="B74" s="572" t="s">
        <v>371</v>
      </c>
      <c r="C74" s="567"/>
      <c r="D74" s="278">
        <f t="shared" ref="D74" si="103">SUM(D65,D67:D69,D73)</f>
        <v>307854.29116000002</v>
      </c>
      <c r="E74" s="278">
        <f>SUM(E65,E67:E69,E73)</f>
        <v>337431.39250000002</v>
      </c>
      <c r="F74" s="278">
        <f t="shared" ref="F74:AE74" si="104">SUM(F65,F67:F69,F73)</f>
        <v>342896.06688</v>
      </c>
      <c r="G74" s="278">
        <f t="shared" si="104"/>
        <v>336925.09749999997</v>
      </c>
      <c r="H74" s="278">
        <f t="shared" si="104"/>
        <v>330047.81578</v>
      </c>
      <c r="I74" s="278">
        <f t="shared" si="104"/>
        <v>335559.3725</v>
      </c>
      <c r="J74" s="278">
        <f t="shared" si="104"/>
        <v>342435.39002112643</v>
      </c>
      <c r="K74" s="278">
        <f t="shared" si="104"/>
        <v>349502.53947093157</v>
      </c>
      <c r="L74" s="278">
        <f t="shared" si="104"/>
        <v>356492.27138052904</v>
      </c>
      <c r="M74" s="278">
        <f t="shared" si="104"/>
        <v>363496.61328500602</v>
      </c>
      <c r="N74" s="278">
        <f t="shared" si="104"/>
        <v>370600.35229639837</v>
      </c>
      <c r="O74" s="278">
        <f t="shared" si="104"/>
        <v>379093.45726354962</v>
      </c>
      <c r="P74" s="278">
        <f t="shared" si="104"/>
        <v>387587.54816818924</v>
      </c>
      <c r="Q74" s="278">
        <f t="shared" si="104"/>
        <v>396055.11735439056</v>
      </c>
      <c r="R74" s="278">
        <f t="shared" si="104"/>
        <v>404537.84180827084</v>
      </c>
      <c r="S74" s="278">
        <f t="shared" si="104"/>
        <v>413135.73784561903</v>
      </c>
      <c r="T74" s="278">
        <f t="shared" si="104"/>
        <v>421819.19917214033</v>
      </c>
      <c r="U74" s="278">
        <f t="shared" si="104"/>
        <v>430712.31306316197</v>
      </c>
      <c r="V74" s="278">
        <f t="shared" si="104"/>
        <v>439782.5013271026</v>
      </c>
      <c r="W74" s="278">
        <f t="shared" si="104"/>
        <v>448979.83327258466</v>
      </c>
      <c r="X74" s="278">
        <f t="shared" si="104"/>
        <v>458303.83001568529</v>
      </c>
      <c r="Y74" s="278">
        <f t="shared" si="104"/>
        <v>467829.95802873181</v>
      </c>
      <c r="Z74" s="278">
        <f t="shared" si="104"/>
        <v>477556.71023584914</v>
      </c>
      <c r="AA74" s="278">
        <f t="shared" si="104"/>
        <v>487425.56420468941</v>
      </c>
      <c r="AB74" s="278">
        <f t="shared" si="104"/>
        <v>497537.22640728322</v>
      </c>
      <c r="AC74" s="278">
        <f t="shared" si="104"/>
        <v>507957.98001249449</v>
      </c>
      <c r="AD74" s="278">
        <f t="shared" si="104"/>
        <v>518646.34522170358</v>
      </c>
      <c r="AE74" s="278">
        <f t="shared" si="104"/>
        <v>529621.85768200236</v>
      </c>
    </row>
    <row r="75" spans="1:33" ht="15">
      <c r="D75" s="283"/>
      <c r="E75" s="283"/>
      <c r="F75" s="283"/>
      <c r="G75" s="283"/>
      <c r="H75" s="283"/>
      <c r="I75" s="283"/>
      <c r="J75" s="283"/>
      <c r="K75" s="283"/>
      <c r="L75" s="283"/>
      <c r="M75" s="283"/>
      <c r="N75" s="283"/>
      <c r="O75" s="283"/>
      <c r="P75" s="283"/>
      <c r="Q75" s="966" t="s">
        <v>628</v>
      </c>
      <c r="R75" s="966"/>
      <c r="S75" s="966"/>
      <c r="T75" s="966"/>
      <c r="U75" s="966"/>
      <c r="V75" s="966"/>
      <c r="W75" s="966"/>
      <c r="X75" s="966"/>
      <c r="Y75" s="966"/>
      <c r="Z75" s="966"/>
      <c r="AA75" s="966"/>
      <c r="AB75" s="966"/>
      <c r="AC75" s="966"/>
      <c r="AD75" s="966"/>
      <c r="AE75" s="966"/>
    </row>
    <row r="76" spans="1:33" ht="15" customHeight="1" thickBot="1">
      <c r="A76" s="952" t="s">
        <v>486</v>
      </c>
      <c r="B76" s="952"/>
      <c r="C76" s="952"/>
      <c r="D76" s="137">
        <f t="shared" ref="D76:E76" si="105">D17</f>
        <v>2023</v>
      </c>
      <c r="E76" s="137">
        <f t="shared" si="105"/>
        <v>2024</v>
      </c>
      <c r="F76" s="137">
        <f t="shared" ref="F76:Q76" si="106">F17</f>
        <v>2025</v>
      </c>
      <c r="G76" s="137">
        <f t="shared" si="106"/>
        <v>2026</v>
      </c>
      <c r="H76" s="137">
        <f t="shared" si="106"/>
        <v>2027</v>
      </c>
      <c r="I76" s="137">
        <f t="shared" si="106"/>
        <v>2028</v>
      </c>
      <c r="J76" s="137">
        <f t="shared" si="106"/>
        <v>2029</v>
      </c>
      <c r="K76" s="137">
        <f t="shared" si="106"/>
        <v>2030</v>
      </c>
      <c r="L76" s="137">
        <f t="shared" si="106"/>
        <v>2031</v>
      </c>
      <c r="M76" s="137">
        <f t="shared" si="106"/>
        <v>2032</v>
      </c>
      <c r="N76" s="137">
        <f t="shared" si="106"/>
        <v>2033</v>
      </c>
      <c r="O76" s="137">
        <f t="shared" si="106"/>
        <v>2034</v>
      </c>
      <c r="P76" s="137">
        <f t="shared" si="106"/>
        <v>2035</v>
      </c>
      <c r="Q76" s="137">
        <f t="shared" si="106"/>
        <v>2036</v>
      </c>
      <c r="R76" s="137">
        <f>Q76+1</f>
        <v>2037</v>
      </c>
      <c r="S76" s="137">
        <f>R76+1</f>
        <v>2038</v>
      </c>
      <c r="T76" s="137">
        <f t="shared" ref="T76:AE76" si="107">S76+1</f>
        <v>2039</v>
      </c>
      <c r="U76" s="137">
        <f t="shared" si="107"/>
        <v>2040</v>
      </c>
      <c r="V76" s="137">
        <f t="shared" si="107"/>
        <v>2041</v>
      </c>
      <c r="W76" s="137">
        <f t="shared" si="107"/>
        <v>2042</v>
      </c>
      <c r="X76" s="137">
        <f t="shared" si="107"/>
        <v>2043</v>
      </c>
      <c r="Y76" s="137">
        <f t="shared" si="107"/>
        <v>2044</v>
      </c>
      <c r="Z76" s="137">
        <f t="shared" si="107"/>
        <v>2045</v>
      </c>
      <c r="AA76" s="137">
        <f t="shared" si="107"/>
        <v>2046</v>
      </c>
      <c r="AB76" s="137">
        <f t="shared" si="107"/>
        <v>2047</v>
      </c>
      <c r="AC76" s="137">
        <f t="shared" si="107"/>
        <v>2048</v>
      </c>
      <c r="AD76" s="137">
        <f t="shared" si="107"/>
        <v>2049</v>
      </c>
      <c r="AE76" s="137">
        <f t="shared" si="107"/>
        <v>2050</v>
      </c>
    </row>
    <row r="77" spans="1:33" ht="14.25" customHeight="1" thickBot="1">
      <c r="A77" s="952"/>
      <c r="B77" s="952"/>
      <c r="C77" s="952"/>
      <c r="D77" s="678">
        <v>0</v>
      </c>
      <c r="E77" s="678">
        <v>0</v>
      </c>
      <c r="F77" s="678">
        <v>0</v>
      </c>
      <c r="G77" s="679">
        <v>0</v>
      </c>
      <c r="H77" s="679">
        <v>0</v>
      </c>
      <c r="I77" s="679">
        <v>0</v>
      </c>
      <c r="J77" s="679">
        <v>0</v>
      </c>
      <c r="K77" s="679">
        <v>0</v>
      </c>
      <c r="L77" s="679">
        <v>0</v>
      </c>
      <c r="M77" s="679">
        <v>0</v>
      </c>
      <c r="N77" s="679">
        <v>0</v>
      </c>
      <c r="O77" s="679">
        <v>0</v>
      </c>
      <c r="P77" s="679">
        <f>+O77</f>
        <v>0</v>
      </c>
      <c r="Q77" s="680">
        <f>P77</f>
        <v>0</v>
      </c>
      <c r="R77" s="680">
        <f t="shared" ref="R77:AE77" si="108">Q77</f>
        <v>0</v>
      </c>
      <c r="S77" s="680">
        <f t="shared" si="108"/>
        <v>0</v>
      </c>
      <c r="T77" s="680">
        <f t="shared" si="108"/>
        <v>0</v>
      </c>
      <c r="U77" s="680">
        <f t="shared" si="108"/>
        <v>0</v>
      </c>
      <c r="V77" s="680">
        <f t="shared" si="108"/>
        <v>0</v>
      </c>
      <c r="W77" s="680">
        <f t="shared" si="108"/>
        <v>0</v>
      </c>
      <c r="X77" s="680">
        <f t="shared" si="108"/>
        <v>0</v>
      </c>
      <c r="Y77" s="680">
        <f t="shared" si="108"/>
        <v>0</v>
      </c>
      <c r="Z77" s="680">
        <f t="shared" si="108"/>
        <v>0</v>
      </c>
      <c r="AA77" s="680">
        <f t="shared" si="108"/>
        <v>0</v>
      </c>
      <c r="AB77" s="680">
        <f t="shared" si="108"/>
        <v>0</v>
      </c>
      <c r="AC77" s="680">
        <f t="shared" si="108"/>
        <v>0</v>
      </c>
      <c r="AD77" s="680">
        <f t="shared" si="108"/>
        <v>0</v>
      </c>
      <c r="AE77" s="681">
        <f t="shared" si="108"/>
        <v>0</v>
      </c>
    </row>
    <row r="78" spans="1:33">
      <c r="D78" s="412" t="str">
        <f t="shared" ref="D78:E78" si="109">"FY"&amp;(D48)</f>
        <v>FY2023</v>
      </c>
      <c r="E78" s="412" t="str">
        <f t="shared" si="109"/>
        <v>FY2024</v>
      </c>
      <c r="F78" s="412" t="str">
        <f t="shared" ref="F78:AE78" si="110">"FY"&amp;(F48)</f>
        <v>FY2025</v>
      </c>
      <c r="G78" s="412" t="str">
        <f t="shared" si="110"/>
        <v>FY2026</v>
      </c>
      <c r="H78" s="412" t="str">
        <f t="shared" si="110"/>
        <v>FY2027</v>
      </c>
      <c r="I78" s="412" t="str">
        <f t="shared" si="110"/>
        <v>FY2028</v>
      </c>
      <c r="J78" s="412" t="str">
        <f t="shared" si="110"/>
        <v>FY2029</v>
      </c>
      <c r="K78" s="412" t="str">
        <f t="shared" si="110"/>
        <v>FY2030</v>
      </c>
      <c r="L78" s="412" t="str">
        <f t="shared" si="110"/>
        <v>FY2031</v>
      </c>
      <c r="M78" s="412" t="str">
        <f t="shared" si="110"/>
        <v>FY2032</v>
      </c>
      <c r="N78" s="412" t="str">
        <f t="shared" si="110"/>
        <v>FY2033</v>
      </c>
      <c r="O78" s="412" t="str">
        <f t="shared" si="110"/>
        <v>FY2034</v>
      </c>
      <c r="P78" s="412" t="str">
        <f t="shared" si="110"/>
        <v>FY2035</v>
      </c>
      <c r="Q78" s="412" t="str">
        <f t="shared" si="110"/>
        <v>FY2036</v>
      </c>
      <c r="R78" s="412" t="str">
        <f t="shared" si="110"/>
        <v>FY2037</v>
      </c>
      <c r="S78" s="412" t="str">
        <f t="shared" si="110"/>
        <v>FY2038</v>
      </c>
      <c r="T78" s="412" t="str">
        <f t="shared" si="110"/>
        <v>FY2039</v>
      </c>
      <c r="U78" s="412" t="str">
        <f t="shared" si="110"/>
        <v>FY2040</v>
      </c>
      <c r="V78" s="412" t="str">
        <f t="shared" si="110"/>
        <v>FY2041</v>
      </c>
      <c r="W78" s="412" t="str">
        <f t="shared" si="110"/>
        <v>FY2042</v>
      </c>
      <c r="X78" s="412" t="str">
        <f t="shared" si="110"/>
        <v>FY2043</v>
      </c>
      <c r="Y78" s="412" t="str">
        <f t="shared" si="110"/>
        <v>FY2044</v>
      </c>
      <c r="Z78" s="412" t="str">
        <f t="shared" si="110"/>
        <v>FY2045</v>
      </c>
      <c r="AA78" s="412" t="str">
        <f t="shared" si="110"/>
        <v>FY2046</v>
      </c>
      <c r="AB78" s="412" t="str">
        <f t="shared" si="110"/>
        <v>FY2047</v>
      </c>
      <c r="AC78" s="412" t="str">
        <f t="shared" si="110"/>
        <v>FY2048</v>
      </c>
      <c r="AD78" s="412" t="str">
        <f t="shared" si="110"/>
        <v>FY2049</v>
      </c>
      <c r="AE78" s="412" t="str">
        <f t="shared" si="110"/>
        <v>FY2050</v>
      </c>
    </row>
    <row r="79" spans="1:33" ht="15">
      <c r="A79" s="526"/>
      <c r="B79" s="526"/>
      <c r="C79" s="526"/>
      <c r="D79" s="526"/>
      <c r="E79" s="526"/>
      <c r="F79" s="526"/>
      <c r="G79" s="526"/>
      <c r="H79" s="526"/>
      <c r="I79" s="526"/>
      <c r="J79" s="526"/>
      <c r="K79" s="526"/>
      <c r="L79" s="526"/>
      <c r="M79" s="526"/>
    </row>
    <row r="80" spans="1:33" ht="15" customHeight="1">
      <c r="A80" s="953" t="s">
        <v>478</v>
      </c>
      <c r="B80" s="574" t="s">
        <v>477</v>
      </c>
      <c r="C80" s="574"/>
      <c r="D80" s="273">
        <f t="shared" ref="D80:E80" si="111">D48</f>
        <v>2023</v>
      </c>
      <c r="E80" s="273">
        <f t="shared" si="111"/>
        <v>2024</v>
      </c>
      <c r="F80" s="273">
        <f t="shared" ref="F80:AE80" si="112">F48</f>
        <v>2025</v>
      </c>
      <c r="G80" s="273">
        <f t="shared" si="112"/>
        <v>2026</v>
      </c>
      <c r="H80" s="273">
        <f t="shared" si="112"/>
        <v>2027</v>
      </c>
      <c r="I80" s="273">
        <f t="shared" si="112"/>
        <v>2028</v>
      </c>
      <c r="J80" s="273">
        <f t="shared" si="112"/>
        <v>2029</v>
      </c>
      <c r="K80" s="273">
        <f t="shared" si="112"/>
        <v>2030</v>
      </c>
      <c r="L80" s="273">
        <f t="shared" si="112"/>
        <v>2031</v>
      </c>
      <c r="M80" s="273">
        <f t="shared" si="112"/>
        <v>2032</v>
      </c>
      <c r="N80" s="273">
        <f t="shared" si="112"/>
        <v>2033</v>
      </c>
      <c r="O80" s="273">
        <f t="shared" si="112"/>
        <v>2034</v>
      </c>
      <c r="P80" s="273">
        <f t="shared" si="112"/>
        <v>2035</v>
      </c>
      <c r="Q80" s="273">
        <f t="shared" si="112"/>
        <v>2036</v>
      </c>
      <c r="R80" s="273">
        <f t="shared" si="112"/>
        <v>2037</v>
      </c>
      <c r="S80" s="273">
        <f t="shared" si="112"/>
        <v>2038</v>
      </c>
      <c r="T80" s="273">
        <f t="shared" si="112"/>
        <v>2039</v>
      </c>
      <c r="U80" s="273">
        <f t="shared" si="112"/>
        <v>2040</v>
      </c>
      <c r="V80" s="273">
        <f t="shared" si="112"/>
        <v>2041</v>
      </c>
      <c r="W80" s="273">
        <f t="shared" si="112"/>
        <v>2042</v>
      </c>
      <c r="X80" s="273">
        <f t="shared" si="112"/>
        <v>2043</v>
      </c>
      <c r="Y80" s="273">
        <f t="shared" si="112"/>
        <v>2044</v>
      </c>
      <c r="Z80" s="273">
        <f t="shared" si="112"/>
        <v>2045</v>
      </c>
      <c r="AA80" s="273">
        <f t="shared" si="112"/>
        <v>2046</v>
      </c>
      <c r="AB80" s="273">
        <f t="shared" si="112"/>
        <v>2047</v>
      </c>
      <c r="AC80" s="273">
        <f t="shared" si="112"/>
        <v>2048</v>
      </c>
      <c r="AD80" s="273">
        <f t="shared" si="112"/>
        <v>2049</v>
      </c>
      <c r="AE80" s="273">
        <f t="shared" si="112"/>
        <v>2050</v>
      </c>
    </row>
    <row r="81" spans="1:31">
      <c r="A81" s="953"/>
      <c r="B81" s="575" t="s">
        <v>475</v>
      </c>
      <c r="C81" s="722"/>
      <c r="D81" s="280">
        <f>(HLOOKUP(D$80,$C$17:$AE$26,8,FALSE))*(((HLOOKUP(D$80,$C$17:$AE$26,4,FALSE))/(SUM((HLOOKUP(D$80,$C$17:$AE$26,4,FALSE)),(HLOOKUP(D$80,$C$17:$AE$26,5,FALSE))))))</f>
        <v>3057.9028372324537</v>
      </c>
      <c r="E81" s="280">
        <f t="shared" ref="E81:AE81" si="113">(HLOOKUP(E$80,$C$17:$AE$26,8,FALSE))*(((HLOOKUP(E$80,$C$17:$AE$26,4,FALSE))/(SUM((HLOOKUP(E$80,$C$17:$AE$26,4,FALSE)),(HLOOKUP(E$80,$C$17:$AE$26,5,FALSE))))))</f>
        <v>4497.2090366666662</v>
      </c>
      <c r="F81" s="280">
        <f t="shared" si="113"/>
        <v>3098.8281157669644</v>
      </c>
      <c r="G81" s="280">
        <f t="shared" si="113"/>
        <v>1464.1029177718833</v>
      </c>
      <c r="H81" s="280">
        <f t="shared" si="113"/>
        <v>1232.8438281249998</v>
      </c>
      <c r="I81" s="280">
        <f t="shared" si="113"/>
        <v>1096.1550668754903</v>
      </c>
      <c r="J81" s="280">
        <f t="shared" si="113"/>
        <v>1711.3485802205926</v>
      </c>
      <c r="K81" s="280">
        <f t="shared" si="113"/>
        <v>1927.2175393028424</v>
      </c>
      <c r="L81" s="280">
        <f t="shared" si="113"/>
        <v>1990.3684334832951</v>
      </c>
      <c r="M81" s="280">
        <f t="shared" si="113"/>
        <v>2754.4927116946701</v>
      </c>
      <c r="N81" s="281">
        <f t="shared" si="113"/>
        <v>3076.2428621936956</v>
      </c>
      <c r="O81" s="281">
        <f t="shared" si="113"/>
        <v>3146.7415904630238</v>
      </c>
      <c r="P81" s="281">
        <f t="shared" si="113"/>
        <v>3217.2485027050384</v>
      </c>
      <c r="Q81" s="281">
        <f t="shared" si="113"/>
        <v>3287.5352660817507</v>
      </c>
      <c r="R81" s="281">
        <f t="shared" si="113"/>
        <v>3357.9478288100636</v>
      </c>
      <c r="S81" s="281">
        <f t="shared" si="113"/>
        <v>3429.3163964622131</v>
      </c>
      <c r="T81" s="281">
        <f t="shared" si="113"/>
        <v>3501.3952160297717</v>
      </c>
      <c r="U81" s="281">
        <f t="shared" si="113"/>
        <v>3575.2142989324534</v>
      </c>
      <c r="V81" s="281">
        <f t="shared" si="113"/>
        <v>3650.5032233298725</v>
      </c>
      <c r="W81" s="281">
        <f t="shared" si="113"/>
        <v>3726.8475294623363</v>
      </c>
      <c r="X81" s="281">
        <f t="shared" si="113"/>
        <v>3804.243242257397</v>
      </c>
      <c r="Y81" s="281">
        <f t="shared" si="113"/>
        <v>3883.3167863673625</v>
      </c>
      <c r="Z81" s="281">
        <f t="shared" si="113"/>
        <v>3964.0556520054088</v>
      </c>
      <c r="AA81" s="281">
        <f t="shared" si="113"/>
        <v>4045.9740619355648</v>
      </c>
      <c r="AB81" s="281">
        <f t="shared" si="113"/>
        <v>4129.9079505109466</v>
      </c>
      <c r="AC81" s="281">
        <f t="shared" si="113"/>
        <v>4216.4075145239676</v>
      </c>
      <c r="AD81" s="281">
        <f t="shared" si="113"/>
        <v>4305.1284425522608</v>
      </c>
      <c r="AE81" s="281">
        <f t="shared" si="113"/>
        <v>4396.232894168942</v>
      </c>
    </row>
    <row r="82" spans="1:31">
      <c r="A82" s="953"/>
      <c r="B82" s="575" t="s">
        <v>476</v>
      </c>
      <c r="C82" s="722"/>
      <c r="D82" s="280">
        <f>(HLOOKUP(D$80,$C$17:$AE$26,8,FALSE))*(((HLOOKUP(D$80,$C$17:$AE$26,5,FALSE))/(SUM((HLOOKUP(D$80,$C$17:$AE$26,4,FALSE)),(HLOOKUP(D$80,$C$17:$AE$26,5,FALSE))))))</f>
        <v>13490.097162767546</v>
      </c>
      <c r="E82" s="280">
        <f t="shared" ref="E82:AE82" si="114">(HLOOKUP(E$80,$C$17:$AE$26,8,FALSE))*(((HLOOKUP(E$80,$C$17:$AE$26,5,FALSE))/(SUM((HLOOKUP(E$80,$C$17:$AE$26,4,FALSE)),(HLOOKUP(E$80,$C$17:$AE$26,5,FALSE))))))</f>
        <v>13119.790963333333</v>
      </c>
      <c r="F82" s="280">
        <f t="shared" si="114"/>
        <v>14842.171884233036</v>
      </c>
      <c r="G82" s="280">
        <f t="shared" si="114"/>
        <v>16456.897082228115</v>
      </c>
      <c r="H82" s="280">
        <f t="shared" si="114"/>
        <v>16462.156171874998</v>
      </c>
      <c r="I82" s="280">
        <f t="shared" si="114"/>
        <v>16275.844933124508</v>
      </c>
      <c r="J82" s="280">
        <f t="shared" si="114"/>
        <v>15302.651419779406</v>
      </c>
      <c r="K82" s="280">
        <f t="shared" si="114"/>
        <v>14701.782460697157</v>
      </c>
      <c r="L82" s="280">
        <f t="shared" si="114"/>
        <v>14222.631566516706</v>
      </c>
      <c r="M82" s="280">
        <f t="shared" si="114"/>
        <v>13005.507288305331</v>
      </c>
      <c r="N82" s="281">
        <f t="shared" si="114"/>
        <v>12189.757137806304</v>
      </c>
      <c r="O82" s="281">
        <f t="shared" si="114"/>
        <v>12469.111666893938</v>
      </c>
      <c r="P82" s="281">
        <f t="shared" si="114"/>
        <v>12748.498625358552</v>
      </c>
      <c r="Q82" s="281">
        <f t="shared" si="114"/>
        <v>13027.013233582173</v>
      </c>
      <c r="R82" s="281">
        <f t="shared" si="114"/>
        <v>13306.026327657784</v>
      </c>
      <c r="S82" s="281">
        <f t="shared" si="114"/>
        <v>13588.827636242511</v>
      </c>
      <c r="T82" s="281">
        <f t="shared" si="114"/>
        <v>13874.443351473052</v>
      </c>
      <c r="U82" s="281">
        <f t="shared" si="114"/>
        <v>14166.954942081862</v>
      </c>
      <c r="V82" s="281">
        <f t="shared" si="114"/>
        <v>14465.290848797869</v>
      </c>
      <c r="W82" s="281">
        <f t="shared" si="114"/>
        <v>14767.808755314991</v>
      </c>
      <c r="X82" s="281">
        <f t="shared" si="114"/>
        <v>15074.492910221548</v>
      </c>
      <c r="Y82" s="281">
        <f t="shared" si="114"/>
        <v>15387.82555068763</v>
      </c>
      <c r="Z82" s="281">
        <f t="shared" si="114"/>
        <v>15707.757106094126</v>
      </c>
      <c r="AA82" s="281">
        <f t="shared" si="114"/>
        <v>16032.362661278339</v>
      </c>
      <c r="AB82" s="281">
        <f t="shared" si="114"/>
        <v>16364.954645461279</v>
      </c>
      <c r="AC82" s="281">
        <f t="shared" si="114"/>
        <v>16707.713239330213</v>
      </c>
      <c r="AD82" s="281">
        <f t="shared" si="114"/>
        <v>17059.27409266754</v>
      </c>
      <c r="AE82" s="281">
        <f t="shared" si="114"/>
        <v>17420.279770414465</v>
      </c>
    </row>
    <row r="83" spans="1:31">
      <c r="A83" s="953"/>
      <c r="B83" s="954" t="s">
        <v>242</v>
      </c>
      <c r="C83" s="954"/>
      <c r="D83" s="280">
        <f t="shared" ref="D83:E83" si="115">SUM(D81:D82)</f>
        <v>16548</v>
      </c>
      <c r="E83" s="280">
        <f t="shared" si="115"/>
        <v>17617</v>
      </c>
      <c r="F83" s="280">
        <f t="shared" ref="F83:AE83" si="116">SUM(F81:F82)</f>
        <v>17941</v>
      </c>
      <c r="G83" s="280">
        <f t="shared" si="116"/>
        <v>17921</v>
      </c>
      <c r="H83" s="280">
        <f t="shared" si="116"/>
        <v>17694.999999999996</v>
      </c>
      <c r="I83" s="280">
        <f t="shared" si="116"/>
        <v>17372</v>
      </c>
      <c r="J83" s="280">
        <f t="shared" si="116"/>
        <v>17014</v>
      </c>
      <c r="K83" s="280">
        <f t="shared" si="116"/>
        <v>16629</v>
      </c>
      <c r="L83" s="280">
        <f t="shared" si="116"/>
        <v>16213</v>
      </c>
      <c r="M83" s="280">
        <f t="shared" si="116"/>
        <v>15760</v>
      </c>
      <c r="N83" s="281">
        <f t="shared" si="116"/>
        <v>15266</v>
      </c>
      <c r="O83" s="281">
        <f t="shared" si="116"/>
        <v>15615.853257356961</v>
      </c>
      <c r="P83" s="281">
        <f t="shared" si="116"/>
        <v>15965.747128063591</v>
      </c>
      <c r="Q83" s="281">
        <f t="shared" si="116"/>
        <v>16314.548499663924</v>
      </c>
      <c r="R83" s="281">
        <f t="shared" si="116"/>
        <v>16663.974156467848</v>
      </c>
      <c r="S83" s="281">
        <f t="shared" si="116"/>
        <v>17018.144032704724</v>
      </c>
      <c r="T83" s="281">
        <f t="shared" si="116"/>
        <v>17375.838567502822</v>
      </c>
      <c r="U83" s="281">
        <f t="shared" si="116"/>
        <v>17742.169241014315</v>
      </c>
      <c r="V83" s="281">
        <f t="shared" si="116"/>
        <v>18115.794072127741</v>
      </c>
      <c r="W83" s="281">
        <f t="shared" si="116"/>
        <v>18494.656284777328</v>
      </c>
      <c r="X83" s="281">
        <f t="shared" si="116"/>
        <v>18878.736152478945</v>
      </c>
      <c r="Y83" s="281">
        <f t="shared" si="116"/>
        <v>19271.142337054993</v>
      </c>
      <c r="Z83" s="281">
        <f t="shared" si="116"/>
        <v>19671.812758099535</v>
      </c>
      <c r="AA83" s="281">
        <f t="shared" si="116"/>
        <v>20078.336723213903</v>
      </c>
      <c r="AB83" s="281">
        <f t="shared" si="116"/>
        <v>20494.862595972227</v>
      </c>
      <c r="AC83" s="281">
        <f t="shared" si="116"/>
        <v>20924.120753854178</v>
      </c>
      <c r="AD83" s="281">
        <f t="shared" si="116"/>
        <v>21364.4025352198</v>
      </c>
      <c r="AE83" s="281">
        <f t="shared" si="116"/>
        <v>21816.512664583406</v>
      </c>
    </row>
    <row r="84" spans="1:31" ht="15">
      <c r="A84" s="526"/>
      <c r="B84" s="528"/>
      <c r="D84" s="280">
        <f t="shared" ref="D84:AE84" si="117">HLOOKUP(D$80,$C$17:$AE$26,8,FALSE)</f>
        <v>16548</v>
      </c>
      <c r="E84" s="280">
        <f t="shared" si="117"/>
        <v>17617</v>
      </c>
      <c r="F84" s="280">
        <f t="shared" si="117"/>
        <v>17941</v>
      </c>
      <c r="G84" s="280">
        <f t="shared" si="117"/>
        <v>17921</v>
      </c>
      <c r="H84" s="280">
        <f t="shared" si="117"/>
        <v>17695</v>
      </c>
      <c r="I84" s="280">
        <f t="shared" si="117"/>
        <v>17372</v>
      </c>
      <c r="J84" s="280">
        <f t="shared" si="117"/>
        <v>17014</v>
      </c>
      <c r="K84" s="280">
        <f t="shared" si="117"/>
        <v>16629</v>
      </c>
      <c r="L84" s="280">
        <f t="shared" si="117"/>
        <v>16213</v>
      </c>
      <c r="M84" s="280">
        <f t="shared" si="117"/>
        <v>15760</v>
      </c>
      <c r="N84" s="281">
        <f t="shared" si="117"/>
        <v>15266</v>
      </c>
      <c r="O84" s="281">
        <f t="shared" si="117"/>
        <v>15615.853257356961</v>
      </c>
      <c r="P84" s="281">
        <f t="shared" si="117"/>
        <v>15965.747128063591</v>
      </c>
      <c r="Q84" s="281">
        <f t="shared" si="117"/>
        <v>16314.548499663921</v>
      </c>
      <c r="R84" s="281">
        <f t="shared" si="117"/>
        <v>16663.974156467848</v>
      </c>
      <c r="S84" s="281">
        <f t="shared" si="117"/>
        <v>17018.144032704724</v>
      </c>
      <c r="T84" s="281">
        <f t="shared" si="117"/>
        <v>17375.838567502822</v>
      </c>
      <c r="U84" s="281">
        <f t="shared" si="117"/>
        <v>17742.169241014315</v>
      </c>
      <c r="V84" s="281">
        <f t="shared" si="117"/>
        <v>18115.794072127741</v>
      </c>
      <c r="W84" s="281">
        <f t="shared" si="117"/>
        <v>18494.656284777328</v>
      </c>
      <c r="X84" s="281">
        <f t="shared" si="117"/>
        <v>18878.736152478945</v>
      </c>
      <c r="Y84" s="281">
        <f t="shared" si="117"/>
        <v>19271.142337054993</v>
      </c>
      <c r="Z84" s="281">
        <f t="shared" si="117"/>
        <v>19671.812758099535</v>
      </c>
      <c r="AA84" s="281">
        <f t="shared" si="117"/>
        <v>20078.336723213906</v>
      </c>
      <c r="AB84" s="281">
        <f t="shared" si="117"/>
        <v>20494.862595972227</v>
      </c>
      <c r="AC84" s="281">
        <f t="shared" si="117"/>
        <v>20924.120753854178</v>
      </c>
      <c r="AD84" s="281">
        <f t="shared" si="117"/>
        <v>21364.4025352198</v>
      </c>
      <c r="AE84" s="281">
        <f t="shared" si="117"/>
        <v>21816.512664583406</v>
      </c>
    </row>
    <row r="85" spans="1:31" ht="15">
      <c r="A85" s="526"/>
      <c r="B85" s="528"/>
      <c r="C85" s="527" t="s">
        <v>287</v>
      </c>
      <c r="D85" s="529" t="b">
        <f>D84=D83</f>
        <v>1</v>
      </c>
      <c r="E85" s="529" t="b">
        <f>E84=E83</f>
        <v>1</v>
      </c>
      <c r="F85" s="529" t="b">
        <f>F84=F83</f>
        <v>1</v>
      </c>
      <c r="G85" s="529" t="b">
        <f t="shared" ref="G85:AE85" si="118">G84=G83</f>
        <v>1</v>
      </c>
      <c r="H85" s="529" t="b">
        <f t="shared" si="118"/>
        <v>1</v>
      </c>
      <c r="I85" s="529" t="b">
        <f t="shared" si="118"/>
        <v>1</v>
      </c>
      <c r="J85" s="529" t="b">
        <f t="shared" si="118"/>
        <v>1</v>
      </c>
      <c r="K85" s="529" t="b">
        <f t="shared" si="118"/>
        <v>1</v>
      </c>
      <c r="L85" s="529" t="b">
        <f t="shared" si="118"/>
        <v>1</v>
      </c>
      <c r="M85" s="529" t="b">
        <f t="shared" si="118"/>
        <v>1</v>
      </c>
      <c r="N85" s="529" t="b">
        <f t="shared" si="118"/>
        <v>1</v>
      </c>
      <c r="O85" s="529" t="b">
        <f t="shared" si="118"/>
        <v>1</v>
      </c>
      <c r="P85" s="529" t="b">
        <f t="shared" si="118"/>
        <v>1</v>
      </c>
      <c r="Q85" s="529" t="b">
        <f t="shared" si="118"/>
        <v>1</v>
      </c>
      <c r="R85" s="529" t="b">
        <f t="shared" si="118"/>
        <v>1</v>
      </c>
      <c r="S85" s="529" t="b">
        <f t="shared" si="118"/>
        <v>1</v>
      </c>
      <c r="T85" s="529" t="b">
        <f t="shared" si="118"/>
        <v>1</v>
      </c>
      <c r="U85" s="529" t="b">
        <f t="shared" si="118"/>
        <v>1</v>
      </c>
      <c r="V85" s="529" t="b">
        <f t="shared" si="118"/>
        <v>1</v>
      </c>
      <c r="W85" s="529" t="b">
        <f t="shared" si="118"/>
        <v>1</v>
      </c>
      <c r="X85" s="529" t="b">
        <f t="shared" si="118"/>
        <v>1</v>
      </c>
      <c r="Y85" s="529" t="b">
        <f t="shared" si="118"/>
        <v>1</v>
      </c>
      <c r="Z85" s="529" t="b">
        <f t="shared" si="118"/>
        <v>1</v>
      </c>
      <c r="AA85" s="529" t="b">
        <f t="shared" si="118"/>
        <v>1</v>
      </c>
      <c r="AB85" s="529" t="b">
        <f t="shared" si="118"/>
        <v>1</v>
      </c>
      <c r="AC85" s="529" t="b">
        <f t="shared" si="118"/>
        <v>1</v>
      </c>
      <c r="AD85" s="529" t="b">
        <f t="shared" si="118"/>
        <v>1</v>
      </c>
      <c r="AE85" s="529" t="b">
        <f t="shared" si="118"/>
        <v>1</v>
      </c>
    </row>
    <row r="86" spans="1:31">
      <c r="B86" s="418"/>
      <c r="C86" s="418"/>
      <c r="D86" s="419"/>
      <c r="E86" s="419"/>
      <c r="F86" s="419"/>
      <c r="G86" s="418"/>
      <c r="H86" s="418"/>
      <c r="I86" s="418"/>
      <c r="J86" s="418"/>
      <c r="K86" s="418"/>
      <c r="L86" s="418"/>
      <c r="M86" s="418"/>
      <c r="N86" s="418"/>
      <c r="O86" s="418"/>
      <c r="P86" s="418"/>
      <c r="Q86" s="418"/>
      <c r="R86" s="418"/>
      <c r="S86" s="418"/>
      <c r="T86" s="418"/>
      <c r="U86" s="418"/>
      <c r="V86" s="418"/>
      <c r="W86" s="418"/>
      <c r="X86" s="418"/>
      <c r="Y86" s="418"/>
      <c r="Z86" s="418"/>
      <c r="AA86" s="418"/>
      <c r="AB86" s="418"/>
      <c r="AC86" s="418"/>
      <c r="AD86" s="418"/>
      <c r="AE86" s="418"/>
    </row>
    <row r="87" spans="1:31">
      <c r="B87" s="418"/>
      <c r="C87" s="418"/>
      <c r="D87" s="419"/>
      <c r="E87" s="419"/>
      <c r="F87" s="419"/>
      <c r="G87" s="530"/>
      <c r="H87" s="530"/>
      <c r="I87" s="530"/>
      <c r="J87" s="530"/>
      <c r="K87" s="530"/>
      <c r="L87" s="530"/>
      <c r="M87" s="530"/>
      <c r="N87" s="530"/>
      <c r="O87" s="530"/>
      <c r="P87" s="530"/>
      <c r="Q87" s="530"/>
      <c r="R87" s="530"/>
      <c r="S87" s="530"/>
      <c r="T87" s="530"/>
      <c r="U87" s="530"/>
      <c r="V87" s="530"/>
      <c r="W87" s="530"/>
      <c r="X87" s="530"/>
      <c r="Y87" s="530"/>
      <c r="Z87" s="530"/>
      <c r="AA87" s="530"/>
      <c r="AB87" s="530"/>
      <c r="AC87" s="530"/>
      <c r="AD87" s="530"/>
      <c r="AE87" s="530"/>
    </row>
    <row r="88" spans="1:31">
      <c r="B88" s="418"/>
      <c r="C88" s="418"/>
      <c r="D88" s="530"/>
      <c r="E88" s="530"/>
      <c r="F88" s="530"/>
      <c r="G88" s="530"/>
      <c r="H88" s="530"/>
      <c r="I88" s="530"/>
      <c r="J88" s="530"/>
      <c r="K88" s="530"/>
      <c r="L88" s="530"/>
      <c r="M88" s="530"/>
      <c r="N88" s="530"/>
      <c r="O88" s="530"/>
      <c r="P88" s="530"/>
      <c r="Q88" s="530"/>
      <c r="R88" s="530"/>
      <c r="S88" s="530"/>
      <c r="T88" s="530"/>
      <c r="U88" s="530"/>
      <c r="V88" s="530"/>
      <c r="W88" s="530"/>
      <c r="X88" s="530"/>
      <c r="Y88" s="530"/>
      <c r="Z88" s="530"/>
      <c r="AA88" s="530"/>
      <c r="AB88" s="530"/>
      <c r="AC88" s="530"/>
      <c r="AD88" s="530"/>
      <c r="AE88" s="530"/>
    </row>
    <row r="89" spans="1:31">
      <c r="B89" s="418"/>
      <c r="C89" s="418"/>
      <c r="D89" s="418"/>
      <c r="E89" s="418"/>
      <c r="F89" s="418"/>
      <c r="G89" s="418"/>
      <c r="H89" s="418"/>
      <c r="I89" s="418"/>
      <c r="J89" s="418"/>
      <c r="K89" s="418"/>
      <c r="L89" s="418"/>
      <c r="M89" s="418"/>
      <c r="N89" s="418"/>
      <c r="O89" s="418"/>
      <c r="P89" s="418"/>
      <c r="Q89" s="418"/>
      <c r="R89" s="418"/>
      <c r="S89" s="418"/>
      <c r="T89" s="418"/>
      <c r="U89" s="418"/>
      <c r="V89" s="418"/>
      <c r="W89" s="418"/>
      <c r="X89" s="418"/>
      <c r="Y89" s="418"/>
      <c r="Z89" s="418"/>
      <c r="AA89" s="418"/>
      <c r="AB89" s="418"/>
      <c r="AC89" s="418"/>
      <c r="AD89" s="418"/>
      <c r="AE89" s="418"/>
    </row>
    <row r="90" spans="1:31">
      <c r="B90" s="418"/>
      <c r="C90" s="418"/>
      <c r="D90" s="418"/>
      <c r="E90" s="418"/>
      <c r="F90" s="418"/>
      <c r="G90" s="418"/>
      <c r="H90" s="418"/>
      <c r="I90" s="418"/>
      <c r="J90" s="418"/>
      <c r="K90" s="418"/>
      <c r="L90" s="418"/>
      <c r="M90" s="418"/>
      <c r="N90" s="418"/>
      <c r="O90" s="418"/>
      <c r="P90" s="418"/>
      <c r="Q90" s="418"/>
      <c r="R90" s="418"/>
      <c r="S90" s="418"/>
      <c r="T90" s="418"/>
      <c r="U90" s="418"/>
      <c r="V90" s="418"/>
      <c r="W90" s="418"/>
      <c r="X90" s="418"/>
      <c r="Y90" s="418"/>
      <c r="Z90" s="418"/>
      <c r="AA90" s="418"/>
      <c r="AB90" s="418"/>
      <c r="AC90" s="418"/>
      <c r="AD90" s="418"/>
      <c r="AE90" s="418"/>
    </row>
    <row r="91" spans="1:31">
      <c r="B91" s="418"/>
      <c r="C91" s="418"/>
      <c r="D91" s="418"/>
      <c r="E91" s="726"/>
      <c r="F91" s="418"/>
      <c r="G91" s="418"/>
      <c r="H91" s="418"/>
      <c r="I91" s="418"/>
      <c r="J91" s="418"/>
      <c r="K91" s="418"/>
      <c r="L91" s="418"/>
      <c r="M91" s="418"/>
      <c r="N91" s="418"/>
      <c r="O91" s="418"/>
      <c r="P91" s="418"/>
      <c r="Q91" s="418"/>
      <c r="R91" s="418"/>
      <c r="S91" s="418"/>
      <c r="T91" s="418"/>
      <c r="U91" s="418"/>
      <c r="V91" s="418"/>
      <c r="W91" s="418"/>
      <c r="X91" s="418"/>
      <c r="Y91" s="418"/>
      <c r="Z91" s="418"/>
      <c r="AA91" s="418"/>
      <c r="AB91" s="418"/>
      <c r="AC91" s="418"/>
      <c r="AD91" s="418"/>
      <c r="AE91" s="418"/>
    </row>
    <row r="92" spans="1:31">
      <c r="B92" s="418"/>
      <c r="C92" s="418"/>
      <c r="D92" s="418"/>
      <c r="E92" s="418"/>
      <c r="F92" s="418"/>
      <c r="G92" s="418"/>
      <c r="H92" s="418"/>
      <c r="I92" s="418"/>
      <c r="J92" s="418"/>
      <c r="K92" s="418"/>
      <c r="L92" s="418"/>
      <c r="M92" s="418"/>
      <c r="N92" s="418"/>
      <c r="O92" s="418"/>
      <c r="P92" s="418"/>
      <c r="Q92" s="418"/>
      <c r="R92" s="418"/>
      <c r="S92" s="418"/>
      <c r="T92" s="418"/>
      <c r="U92" s="418"/>
      <c r="V92" s="418"/>
      <c r="W92" s="418"/>
      <c r="X92" s="418"/>
      <c r="Y92" s="418"/>
      <c r="Z92" s="418"/>
      <c r="AA92" s="418"/>
      <c r="AB92" s="418"/>
      <c r="AC92" s="418"/>
      <c r="AD92" s="418"/>
      <c r="AE92" s="418"/>
    </row>
    <row r="93" spans="1:31">
      <c r="B93" s="418"/>
      <c r="C93" s="418"/>
      <c r="D93" s="418"/>
      <c r="E93" s="418"/>
      <c r="F93" s="418"/>
      <c r="G93" s="418"/>
      <c r="H93" s="418"/>
      <c r="I93" s="418"/>
      <c r="J93" s="418"/>
      <c r="K93" s="418"/>
      <c r="L93" s="418"/>
      <c r="M93" s="418"/>
      <c r="N93" s="418"/>
      <c r="O93" s="418"/>
      <c r="P93" s="418"/>
      <c r="Q93" s="418"/>
      <c r="R93" s="418"/>
      <c r="S93" s="418"/>
      <c r="T93" s="418"/>
      <c r="U93" s="418"/>
      <c r="V93" s="418"/>
      <c r="W93" s="418"/>
      <c r="X93" s="418"/>
      <c r="Y93" s="418"/>
      <c r="Z93" s="418"/>
      <c r="AA93" s="418"/>
      <c r="AB93" s="418"/>
      <c r="AC93" s="418"/>
      <c r="AD93" s="418"/>
      <c r="AE93" s="418"/>
    </row>
  </sheetData>
  <customSheetViews>
    <customSheetView guid="{2226E858-00AE-4A92-8CF6-5B54D2FA62D4}" showPageBreaks="1" fitToPage="1" topLeftCell="K41">
      <selection activeCell="U70" sqref="U70"/>
      <pageMargins left="0.7" right="0.7" top="0.75" bottom="0.75" header="0.3" footer="0.3"/>
      <pageSetup scale="17" orientation="portrait" r:id="rId1"/>
    </customSheetView>
  </customSheetViews>
  <mergeCells count="12">
    <mergeCell ref="A76:C77"/>
    <mergeCell ref="A80:A83"/>
    <mergeCell ref="B83:C83"/>
    <mergeCell ref="A1:N1"/>
    <mergeCell ref="A50:A73"/>
    <mergeCell ref="A19:A44"/>
    <mergeCell ref="A12:A14"/>
    <mergeCell ref="A47:R47"/>
    <mergeCell ref="D9:M11"/>
    <mergeCell ref="P16:AE16"/>
    <mergeCell ref="S47:AE47"/>
    <mergeCell ref="Q75:AE75"/>
  </mergeCells>
  <hyperlinks>
    <hyperlink ref="N5" r:id="rId2" xr:uid="{00000000-0004-0000-0900-000000000000}"/>
  </hyperlinks>
  <pageMargins left="0.7" right="0.7" top="0.75" bottom="0.75" header="0.3" footer="0.3"/>
  <pageSetup scale="17" orientation="portrait" r:id="rId3"/>
  <legacyDrawing r:id="rId4"/>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9">
    <tabColor rgb="FF92D050"/>
    <outlinePr summaryBelow="0" summaryRight="0"/>
    <pageSetUpPr autoPageBreaks="0"/>
  </sheetPr>
  <dimension ref="A1:L45"/>
  <sheetViews>
    <sheetView topLeftCell="A15" zoomScale="80" zoomScaleNormal="80" workbookViewId="0">
      <selection activeCell="A46" sqref="A46:XFD59"/>
    </sheetView>
  </sheetViews>
  <sheetFormatPr defaultColWidth="9.140625" defaultRowHeight="14.25" outlineLevelCol="1"/>
  <cols>
    <col min="1" max="1" width="16.5703125" style="746" customWidth="1"/>
    <col min="2" max="2" width="37.5703125" style="746" customWidth="1"/>
    <col min="3" max="3" width="14.5703125" style="746" customWidth="1"/>
    <col min="4" max="4" width="18.28515625" style="746" hidden="1" customWidth="1"/>
    <col min="5" max="5" width="10.7109375" style="746" hidden="1" customWidth="1"/>
    <col min="6" max="6" width="16.5703125" style="746" customWidth="1"/>
    <col min="7" max="7" width="12.140625" style="746" customWidth="1"/>
    <col min="8" max="8" width="12.7109375" style="746" customWidth="1"/>
    <col min="9" max="10" width="10.7109375" style="746" customWidth="1"/>
    <col min="11" max="11" width="11.5703125" style="746" bestFit="1" customWidth="1" outlineLevel="1"/>
    <col min="12" max="12" width="9.140625" style="746" customWidth="1" outlineLevel="1"/>
    <col min="13" max="16384" width="9.140625" style="746"/>
  </cols>
  <sheetData>
    <row r="1" spans="1:10" ht="15.75" customHeight="1">
      <c r="A1" s="769"/>
      <c r="B1" s="769"/>
      <c r="C1" s="769"/>
      <c r="D1" s="769" t="s">
        <v>743</v>
      </c>
      <c r="E1" s="769"/>
      <c r="F1" s="967"/>
      <c r="G1" s="967"/>
      <c r="H1" s="967"/>
      <c r="I1" s="967"/>
      <c r="J1" s="967"/>
    </row>
    <row r="2" spans="1:10" ht="15">
      <c r="A2" s="805"/>
      <c r="B2" s="806"/>
      <c r="C2" s="806"/>
      <c r="D2" s="806">
        <v>2022</v>
      </c>
      <c r="E2" s="806">
        <v>2023</v>
      </c>
      <c r="F2" s="806">
        <f>E2+1</f>
        <v>2024</v>
      </c>
      <c r="G2" s="806">
        <f>F2+1</f>
        <v>2025</v>
      </c>
      <c r="H2" s="806">
        <f>G2+1</f>
        <v>2026</v>
      </c>
      <c r="I2" s="806">
        <f>H2+1</f>
        <v>2027</v>
      </c>
      <c r="J2" s="806">
        <f t="shared" ref="J2" si="0">I2+1</f>
        <v>2028</v>
      </c>
    </row>
    <row r="3" spans="1:10" ht="15">
      <c r="A3" s="769" t="s">
        <v>101</v>
      </c>
      <c r="D3" s="285"/>
      <c r="E3" s="285"/>
      <c r="F3" s="285"/>
      <c r="G3" s="285"/>
      <c r="H3" s="285"/>
      <c r="I3" s="285"/>
      <c r="J3" s="285"/>
    </row>
    <row r="4" spans="1:10">
      <c r="A4" s="815" t="s">
        <v>103</v>
      </c>
    </row>
    <row r="5" spans="1:10">
      <c r="A5" s="814"/>
      <c r="B5" s="816" t="s">
        <v>102</v>
      </c>
      <c r="C5" s="285"/>
      <c r="D5" s="285">
        <v>0</v>
      </c>
      <c r="E5" s="285">
        <v>0</v>
      </c>
      <c r="F5" s="285">
        <v>0</v>
      </c>
      <c r="G5" s="285">
        <v>0</v>
      </c>
      <c r="H5" s="285">
        <v>0</v>
      </c>
      <c r="I5" s="285">
        <v>0</v>
      </c>
      <c r="J5" s="285">
        <v>0</v>
      </c>
    </row>
    <row r="6" spans="1:10">
      <c r="A6" s="814"/>
      <c r="B6" s="746" t="s">
        <v>104</v>
      </c>
      <c r="C6" s="285"/>
      <c r="D6" s="285">
        <v>108254.04800000001</v>
      </c>
      <c r="E6" s="285">
        <v>115052.02100000001</v>
      </c>
      <c r="F6" s="285">
        <v>130463</v>
      </c>
      <c r="G6" s="285">
        <v>171274</v>
      </c>
      <c r="H6" s="285">
        <v>211530</v>
      </c>
      <c r="I6" s="285">
        <v>256938</v>
      </c>
      <c r="J6" s="285">
        <v>303886</v>
      </c>
    </row>
    <row r="7" spans="1:10">
      <c r="A7" s="814"/>
      <c r="B7" s="746" t="s">
        <v>105</v>
      </c>
      <c r="C7" s="285"/>
      <c r="D7" s="285">
        <v>0</v>
      </c>
      <c r="E7" s="285">
        <v>0</v>
      </c>
      <c r="F7" s="285">
        <v>0</v>
      </c>
      <c r="G7" s="285">
        <v>0</v>
      </c>
      <c r="H7" s="285">
        <v>0</v>
      </c>
      <c r="I7" s="285">
        <v>0</v>
      </c>
      <c r="J7" s="285">
        <v>0</v>
      </c>
    </row>
    <row r="8" spans="1:10">
      <c r="A8" s="814"/>
      <c r="B8" s="746" t="s">
        <v>106</v>
      </c>
      <c r="C8" s="285"/>
      <c r="D8" s="285">
        <v>0</v>
      </c>
      <c r="E8" s="285">
        <v>0</v>
      </c>
      <c r="F8" s="285">
        <v>0</v>
      </c>
      <c r="G8" s="285">
        <v>5055</v>
      </c>
      <c r="H8" s="285">
        <v>10</v>
      </c>
      <c r="I8" s="285">
        <v>15</v>
      </c>
      <c r="J8" s="285">
        <v>31</v>
      </c>
    </row>
    <row r="9" spans="1:10">
      <c r="A9" s="814"/>
      <c r="B9" s="746" t="s">
        <v>88</v>
      </c>
      <c r="C9" s="285"/>
      <c r="D9" s="285">
        <v>65.106999999999999</v>
      </c>
      <c r="E9" s="285">
        <v>80.599000000000004</v>
      </c>
      <c r="F9" s="285">
        <v>1551</v>
      </c>
      <c r="G9" s="285">
        <v>1305</v>
      </c>
      <c r="H9" s="285">
        <v>1406</v>
      </c>
      <c r="I9" s="285">
        <v>1462</v>
      </c>
      <c r="J9" s="285">
        <v>1771</v>
      </c>
    </row>
    <row r="10" spans="1:10">
      <c r="C10" s="285"/>
      <c r="D10" s="285"/>
      <c r="E10" s="285"/>
      <c r="F10" s="285"/>
      <c r="G10" s="285"/>
      <c r="H10" s="285"/>
      <c r="I10" s="285"/>
      <c r="J10" s="285"/>
    </row>
    <row r="11" spans="1:10">
      <c r="C11" s="285"/>
      <c r="D11" s="285"/>
      <c r="E11" s="285"/>
      <c r="F11" s="285"/>
      <c r="G11" s="285"/>
      <c r="H11" s="285"/>
      <c r="I11" s="285"/>
      <c r="J11" s="285"/>
    </row>
    <row r="12" spans="1:10">
      <c r="B12" s="814" t="s">
        <v>549</v>
      </c>
      <c r="C12" s="285"/>
      <c r="D12" s="285">
        <f>SUM(D5:D8)-D9</f>
        <v>108188.94100000001</v>
      </c>
      <c r="E12" s="285">
        <f>SUM(E5:E9)-E9</f>
        <v>115052.02100000001</v>
      </c>
      <c r="F12" s="285">
        <f>SUM(F5:F9)</f>
        <v>132014</v>
      </c>
      <c r="G12" s="285">
        <f>SUM(G5:G9)</f>
        <v>177634</v>
      </c>
      <c r="H12" s="285">
        <f t="shared" ref="H12:J12" si="1">SUM(H5:H9)</f>
        <v>212946</v>
      </c>
      <c r="I12" s="285">
        <f t="shared" si="1"/>
        <v>258415</v>
      </c>
      <c r="J12" s="285">
        <f t="shared" si="1"/>
        <v>305688</v>
      </c>
    </row>
    <row r="13" spans="1:10">
      <c r="A13" s="815" t="s">
        <v>107</v>
      </c>
      <c r="D13" s="285"/>
      <c r="E13" s="285"/>
      <c r="F13" s="285"/>
      <c r="G13" s="285"/>
      <c r="H13" s="285"/>
      <c r="I13" s="285"/>
      <c r="J13" s="285"/>
    </row>
    <row r="14" spans="1:10">
      <c r="A14" s="815"/>
      <c r="B14" s="746" t="s">
        <v>109</v>
      </c>
      <c r="C14" s="285"/>
      <c r="D14" s="285">
        <v>5625.9120000000003</v>
      </c>
      <c r="E14" s="285">
        <v>5524.1819999999998</v>
      </c>
      <c r="F14" s="285">
        <v>5745.5709999999999</v>
      </c>
      <c r="G14" s="285">
        <v>5661.6719999999996</v>
      </c>
      <c r="H14" s="285">
        <v>5533.62</v>
      </c>
      <c r="I14" s="285">
        <v>5399.6289999999999</v>
      </c>
      <c r="J14" s="285">
        <v>5264.3739999999998</v>
      </c>
    </row>
    <row r="15" spans="1:10">
      <c r="A15" s="814"/>
      <c r="B15" s="746" t="s">
        <v>108</v>
      </c>
      <c r="C15" s="285"/>
      <c r="D15" s="285">
        <v>2959.694</v>
      </c>
      <c r="E15" s="285">
        <v>1927.3420000000001</v>
      </c>
      <c r="F15" s="285">
        <v>843.24800000000005</v>
      </c>
      <c r="G15" s="285">
        <v>0</v>
      </c>
      <c r="H15" s="285">
        <v>0</v>
      </c>
      <c r="I15" s="285">
        <v>0</v>
      </c>
      <c r="J15" s="285">
        <v>0</v>
      </c>
    </row>
    <row r="16" spans="1:10">
      <c r="A16" s="814"/>
      <c r="B16" s="746" t="s">
        <v>753</v>
      </c>
      <c r="C16" s="285"/>
      <c r="D16" s="285">
        <v>-4756</v>
      </c>
      <c r="E16" s="285">
        <v>-4753</v>
      </c>
      <c r="F16" s="285">
        <v>-3564.413</v>
      </c>
      <c r="G16" s="285">
        <v>0</v>
      </c>
      <c r="H16" s="285">
        <v>0</v>
      </c>
      <c r="I16" s="285">
        <v>0</v>
      </c>
      <c r="J16" s="285">
        <v>0</v>
      </c>
    </row>
    <row r="17" spans="1:10">
      <c r="A17" s="814"/>
      <c r="B17" s="746" t="s">
        <v>755</v>
      </c>
      <c r="C17" s="285"/>
      <c r="D17" s="285">
        <v>63095.72</v>
      </c>
      <c r="E17" s="285">
        <v>6432.4780000000001</v>
      </c>
      <c r="F17" s="285">
        <v>55231.142</v>
      </c>
      <c r="G17" s="285">
        <v>55340.048000000003</v>
      </c>
      <c r="H17" s="285">
        <v>52137.021999999997</v>
      </c>
      <c r="I17" s="285">
        <v>49264.373999999996</v>
      </c>
      <c r="J17" s="285">
        <v>46310.67</v>
      </c>
    </row>
    <row r="18" spans="1:10">
      <c r="A18" s="814"/>
      <c r="B18" s="746" t="s">
        <v>754</v>
      </c>
      <c r="C18" s="285"/>
      <c r="D18" s="285">
        <v>-1068</v>
      </c>
      <c r="E18" s="285">
        <v>-1065</v>
      </c>
      <c r="F18" s="285">
        <v>-1064.701</v>
      </c>
      <c r="G18" s="285">
        <v>-1062.2570000000001</v>
      </c>
      <c r="H18" s="285">
        <v>-1059.7159999999999</v>
      </c>
      <c r="I18" s="285">
        <v>-1057.0719999999999</v>
      </c>
      <c r="J18" s="285">
        <v>-1054.3230000000001</v>
      </c>
    </row>
    <row r="19" spans="1:10">
      <c r="A19" s="814"/>
      <c r="B19" s="746" t="s">
        <v>756</v>
      </c>
      <c r="C19" s="285"/>
      <c r="D19" s="285">
        <v>209</v>
      </c>
      <c r="E19" s="285">
        <v>209</v>
      </c>
      <c r="F19" s="770">
        <v>333.08300000000003</v>
      </c>
      <c r="G19" s="770">
        <v>268.83</v>
      </c>
      <c r="H19" s="770">
        <v>249.209</v>
      </c>
      <c r="I19" s="770">
        <v>251.78</v>
      </c>
      <c r="J19" s="770">
        <v>206.83199999999999</v>
      </c>
    </row>
    <row r="20" spans="1:10">
      <c r="A20" s="814"/>
      <c r="B20" s="746" t="s">
        <v>487</v>
      </c>
      <c r="C20" s="285"/>
      <c r="D20" s="285">
        <v>4303.9977649606953</v>
      </c>
      <c r="E20" s="285">
        <v>3736.3402445712541</v>
      </c>
      <c r="F20" s="285">
        <v>7558.7265837006889</v>
      </c>
      <c r="G20" s="285">
        <v>7521.7604448514721</v>
      </c>
      <c r="H20" s="285">
        <v>8634.4849339856464</v>
      </c>
      <c r="I20" s="285">
        <v>8526.2600033176459</v>
      </c>
      <c r="J20" s="285">
        <v>7054.0287660433196</v>
      </c>
    </row>
    <row r="21" spans="1:10">
      <c r="A21" s="814"/>
      <c r="B21" s="776" t="s">
        <v>508</v>
      </c>
      <c r="C21" s="285"/>
      <c r="D21" s="285"/>
      <c r="E21" s="285"/>
      <c r="F21" s="285"/>
      <c r="G21" s="285"/>
      <c r="H21" s="285"/>
      <c r="I21" s="285"/>
      <c r="J21" s="285"/>
    </row>
    <row r="22" spans="1:10">
      <c r="A22" s="814"/>
      <c r="C22" s="285"/>
      <c r="D22" s="285"/>
      <c r="E22" s="285"/>
      <c r="F22" s="285"/>
      <c r="G22" s="285"/>
      <c r="H22" s="285"/>
      <c r="I22" s="285"/>
      <c r="J22" s="285"/>
    </row>
    <row r="23" spans="1:10">
      <c r="A23" s="814"/>
      <c r="C23" s="285"/>
      <c r="D23" s="285"/>
      <c r="E23" s="285"/>
      <c r="F23" s="285"/>
      <c r="G23" s="285"/>
      <c r="H23" s="285"/>
      <c r="I23" s="285"/>
      <c r="J23" s="285"/>
    </row>
    <row r="24" spans="1:10">
      <c r="B24" s="814" t="s">
        <v>629</v>
      </c>
      <c r="C24" s="285"/>
      <c r="D24" s="285">
        <v>70370.426764960692</v>
      </c>
      <c r="E24" s="285">
        <v>67103.586244571256</v>
      </c>
      <c r="F24" s="285">
        <f>SUM(F14:F23)</f>
        <v>65082.656583700693</v>
      </c>
      <c r="G24" s="285">
        <f t="shared" ref="G24:J24" si="2">SUM(G14:G23)</f>
        <v>67730.053444851481</v>
      </c>
      <c r="H24" s="285">
        <f t="shared" si="2"/>
        <v>65494.619933985647</v>
      </c>
      <c r="I24" s="285">
        <f t="shared" si="2"/>
        <v>62384.971003317638</v>
      </c>
      <c r="J24" s="285">
        <f t="shared" si="2"/>
        <v>57781.581766043317</v>
      </c>
    </row>
    <row r="25" spans="1:10">
      <c r="B25" s="814" t="s">
        <v>551</v>
      </c>
      <c r="C25" s="285"/>
      <c r="D25" s="285">
        <f>D24-D15-D16</f>
        <v>72166.732764960689</v>
      </c>
      <c r="E25" s="285">
        <f>E24-E15-E16</f>
        <v>69929.244244571251</v>
      </c>
      <c r="F25" s="285">
        <f>F24-F15-F16</f>
        <v>67803.821583700686</v>
      </c>
      <c r="G25" s="285">
        <f t="shared" ref="G25:J25" si="3">G24-G15-G16</f>
        <v>67730.053444851481</v>
      </c>
      <c r="H25" s="285">
        <f t="shared" si="3"/>
        <v>65494.619933985647</v>
      </c>
      <c r="I25" s="285">
        <f t="shared" si="3"/>
        <v>62384.971003317638</v>
      </c>
      <c r="J25" s="285">
        <f t="shared" si="3"/>
        <v>57781.581766043317</v>
      </c>
    </row>
    <row r="26" spans="1:10" ht="15">
      <c r="A26" s="769" t="s">
        <v>112</v>
      </c>
      <c r="C26" s="285" t="s">
        <v>630</v>
      </c>
      <c r="D26" s="285">
        <f>D24-D20</f>
        <v>66066.429000000004</v>
      </c>
      <c r="E26" s="285">
        <f>E24-E20</f>
        <v>63367.245999999999</v>
      </c>
      <c r="F26" s="285">
        <f>F24-F20</f>
        <v>57523.930000000008</v>
      </c>
      <c r="G26" s="285">
        <f t="shared" ref="G26" si="4">G24-G20</f>
        <v>60208.293000000005</v>
      </c>
      <c r="H26" s="285">
        <f>H24-H20</f>
        <v>56860.135000000002</v>
      </c>
      <c r="I26" s="285">
        <f>I24-I20</f>
        <v>53858.710999999996</v>
      </c>
      <c r="J26" s="285">
        <f>J24-J20</f>
        <v>50727.553</v>
      </c>
    </row>
    <row r="27" spans="1:10">
      <c r="A27" s="815" t="s">
        <v>103</v>
      </c>
      <c r="C27" s="285"/>
      <c r="D27" s="285"/>
      <c r="E27" s="285"/>
      <c r="F27" s="285"/>
      <c r="G27" s="285"/>
      <c r="H27" s="285"/>
      <c r="I27" s="285"/>
      <c r="J27" s="285"/>
    </row>
    <row r="28" spans="1:10">
      <c r="A28" s="814"/>
      <c r="B28" s="746" t="s">
        <v>113</v>
      </c>
      <c r="C28" s="285"/>
      <c r="D28" s="285">
        <v>0</v>
      </c>
      <c r="E28" s="285">
        <v>0</v>
      </c>
      <c r="F28" s="285">
        <v>0</v>
      </c>
      <c r="G28" s="285">
        <v>0</v>
      </c>
      <c r="H28" s="285">
        <v>0</v>
      </c>
      <c r="I28" s="285">
        <v>0</v>
      </c>
      <c r="J28" s="285">
        <v>0</v>
      </c>
    </row>
    <row r="29" spans="1:10">
      <c r="A29" s="814"/>
      <c r="B29" s="746" t="s">
        <v>114</v>
      </c>
      <c r="C29" s="285"/>
      <c r="D29" s="285">
        <v>204197</v>
      </c>
      <c r="E29" s="285">
        <v>209379</v>
      </c>
      <c r="F29" s="285">
        <v>0</v>
      </c>
      <c r="G29" s="285">
        <v>187438</v>
      </c>
      <c r="H29" s="285">
        <v>256615.076</v>
      </c>
      <c r="I29" s="285">
        <v>256044.149</v>
      </c>
      <c r="J29" s="285">
        <v>316899.05699999997</v>
      </c>
    </row>
    <row r="30" spans="1:10">
      <c r="C30" s="285"/>
      <c r="D30" s="285"/>
      <c r="E30" s="285"/>
      <c r="F30" s="285"/>
      <c r="G30" s="285"/>
      <c r="H30" s="285"/>
      <c r="I30" s="285"/>
      <c r="J30" s="285"/>
    </row>
    <row r="31" spans="1:10">
      <c r="B31" s="814" t="s">
        <v>110</v>
      </c>
      <c r="C31" s="285"/>
      <c r="D31" s="285">
        <v>204197</v>
      </c>
      <c r="E31" s="285">
        <v>209379</v>
      </c>
      <c r="F31" s="285">
        <f t="shared" ref="F31:J31" si="5">SUM(F28:F29)</f>
        <v>0</v>
      </c>
      <c r="G31" s="285">
        <f t="shared" si="5"/>
        <v>187438</v>
      </c>
      <c r="H31" s="285">
        <f>SUM(H28:H29)</f>
        <v>256615.076</v>
      </c>
      <c r="I31" s="285">
        <f t="shared" si="5"/>
        <v>256044.149</v>
      </c>
      <c r="J31" s="285">
        <f t="shared" si="5"/>
        <v>316899.05699999997</v>
      </c>
    </row>
    <row r="32" spans="1:10">
      <c r="A32" s="815" t="s">
        <v>107</v>
      </c>
      <c r="C32" s="285"/>
      <c r="D32" s="285"/>
      <c r="E32" s="285"/>
      <c r="F32" s="285"/>
      <c r="G32" s="285"/>
      <c r="H32" s="285"/>
      <c r="I32" s="285"/>
      <c r="J32" s="285"/>
    </row>
    <row r="33" spans="1:10">
      <c r="A33" s="814"/>
      <c r="B33" s="746" t="s">
        <v>109</v>
      </c>
      <c r="C33" s="285"/>
      <c r="D33" s="285">
        <v>2378.6970000000001</v>
      </c>
      <c r="E33" s="285">
        <v>1974.902</v>
      </c>
      <c r="F33" s="285">
        <v>2812.6260000000002</v>
      </c>
      <c r="G33" s="285">
        <v>3081.404</v>
      </c>
      <c r="H33" s="285">
        <v>3212.2280000000001</v>
      </c>
      <c r="I33" s="285">
        <v>3279.8110000000001</v>
      </c>
      <c r="J33" s="285">
        <v>3175.5659999999998</v>
      </c>
    </row>
    <row r="34" spans="1:10">
      <c r="A34" s="814"/>
      <c r="B34" s="746" t="s">
        <v>108</v>
      </c>
      <c r="C34" s="285"/>
      <c r="D34" s="285">
        <v>21595.974999999999</v>
      </c>
      <c r="E34" s="285">
        <v>22678.366999999998</v>
      </c>
      <c r="F34" s="285">
        <v>17640.059000000001</v>
      </c>
      <c r="G34" s="285">
        <v>0</v>
      </c>
      <c r="H34" s="285">
        <v>0</v>
      </c>
      <c r="I34" s="285">
        <v>0</v>
      </c>
      <c r="J34" s="285">
        <v>0</v>
      </c>
    </row>
    <row r="35" spans="1:10">
      <c r="A35" s="814"/>
      <c r="B35" s="746" t="s">
        <v>631</v>
      </c>
      <c r="C35" s="285"/>
      <c r="D35" s="285">
        <v>72100</v>
      </c>
      <c r="E35" s="285">
        <v>71720</v>
      </c>
      <c r="F35" s="285">
        <v>89505</v>
      </c>
      <c r="G35" s="285">
        <v>107770</v>
      </c>
      <c r="H35" s="285">
        <v>108285</v>
      </c>
      <c r="I35" s="285">
        <v>85715</v>
      </c>
      <c r="J35" s="285">
        <v>75000</v>
      </c>
    </row>
    <row r="36" spans="1:10">
      <c r="A36" s="814"/>
      <c r="B36" s="746" t="s">
        <v>632</v>
      </c>
      <c r="C36" s="285"/>
      <c r="D36" s="285">
        <v>0</v>
      </c>
      <c r="E36" s="285">
        <v>0</v>
      </c>
      <c r="F36" s="285"/>
      <c r="G36" s="285"/>
      <c r="H36" s="285"/>
      <c r="I36" s="285"/>
      <c r="J36" s="285"/>
    </row>
    <row r="37" spans="1:10">
      <c r="A37" s="814"/>
      <c r="C37" s="285"/>
      <c r="D37" s="285"/>
      <c r="E37" s="285"/>
      <c r="F37" s="285"/>
      <c r="G37" s="285"/>
      <c r="H37" s="285"/>
      <c r="I37" s="285"/>
      <c r="J37" s="285"/>
    </row>
    <row r="38" spans="1:10">
      <c r="A38" s="814"/>
      <c r="C38" s="285"/>
      <c r="D38" s="285"/>
      <c r="E38" s="285"/>
      <c r="F38" s="285"/>
      <c r="G38" s="285"/>
      <c r="H38" s="285"/>
      <c r="I38" s="285"/>
      <c r="J38" s="285"/>
    </row>
    <row r="39" spans="1:10">
      <c r="A39" s="814"/>
      <c r="B39" s="746" t="s">
        <v>488</v>
      </c>
      <c r="C39" s="285"/>
      <c r="D39" s="285">
        <v>27441.719077461217</v>
      </c>
      <c r="E39" s="285">
        <v>26071.088679182656</v>
      </c>
      <c r="F39" s="285">
        <v>19849.163473109675</v>
      </c>
      <c r="G39" s="285">
        <v>24376.50005244475</v>
      </c>
      <c r="H39" s="285">
        <v>48108.044061134184</v>
      </c>
      <c r="I39" s="285">
        <v>70528.665055584017</v>
      </c>
      <c r="J39" s="285">
        <v>69806.194408808558</v>
      </c>
    </row>
    <row r="40" spans="1:10">
      <c r="A40" s="814"/>
      <c r="B40" s="776" t="s">
        <v>509</v>
      </c>
      <c r="C40" s="285"/>
      <c r="D40" s="285"/>
      <c r="E40" s="285"/>
      <c r="F40" s="285"/>
      <c r="G40" s="285"/>
      <c r="H40" s="285"/>
      <c r="I40" s="285"/>
      <c r="J40" s="285"/>
    </row>
    <row r="41" spans="1:10">
      <c r="A41" s="814"/>
      <c r="C41" s="285"/>
      <c r="D41" s="285"/>
      <c r="E41" s="285"/>
      <c r="F41" s="285"/>
      <c r="G41" s="285"/>
      <c r="H41" s="285"/>
      <c r="I41" s="285"/>
      <c r="J41" s="285"/>
    </row>
    <row r="42" spans="1:10">
      <c r="A42" s="814"/>
      <c r="B42" s="746" t="s">
        <v>384</v>
      </c>
      <c r="C42" s="285"/>
      <c r="D42" s="285">
        <v>0</v>
      </c>
      <c r="E42" s="285">
        <v>0</v>
      </c>
      <c r="F42" s="285">
        <v>0</v>
      </c>
      <c r="G42" s="285">
        <v>0</v>
      </c>
      <c r="H42" s="285">
        <v>0</v>
      </c>
      <c r="I42" s="285">
        <v>0</v>
      </c>
      <c r="J42" s="285">
        <v>0</v>
      </c>
    </row>
    <row r="43" spans="1:10">
      <c r="B43" s="814" t="s">
        <v>111</v>
      </c>
      <c r="C43" s="285"/>
      <c r="D43" s="285">
        <v>96074.671999999991</v>
      </c>
      <c r="E43" s="285">
        <v>96373.269</v>
      </c>
      <c r="F43" s="285">
        <f>SUM(F33:F38)+F41+F42</f>
        <v>109957.685</v>
      </c>
      <c r="G43" s="285">
        <f t="shared" ref="G43:J43" si="6">SUM(G33:G38)+G41+G42</f>
        <v>110851.40399999999</v>
      </c>
      <c r="H43" s="285">
        <f>SUM(H33:H38)+H41+H42</f>
        <v>111497.228</v>
      </c>
      <c r="I43" s="285">
        <f t="shared" si="6"/>
        <v>88994.811000000002</v>
      </c>
      <c r="J43" s="285">
        <f t="shared" si="6"/>
        <v>78175.566000000006</v>
      </c>
    </row>
    <row r="44" spans="1:10">
      <c r="B44" s="746" t="s">
        <v>392</v>
      </c>
      <c r="C44" s="759"/>
      <c r="D44" s="759">
        <v>-74478.697</v>
      </c>
      <c r="E44" s="759">
        <v>-73694.902000000002</v>
      </c>
      <c r="F44" s="759">
        <f>-(F33+F35+F36+F37+F38+F41+F42)</f>
        <v>-92317.626000000004</v>
      </c>
      <c r="G44" s="759">
        <f t="shared" ref="G44:J44" si="7">-(G33+G35+G36+G37+G38+G41+G42)</f>
        <v>-110851.40399999999</v>
      </c>
      <c r="H44" s="759">
        <f>-(H33+H35+H36+H37+H38+H41+H42)</f>
        <v>-111497.228</v>
      </c>
      <c r="I44" s="759">
        <f t="shared" si="7"/>
        <v>-88994.811000000002</v>
      </c>
      <c r="J44" s="759">
        <f t="shared" si="7"/>
        <v>-78175.566000000006</v>
      </c>
    </row>
    <row r="45" spans="1:10">
      <c r="D45" s="759"/>
      <c r="E45" s="759"/>
      <c r="F45" s="759"/>
      <c r="G45" s="759"/>
      <c r="H45" s="759"/>
      <c r="I45" s="759"/>
      <c r="J45" s="759"/>
    </row>
  </sheetData>
  <autoFilter ref="D14:J21" xr:uid="{00000000-0001-0000-0A00-000000000000}"/>
  <customSheetViews>
    <customSheetView guid="{2226E858-00AE-4A92-8CF6-5B54D2FA62D4}" showPageBreaks="1">
      <selection activeCell="D8" sqref="D8:K11"/>
      <pageMargins left="0.7" right="0.7" top="0.75" bottom="0.75" header="0.3" footer="0.3"/>
      <pageSetup orientation="portrait" r:id="rId1"/>
    </customSheetView>
  </customSheetViews>
  <mergeCells count="2">
    <mergeCell ref="H1:J1"/>
    <mergeCell ref="F1:G1"/>
  </mergeCells>
  <pageMargins left="0.7" right="0.7" top="0.75" bottom="0.75" header="0.3" footer="0.3"/>
  <pageSetup orientation="portrait" r:id="rId2"/>
  <legacyDrawing r:id="rId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92D050"/>
  </sheetPr>
  <dimension ref="A1:AL88"/>
  <sheetViews>
    <sheetView topLeftCell="A40" workbookViewId="0">
      <selection activeCell="V53" sqref="V53"/>
    </sheetView>
  </sheetViews>
  <sheetFormatPr defaultColWidth="9.140625" defaultRowHeight="15" customHeight="1"/>
  <cols>
    <col min="1" max="1" width="2.85546875" style="420" customWidth="1"/>
    <col min="2" max="35" width="7.85546875" style="420" customWidth="1"/>
    <col min="36" max="16384" width="9.140625" style="420"/>
  </cols>
  <sheetData>
    <row r="1" spans="1:38" ht="15" customHeight="1" thickBot="1">
      <c r="A1" s="629"/>
      <c r="B1" t="s">
        <v>764</v>
      </c>
      <c r="C1" s="629"/>
      <c r="D1" s="629"/>
      <c r="E1" s="629"/>
      <c r="F1" s="629"/>
      <c r="G1" s="629"/>
      <c r="H1" s="629"/>
      <c r="I1" s="629"/>
      <c r="J1" s="629"/>
      <c r="K1" s="629"/>
      <c r="L1" s="629"/>
      <c r="M1" s="629"/>
      <c r="N1" s="629"/>
      <c r="O1" s="629"/>
      <c r="P1" s="629"/>
      <c r="Q1" s="629"/>
      <c r="R1" s="629"/>
      <c r="S1" s="629"/>
      <c r="T1" s="629"/>
      <c r="U1" s="629"/>
      <c r="V1" s="629"/>
      <c r="W1" s="629"/>
      <c r="X1" s="629"/>
      <c r="Y1" s="629"/>
      <c r="Z1" s="629"/>
      <c r="AA1" s="629"/>
      <c r="AB1" s="629"/>
      <c r="AC1" s="629"/>
      <c r="AD1" s="629"/>
      <c r="AE1" s="629"/>
      <c r="AF1" s="629"/>
      <c r="AG1" s="629"/>
      <c r="AH1" s="629"/>
      <c r="AI1" s="629"/>
    </row>
    <row r="2" spans="1:38" ht="15" customHeight="1" thickBot="1">
      <c r="A2" s="629"/>
      <c r="B2" s="629"/>
      <c r="C2" s="629"/>
      <c r="D2" s="629"/>
      <c r="E2" s="629"/>
      <c r="F2" s="629"/>
      <c r="G2" s="629"/>
      <c r="H2" s="629"/>
      <c r="I2" s="629"/>
      <c r="J2" s="629"/>
      <c r="K2" s="629"/>
      <c r="L2" s="629"/>
      <c r="M2" s="629"/>
      <c r="N2" s="629"/>
      <c r="O2" s="629"/>
      <c r="P2" s="629"/>
      <c r="Q2" s="629"/>
      <c r="R2" s="629"/>
      <c r="S2" s="629"/>
      <c r="T2" s="629"/>
      <c r="U2" s="629"/>
      <c r="V2" s="629"/>
      <c r="W2" s="629"/>
      <c r="X2" s="629"/>
      <c r="Y2" s="629"/>
      <c r="Z2" s="629"/>
      <c r="AA2" s="629"/>
      <c r="AB2" s="629"/>
      <c r="AC2" s="629"/>
      <c r="AD2" s="629"/>
      <c r="AE2" s="629"/>
      <c r="AF2" s="629"/>
      <c r="AG2" s="629"/>
      <c r="AH2" s="629"/>
      <c r="AI2" s="629"/>
      <c r="AK2" s="620" t="s">
        <v>705</v>
      </c>
      <c r="AL2" s="620"/>
    </row>
    <row r="3" spans="1:38" ht="15" customHeight="1">
      <c r="A3" s="629"/>
      <c r="B3" s="969" t="s">
        <v>556</v>
      </c>
      <c r="C3" s="969"/>
      <c r="D3" s="969"/>
      <c r="E3" s="969"/>
      <c r="F3" s="969"/>
      <c r="G3" s="969"/>
      <c r="H3" s="969"/>
      <c r="I3" s="969"/>
      <c r="J3" s="969"/>
      <c r="K3" s="969"/>
      <c r="L3" s="969"/>
      <c r="M3" s="969"/>
      <c r="N3" s="969"/>
      <c r="O3" s="969"/>
      <c r="P3" s="969"/>
      <c r="Q3" s="969"/>
      <c r="R3" s="969"/>
      <c r="S3" s="969" t="str">
        <f>B3</f>
        <v>Table 4</v>
      </c>
      <c r="T3" s="969"/>
      <c r="U3" s="969"/>
      <c r="V3" s="969"/>
      <c r="W3" s="969"/>
      <c r="X3" s="969"/>
      <c r="Y3" s="969"/>
      <c r="Z3" s="969"/>
      <c r="AA3" s="969"/>
      <c r="AB3" s="969"/>
      <c r="AC3" s="969"/>
      <c r="AD3" s="969"/>
      <c r="AE3" s="969"/>
      <c r="AF3" s="969"/>
      <c r="AG3" s="969"/>
      <c r="AH3" s="969"/>
      <c r="AI3" s="969"/>
    </row>
    <row r="4" spans="1:38" ht="15" customHeight="1">
      <c r="A4" s="629"/>
      <c r="B4" s="971" t="s">
        <v>557</v>
      </c>
      <c r="C4" s="971"/>
      <c r="D4" s="971"/>
      <c r="E4" s="971"/>
      <c r="F4" s="971"/>
      <c r="G4" s="971"/>
      <c r="H4" s="971"/>
      <c r="I4" s="971"/>
      <c r="J4" s="971"/>
      <c r="K4" s="971"/>
      <c r="L4" s="971"/>
      <c r="M4" s="971"/>
      <c r="N4" s="971"/>
      <c r="O4" s="971"/>
      <c r="P4" s="971"/>
      <c r="Q4" s="971"/>
      <c r="R4" s="971"/>
      <c r="S4" s="971" t="str">
        <f>B4</f>
        <v>Appropriations Borrowing Rates</v>
      </c>
      <c r="T4" s="971"/>
      <c r="U4" s="971"/>
      <c r="V4" s="971"/>
      <c r="W4" s="971"/>
      <c r="X4" s="971"/>
      <c r="Y4" s="971"/>
      <c r="Z4" s="971"/>
      <c r="AA4" s="971"/>
      <c r="AB4" s="971"/>
      <c r="AC4" s="971"/>
      <c r="AD4" s="971"/>
      <c r="AE4" s="971"/>
      <c r="AF4" s="971"/>
      <c r="AG4" s="971"/>
      <c r="AH4" s="971"/>
      <c r="AI4" s="971"/>
    </row>
    <row r="5" spans="1:38" ht="15" customHeight="1">
      <c r="A5" s="629"/>
      <c r="B5" s="972" t="s">
        <v>786</v>
      </c>
      <c r="C5" s="972"/>
      <c r="D5" s="972"/>
      <c r="E5" s="972"/>
      <c r="F5" s="972"/>
      <c r="G5" s="972"/>
      <c r="H5" s="972"/>
      <c r="I5" s="972"/>
      <c r="J5" s="972"/>
      <c r="K5" s="972"/>
      <c r="L5" s="972"/>
      <c r="M5" s="972"/>
      <c r="N5" s="972"/>
      <c r="O5" s="972"/>
      <c r="P5" s="972"/>
      <c r="Q5" s="972"/>
      <c r="R5" s="972"/>
      <c r="S5" s="972" t="str">
        <f>B5</f>
        <v>BPA Fiscal Years 2022-2051</v>
      </c>
      <c r="T5" s="972"/>
      <c r="U5" s="972"/>
      <c r="V5" s="972"/>
      <c r="W5" s="972"/>
      <c r="X5" s="972"/>
      <c r="Y5" s="972"/>
      <c r="Z5" s="972"/>
      <c r="AA5" s="972"/>
      <c r="AB5" s="972"/>
      <c r="AC5" s="972"/>
      <c r="AD5" s="972"/>
      <c r="AE5" s="972"/>
      <c r="AF5" s="972"/>
      <c r="AG5" s="972"/>
      <c r="AH5" s="972"/>
      <c r="AI5" s="972"/>
    </row>
    <row r="6" spans="1:38" ht="15" customHeight="1">
      <c r="A6" s="629"/>
      <c r="B6" s="969" t="s">
        <v>558</v>
      </c>
      <c r="C6" s="969"/>
      <c r="D6" s="969"/>
      <c r="E6" s="969"/>
      <c r="F6" s="969"/>
      <c r="G6" s="969"/>
      <c r="H6" s="969"/>
      <c r="I6" s="969"/>
      <c r="J6" s="969"/>
      <c r="K6" s="969"/>
      <c r="L6" s="969"/>
      <c r="M6" s="969"/>
      <c r="N6" s="969"/>
      <c r="O6" s="969"/>
      <c r="P6" s="969"/>
      <c r="Q6" s="969"/>
      <c r="R6" s="969"/>
      <c r="S6" s="630"/>
      <c r="T6" s="630"/>
      <c r="U6" s="630"/>
      <c r="V6" s="630"/>
      <c r="W6" s="630"/>
      <c r="X6" s="630"/>
      <c r="Y6" s="630"/>
      <c r="Z6" s="630"/>
      <c r="AA6" s="630"/>
      <c r="AB6" s="630"/>
      <c r="AC6" s="630"/>
      <c r="AD6" s="630"/>
      <c r="AE6" s="630"/>
      <c r="AF6" s="630"/>
      <c r="AG6" s="630"/>
      <c r="AH6" s="630"/>
      <c r="AI6" s="630"/>
    </row>
    <row r="7" spans="1:38" ht="15" customHeight="1" thickBot="1">
      <c r="A7" s="629"/>
      <c r="B7" s="970" t="s">
        <v>559</v>
      </c>
      <c r="C7" s="970"/>
      <c r="D7" s="970"/>
      <c r="E7" s="970"/>
      <c r="F7" s="970"/>
      <c r="G7" s="970"/>
      <c r="H7" s="970"/>
      <c r="I7" s="970"/>
      <c r="J7" s="970"/>
      <c r="K7" s="970"/>
      <c r="L7" s="970"/>
      <c r="M7" s="970"/>
      <c r="N7" s="970"/>
      <c r="O7" s="970"/>
      <c r="P7" s="970"/>
      <c r="Q7" s="970"/>
      <c r="R7" s="970"/>
      <c r="S7" s="970" t="s">
        <v>559</v>
      </c>
      <c r="T7" s="970"/>
      <c r="U7" s="970"/>
      <c r="V7" s="970"/>
      <c r="W7" s="970"/>
      <c r="X7" s="970"/>
      <c r="Y7" s="970"/>
      <c r="Z7" s="970"/>
      <c r="AA7" s="970"/>
      <c r="AB7" s="970"/>
      <c r="AC7" s="970"/>
      <c r="AD7" s="970"/>
      <c r="AE7" s="970"/>
      <c r="AF7" s="970"/>
      <c r="AG7" s="970"/>
      <c r="AH7" s="970"/>
      <c r="AI7" s="970"/>
    </row>
    <row r="8" spans="1:38" ht="15" customHeight="1">
      <c r="A8" s="629"/>
      <c r="B8" s="650" t="s">
        <v>554</v>
      </c>
      <c r="C8" s="651"/>
      <c r="D8" s="652" t="s">
        <v>560</v>
      </c>
      <c r="E8" s="631" t="s">
        <v>561</v>
      </c>
      <c r="F8" s="631" t="s">
        <v>562</v>
      </c>
      <c r="G8" s="631" t="s">
        <v>563</v>
      </c>
      <c r="H8" s="631" t="s">
        <v>564</v>
      </c>
      <c r="I8" s="631" t="s">
        <v>565</v>
      </c>
      <c r="J8" s="631" t="s">
        <v>566</v>
      </c>
      <c r="K8" s="631" t="s">
        <v>567</v>
      </c>
      <c r="L8" s="631" t="s">
        <v>568</v>
      </c>
      <c r="M8" s="631" t="s">
        <v>569</v>
      </c>
      <c r="N8" s="631" t="s">
        <v>570</v>
      </c>
      <c r="O8" s="631" t="s">
        <v>571</v>
      </c>
      <c r="P8" s="631" t="s">
        <v>572</v>
      </c>
      <c r="Q8" s="631" t="s">
        <v>573</v>
      </c>
      <c r="R8" s="631" t="s">
        <v>574</v>
      </c>
      <c r="S8" s="631" t="s">
        <v>575</v>
      </c>
      <c r="T8" s="631" t="s">
        <v>576</v>
      </c>
      <c r="U8" s="631" t="s">
        <v>577</v>
      </c>
      <c r="V8" s="631" t="s">
        <v>578</v>
      </c>
      <c r="W8" s="631" t="s">
        <v>579</v>
      </c>
      <c r="X8" s="631" t="s">
        <v>580</v>
      </c>
      <c r="Y8" s="631" t="s">
        <v>581</v>
      </c>
      <c r="Z8" s="631" t="s">
        <v>582</v>
      </c>
      <c r="AA8" s="631" t="s">
        <v>583</v>
      </c>
      <c r="AB8" s="631" t="s">
        <v>584</v>
      </c>
      <c r="AC8" s="631" t="s">
        <v>585</v>
      </c>
      <c r="AD8" s="631" t="s">
        <v>586</v>
      </c>
      <c r="AE8" s="631" t="s">
        <v>587</v>
      </c>
      <c r="AF8" s="631" t="s">
        <v>588</v>
      </c>
      <c r="AG8" s="631" t="s">
        <v>589</v>
      </c>
      <c r="AH8" s="631" t="s">
        <v>590</v>
      </c>
      <c r="AI8" s="631" t="s">
        <v>554</v>
      </c>
    </row>
    <row r="9" spans="1:38" ht="15" customHeight="1">
      <c r="A9" s="629"/>
      <c r="B9" s="653">
        <v>2024</v>
      </c>
      <c r="C9" s="633"/>
      <c r="D9" s="654">
        <v>5.28125</v>
      </c>
      <c r="E9" s="634">
        <v>4.885416666666667</v>
      </c>
      <c r="F9" s="634">
        <v>4.65625</v>
      </c>
      <c r="G9" s="634">
        <v>4.5</v>
      </c>
      <c r="H9" s="634">
        <v>4.40625</v>
      </c>
      <c r="I9" s="634">
        <v>4.375</v>
      </c>
      <c r="J9" s="634">
        <v>4.375</v>
      </c>
      <c r="K9" s="634">
        <v>4.375</v>
      </c>
      <c r="L9" s="634">
        <v>4.291666666666667</v>
      </c>
      <c r="M9" s="634">
        <v>4.25</v>
      </c>
      <c r="N9" s="634">
        <v>4.375</v>
      </c>
      <c r="O9" s="634">
        <v>4.375</v>
      </c>
      <c r="P9" s="634">
        <v>4.385416666666667</v>
      </c>
      <c r="Q9" s="634">
        <v>4.5</v>
      </c>
      <c r="R9" s="634">
        <v>4.5</v>
      </c>
      <c r="S9" s="634">
        <v>4.5</v>
      </c>
      <c r="T9" s="634">
        <v>4.583333333333333</v>
      </c>
      <c r="U9" s="634">
        <v>4.625</v>
      </c>
      <c r="V9" s="634">
        <v>4.625</v>
      </c>
      <c r="W9" s="634">
        <v>4.625</v>
      </c>
      <c r="X9" s="634">
        <v>4.552083333333333</v>
      </c>
      <c r="Y9" s="634">
        <v>4.5</v>
      </c>
      <c r="Z9" s="634">
        <v>4.5</v>
      </c>
      <c r="AA9" s="634">
        <v>4.5</v>
      </c>
      <c r="AB9" s="634">
        <v>4.5</v>
      </c>
      <c r="AC9" s="634">
        <v>4.5</v>
      </c>
      <c r="AD9" s="634">
        <v>4.447916666666667</v>
      </c>
      <c r="AE9" s="634">
        <v>4.375</v>
      </c>
      <c r="AF9" s="634">
        <v>4.375</v>
      </c>
      <c r="AG9" s="634">
        <v>4.375</v>
      </c>
      <c r="AH9" s="634">
        <v>4.375</v>
      </c>
      <c r="AI9" s="632">
        <v>2022</v>
      </c>
      <c r="AJ9" s="422"/>
    </row>
    <row r="10" spans="1:38" ht="15" customHeight="1">
      <c r="A10" s="629"/>
      <c r="B10" s="653">
        <v>2025</v>
      </c>
      <c r="C10" s="633"/>
      <c r="D10" s="654">
        <v>3.5970184375000001</v>
      </c>
      <c r="E10" s="634">
        <v>3.4093130624999999</v>
      </c>
      <c r="F10" s="634">
        <v>3.3508225624999999</v>
      </c>
      <c r="G10" s="634">
        <v>3.2923320624999999</v>
      </c>
      <c r="H10" s="634">
        <v>3.2338415624999999</v>
      </c>
      <c r="I10" s="634">
        <v>3.2732057000000001</v>
      </c>
      <c r="J10" s="634">
        <v>3.3125698375000003</v>
      </c>
      <c r="K10" s="634">
        <v>3.3519339750000006</v>
      </c>
      <c r="L10" s="634">
        <v>3.3912981125000008</v>
      </c>
      <c r="M10" s="634">
        <v>3.4306622500000001</v>
      </c>
      <c r="N10" s="634">
        <v>3.4465709812500003</v>
      </c>
      <c r="O10" s="634">
        <v>3.4624797125000004</v>
      </c>
      <c r="P10" s="634">
        <v>3.4783884437500006</v>
      </c>
      <c r="Q10" s="634">
        <v>3.4942971750000007</v>
      </c>
      <c r="R10" s="634">
        <v>3.5102059062500008</v>
      </c>
      <c r="S10" s="634">
        <v>3.526114637500001</v>
      </c>
      <c r="T10" s="634">
        <v>3.5420233687500011</v>
      </c>
      <c r="U10" s="634">
        <v>3.5579321000000013</v>
      </c>
      <c r="V10" s="634">
        <v>3.5738408312500014</v>
      </c>
      <c r="W10" s="634">
        <v>3.5897495625000015</v>
      </c>
      <c r="X10" s="634">
        <v>3.6056582937500017</v>
      </c>
      <c r="Y10" s="634">
        <v>3.6215670250000018</v>
      </c>
      <c r="Z10" s="634">
        <v>3.637475756250002</v>
      </c>
      <c r="AA10" s="634">
        <v>3.6533844875000021</v>
      </c>
      <c r="AB10" s="634">
        <v>3.6692932187500023</v>
      </c>
      <c r="AC10" s="634">
        <v>3.6852019500000024</v>
      </c>
      <c r="AD10" s="634">
        <v>3.7011106812500025</v>
      </c>
      <c r="AE10" s="634">
        <v>3.7170194125000027</v>
      </c>
      <c r="AF10" s="634">
        <v>3.7329281437500028</v>
      </c>
      <c r="AG10" s="634">
        <v>3.7488368749999998</v>
      </c>
      <c r="AH10" s="634">
        <v>3.7488368749999998</v>
      </c>
      <c r="AI10" s="632">
        <v>2023</v>
      </c>
      <c r="AJ10" s="422"/>
    </row>
    <row r="11" spans="1:38" ht="15" customHeight="1">
      <c r="A11" s="635"/>
      <c r="B11" s="653">
        <v>2026</v>
      </c>
      <c r="C11" s="633"/>
      <c r="D11" s="654">
        <v>3.0152412499999999</v>
      </c>
      <c r="E11" s="634">
        <v>3.0255380000000001</v>
      </c>
      <c r="F11" s="634">
        <v>3.0250351874999999</v>
      </c>
      <c r="G11" s="634">
        <v>3.0245323749999997</v>
      </c>
      <c r="H11" s="634">
        <v>3.0240295625</v>
      </c>
      <c r="I11" s="634">
        <v>3.0714350000000001</v>
      </c>
      <c r="J11" s="634">
        <v>3.1188404375000003</v>
      </c>
      <c r="K11" s="634">
        <v>3.1662458750000004</v>
      </c>
      <c r="L11" s="634">
        <v>3.2136513125000006</v>
      </c>
      <c r="M11" s="634">
        <v>3.2610567500000003</v>
      </c>
      <c r="N11" s="634">
        <v>3.2791371031250001</v>
      </c>
      <c r="O11" s="634">
        <v>3.2972174562499998</v>
      </c>
      <c r="P11" s="634">
        <v>3.3152978093749996</v>
      </c>
      <c r="Q11" s="634">
        <v>3.3333781624999994</v>
      </c>
      <c r="R11" s="634">
        <v>3.3514585156249992</v>
      </c>
      <c r="S11" s="634">
        <v>3.369538868749999</v>
      </c>
      <c r="T11" s="634">
        <v>3.3876192218749988</v>
      </c>
      <c r="U11" s="634">
        <v>3.4056995749999985</v>
      </c>
      <c r="V11" s="634">
        <v>3.4237799281249983</v>
      </c>
      <c r="W11" s="634">
        <v>3.4418602812499981</v>
      </c>
      <c r="X11" s="634">
        <v>3.4599406343749979</v>
      </c>
      <c r="Y11" s="634">
        <v>3.4780209874999977</v>
      </c>
      <c r="Z11" s="634">
        <v>3.4961013406249974</v>
      </c>
      <c r="AA11" s="634">
        <v>3.5141816937499972</v>
      </c>
      <c r="AB11" s="634">
        <v>3.532262046874997</v>
      </c>
      <c r="AC11" s="634">
        <v>3.5503423999999968</v>
      </c>
      <c r="AD11" s="634">
        <v>3.5684227531249966</v>
      </c>
      <c r="AE11" s="634">
        <v>3.5865031062499964</v>
      </c>
      <c r="AF11" s="634">
        <v>3.6045834593749961</v>
      </c>
      <c r="AG11" s="634">
        <v>3.6226638124999999</v>
      </c>
      <c r="AH11" s="634">
        <v>3.6226638124999999</v>
      </c>
      <c r="AI11" s="632">
        <v>2024</v>
      </c>
      <c r="AJ11" s="422"/>
    </row>
    <row r="12" spans="1:38" ht="15" customHeight="1">
      <c r="A12" s="635"/>
      <c r="B12" s="653">
        <v>2027</v>
      </c>
      <c r="C12" s="633"/>
      <c r="D12" s="654">
        <v>2.9219194375000002</v>
      </c>
      <c r="E12" s="634">
        <v>2.9770272499999999</v>
      </c>
      <c r="F12" s="634">
        <v>2.9831034583333333</v>
      </c>
      <c r="G12" s="634">
        <v>2.9891796666666668</v>
      </c>
      <c r="H12" s="634">
        <v>2.9952558749999998</v>
      </c>
      <c r="I12" s="634">
        <v>3.0399442249999997</v>
      </c>
      <c r="J12" s="634">
        <v>3.0846325749999997</v>
      </c>
      <c r="K12" s="634">
        <v>3.1293209249999996</v>
      </c>
      <c r="L12" s="634">
        <v>3.1740092749999995</v>
      </c>
      <c r="M12" s="634">
        <v>3.2186976249999995</v>
      </c>
      <c r="N12" s="634">
        <v>3.2372328656249993</v>
      </c>
      <c r="O12" s="634">
        <v>3.2557681062499992</v>
      </c>
      <c r="P12" s="634">
        <v>3.2743033468749991</v>
      </c>
      <c r="Q12" s="634">
        <v>3.292838587499999</v>
      </c>
      <c r="R12" s="634">
        <v>3.3113738281249989</v>
      </c>
      <c r="S12" s="634">
        <v>3.3299090687499988</v>
      </c>
      <c r="T12" s="634">
        <v>3.3484443093749987</v>
      </c>
      <c r="U12" s="634">
        <v>3.3669795499999986</v>
      </c>
      <c r="V12" s="634">
        <v>3.3855147906249985</v>
      </c>
      <c r="W12" s="634">
        <v>3.4040500312499984</v>
      </c>
      <c r="X12" s="634">
        <v>3.4225852718749983</v>
      </c>
      <c r="Y12" s="634">
        <v>3.4411205124999982</v>
      </c>
      <c r="Z12" s="634">
        <v>3.4596557531249981</v>
      </c>
      <c r="AA12" s="634">
        <v>3.478190993749998</v>
      </c>
      <c r="AB12" s="634">
        <v>3.4967262343749979</v>
      </c>
      <c r="AC12" s="634">
        <v>3.5152614749999977</v>
      </c>
      <c r="AD12" s="634">
        <v>3.5337967156249976</v>
      </c>
      <c r="AE12" s="634">
        <v>3.5523319562499975</v>
      </c>
      <c r="AF12" s="634">
        <v>3.5708671968749974</v>
      </c>
      <c r="AG12" s="634">
        <v>3.5894024375</v>
      </c>
      <c r="AH12" s="634">
        <v>3.5894024375</v>
      </c>
      <c r="AI12" s="632">
        <v>2025</v>
      </c>
      <c r="AJ12" s="422"/>
    </row>
    <row r="13" spans="1:38" ht="15" customHeight="1">
      <c r="A13" s="635"/>
      <c r="B13" s="653">
        <v>2028</v>
      </c>
      <c r="C13" s="633"/>
      <c r="D13" s="654">
        <v>2.9266443124999997</v>
      </c>
      <c r="E13" s="634">
        <v>2.981427375</v>
      </c>
      <c r="F13" s="634">
        <v>2.9844631458333333</v>
      </c>
      <c r="G13" s="634">
        <v>2.9874989166666666</v>
      </c>
      <c r="H13" s="634">
        <v>2.9905346875000003</v>
      </c>
      <c r="I13" s="634">
        <v>3.0331819625000005</v>
      </c>
      <c r="J13" s="634">
        <v>3.0758292375000007</v>
      </c>
      <c r="K13" s="634">
        <v>3.1184765125000009</v>
      </c>
      <c r="L13" s="634">
        <v>3.1611237875000011</v>
      </c>
      <c r="M13" s="634">
        <v>3.2037710625000004</v>
      </c>
      <c r="N13" s="634">
        <v>3.2224655125000004</v>
      </c>
      <c r="O13" s="634">
        <v>3.2411599625000003</v>
      </c>
      <c r="P13" s="634">
        <v>3.2598544125000002</v>
      </c>
      <c r="Q13" s="634">
        <v>3.2785488625000001</v>
      </c>
      <c r="R13" s="634">
        <v>3.2972433125</v>
      </c>
      <c r="S13" s="634">
        <v>3.3159377624999999</v>
      </c>
      <c r="T13" s="634">
        <v>3.3346322124999999</v>
      </c>
      <c r="U13" s="634">
        <v>3.3533266624999998</v>
      </c>
      <c r="V13" s="634">
        <v>3.3720211124999997</v>
      </c>
      <c r="W13" s="634">
        <v>3.3907155624999996</v>
      </c>
      <c r="X13" s="634">
        <v>3.4094100124999995</v>
      </c>
      <c r="Y13" s="634">
        <v>3.4281044624999994</v>
      </c>
      <c r="Z13" s="634">
        <v>3.4467989124999994</v>
      </c>
      <c r="AA13" s="634">
        <v>3.4654933624999993</v>
      </c>
      <c r="AB13" s="634">
        <v>3.4841878124999992</v>
      </c>
      <c r="AC13" s="634">
        <v>3.5028822624999991</v>
      </c>
      <c r="AD13" s="634">
        <v>3.521576712499999</v>
      </c>
      <c r="AE13" s="634">
        <v>3.540271162499999</v>
      </c>
      <c r="AF13" s="634">
        <v>3.5589656124999989</v>
      </c>
      <c r="AG13" s="634">
        <v>3.5776600625000001</v>
      </c>
      <c r="AH13" s="634">
        <v>3.5776600625000001</v>
      </c>
      <c r="AI13" s="632">
        <v>2026</v>
      </c>
      <c r="AJ13" s="422"/>
    </row>
    <row r="14" spans="1:38" ht="15" customHeight="1">
      <c r="A14" s="635"/>
      <c r="B14" s="653">
        <v>2029</v>
      </c>
      <c r="C14" s="633"/>
      <c r="D14" s="654">
        <v>2.9312021249999995</v>
      </c>
      <c r="E14" s="634">
        <v>2.9833728749999997</v>
      </c>
      <c r="F14" s="634">
        <v>2.9832193124999997</v>
      </c>
      <c r="G14" s="634">
        <v>2.9830657499999997</v>
      </c>
      <c r="H14" s="634">
        <v>2.9829121874999998</v>
      </c>
      <c r="I14" s="634">
        <v>3.0239116875000001</v>
      </c>
      <c r="J14" s="634">
        <v>3.0649111875000004</v>
      </c>
      <c r="K14" s="634">
        <v>3.1059106875000007</v>
      </c>
      <c r="L14" s="634">
        <v>3.146910187500001</v>
      </c>
      <c r="M14" s="634">
        <v>3.1879096875000004</v>
      </c>
      <c r="N14" s="634">
        <v>3.2067195062500002</v>
      </c>
      <c r="O14" s="634">
        <v>3.2255293250000001</v>
      </c>
      <c r="P14" s="634">
        <v>3.24433914375</v>
      </c>
      <c r="Q14" s="634">
        <v>3.2631489624999999</v>
      </c>
      <c r="R14" s="634">
        <v>3.2819587812499997</v>
      </c>
      <c r="S14" s="634">
        <v>3.3007685999999996</v>
      </c>
      <c r="T14" s="634">
        <v>3.3195784187499995</v>
      </c>
      <c r="U14" s="634">
        <v>3.3383882374999994</v>
      </c>
      <c r="V14" s="634">
        <v>3.3571980562499992</v>
      </c>
      <c r="W14" s="634">
        <v>3.3760078749999991</v>
      </c>
      <c r="X14" s="634">
        <v>3.394817693749999</v>
      </c>
      <c r="Y14" s="634">
        <v>3.4136275124999989</v>
      </c>
      <c r="Z14" s="634">
        <v>3.4324373312499987</v>
      </c>
      <c r="AA14" s="634">
        <v>3.4512471499999986</v>
      </c>
      <c r="AB14" s="634">
        <v>3.4700569687499985</v>
      </c>
      <c r="AC14" s="634">
        <v>3.4888667874999983</v>
      </c>
      <c r="AD14" s="634">
        <v>3.5076766062499982</v>
      </c>
      <c r="AE14" s="634">
        <v>3.5264864249999981</v>
      </c>
      <c r="AF14" s="634">
        <v>3.545296243749998</v>
      </c>
      <c r="AG14" s="634">
        <v>3.5641060625000001</v>
      </c>
      <c r="AH14" s="634">
        <v>3.5641060625000001</v>
      </c>
      <c r="AI14" s="632">
        <v>2027</v>
      </c>
      <c r="AJ14" s="422"/>
    </row>
    <row r="15" spans="1:38" ht="15" customHeight="1">
      <c r="A15" s="635"/>
      <c r="B15" s="653">
        <v>2030</v>
      </c>
      <c r="C15" s="633"/>
      <c r="D15" s="654">
        <v>2.9339403749999997</v>
      </c>
      <c r="E15" s="634">
        <v>2.9838943124999999</v>
      </c>
      <c r="F15" s="634">
        <v>2.9814147499999999</v>
      </c>
      <c r="G15" s="634">
        <v>2.9789351874999999</v>
      </c>
      <c r="H15" s="634">
        <v>2.9764556249999998</v>
      </c>
      <c r="I15" s="634">
        <v>3.0163294124999998</v>
      </c>
      <c r="J15" s="634">
        <v>3.0562031999999997</v>
      </c>
      <c r="K15" s="634">
        <v>3.0960769874999996</v>
      </c>
      <c r="L15" s="634">
        <v>3.1359507749999995</v>
      </c>
      <c r="M15" s="634">
        <v>3.1758245624999999</v>
      </c>
      <c r="N15" s="634">
        <v>3.1947109562499998</v>
      </c>
      <c r="O15" s="634">
        <v>3.2135973499999997</v>
      </c>
      <c r="P15" s="634">
        <v>3.2324837437499996</v>
      </c>
      <c r="Q15" s="634">
        <v>3.2513701374999995</v>
      </c>
      <c r="R15" s="634">
        <v>3.2702565312499994</v>
      </c>
      <c r="S15" s="634">
        <v>3.2891429249999993</v>
      </c>
      <c r="T15" s="634">
        <v>3.3080293187499992</v>
      </c>
      <c r="U15" s="634">
        <v>3.3269157124999991</v>
      </c>
      <c r="V15" s="634">
        <v>3.345802106249999</v>
      </c>
      <c r="W15" s="634">
        <v>3.3646884999999989</v>
      </c>
      <c r="X15" s="634">
        <v>3.3835748937499988</v>
      </c>
      <c r="Y15" s="634">
        <v>3.4024612874999987</v>
      </c>
      <c r="Z15" s="634">
        <v>3.4213476812499986</v>
      </c>
      <c r="AA15" s="634">
        <v>3.4402340749999984</v>
      </c>
      <c r="AB15" s="634">
        <v>3.4591204687499983</v>
      </c>
      <c r="AC15" s="634">
        <v>3.4780068624999982</v>
      </c>
      <c r="AD15" s="634">
        <v>3.4968932562499981</v>
      </c>
      <c r="AE15" s="634">
        <v>3.515779649999998</v>
      </c>
      <c r="AF15" s="634">
        <v>3.5346660437499979</v>
      </c>
      <c r="AG15" s="634">
        <v>3.5535524375</v>
      </c>
      <c r="AH15" s="634">
        <v>3.5535524375</v>
      </c>
      <c r="AI15" s="632">
        <v>2028</v>
      </c>
      <c r="AJ15" s="422"/>
    </row>
    <row r="16" spans="1:38" ht="15" customHeight="1">
      <c r="A16" s="635"/>
      <c r="B16" s="653">
        <v>2031</v>
      </c>
      <c r="C16" s="633"/>
      <c r="D16" s="654">
        <v>2.9369726874999995</v>
      </c>
      <c r="E16" s="634">
        <v>2.9853642499999999</v>
      </c>
      <c r="F16" s="634">
        <v>2.9813115208333332</v>
      </c>
      <c r="G16" s="634">
        <v>2.9772587916666664</v>
      </c>
      <c r="H16" s="634">
        <v>2.9732060625000001</v>
      </c>
      <c r="I16" s="634">
        <v>3.01234695</v>
      </c>
      <c r="J16" s="634">
        <v>3.0514878374999999</v>
      </c>
      <c r="K16" s="634">
        <v>3.0906287249999997</v>
      </c>
      <c r="L16" s="634">
        <v>3.1297696124999996</v>
      </c>
      <c r="M16" s="634">
        <v>3.1689105</v>
      </c>
      <c r="N16" s="634">
        <v>3.1878402124999998</v>
      </c>
      <c r="O16" s="634">
        <v>3.2067699249999997</v>
      </c>
      <c r="P16" s="634">
        <v>3.2256996374999996</v>
      </c>
      <c r="Q16" s="634">
        <v>3.2446293499999994</v>
      </c>
      <c r="R16" s="634">
        <v>3.2635590624999993</v>
      </c>
      <c r="S16" s="634">
        <v>3.2824887749999991</v>
      </c>
      <c r="T16" s="634">
        <v>3.301418487499999</v>
      </c>
      <c r="U16" s="634">
        <v>3.3203481999999989</v>
      </c>
      <c r="V16" s="634">
        <v>3.3392779124999987</v>
      </c>
      <c r="W16" s="634">
        <v>3.3582076249999986</v>
      </c>
      <c r="X16" s="634">
        <v>3.3771373374999984</v>
      </c>
      <c r="Y16" s="634">
        <v>3.3960670499999983</v>
      </c>
      <c r="Z16" s="634">
        <v>3.4149967624999982</v>
      </c>
      <c r="AA16" s="634">
        <v>3.433926474999998</v>
      </c>
      <c r="AB16" s="634">
        <v>3.4528561874999979</v>
      </c>
      <c r="AC16" s="634">
        <v>3.4717858999999978</v>
      </c>
      <c r="AD16" s="634">
        <v>3.4907156124999976</v>
      </c>
      <c r="AE16" s="634">
        <v>3.5096453249999975</v>
      </c>
      <c r="AF16" s="634">
        <v>3.5285750374999973</v>
      </c>
      <c r="AG16" s="634">
        <v>3.5475047500000003</v>
      </c>
      <c r="AH16" s="634">
        <v>3.5475047500000003</v>
      </c>
      <c r="AI16" s="632">
        <v>2029</v>
      </c>
      <c r="AJ16" s="422"/>
    </row>
    <row r="17" spans="1:36" ht="15" customHeight="1">
      <c r="A17" s="635"/>
      <c r="B17" s="653">
        <v>2032</v>
      </c>
      <c r="C17" s="633"/>
      <c r="D17" s="654">
        <v>2.9382118750000004</v>
      </c>
      <c r="E17" s="634">
        <v>2.9858663750000005</v>
      </c>
      <c r="F17" s="634">
        <v>2.9810961458333338</v>
      </c>
      <c r="G17" s="634">
        <v>2.9763259166666671</v>
      </c>
      <c r="H17" s="634">
        <v>2.9715556875000004</v>
      </c>
      <c r="I17" s="634">
        <v>3.0103725500000005</v>
      </c>
      <c r="J17" s="634">
        <v>3.0491894125000005</v>
      </c>
      <c r="K17" s="634">
        <v>3.0880062750000006</v>
      </c>
      <c r="L17" s="634">
        <v>3.1268231375000006</v>
      </c>
      <c r="M17" s="634">
        <v>3.1656400000000002</v>
      </c>
      <c r="N17" s="634">
        <v>3.184592925</v>
      </c>
      <c r="O17" s="634">
        <v>3.2035458499999998</v>
      </c>
      <c r="P17" s="634">
        <v>3.2224987749999996</v>
      </c>
      <c r="Q17" s="634">
        <v>3.2414516999999994</v>
      </c>
      <c r="R17" s="634">
        <v>3.2604046249999992</v>
      </c>
      <c r="S17" s="634">
        <v>3.279357549999999</v>
      </c>
      <c r="T17" s="634">
        <v>3.2983104749999987</v>
      </c>
      <c r="U17" s="634">
        <v>3.3172633999999985</v>
      </c>
      <c r="V17" s="634">
        <v>3.3362163249999983</v>
      </c>
      <c r="W17" s="634">
        <v>3.3551692499999981</v>
      </c>
      <c r="X17" s="634">
        <v>3.3741221749999979</v>
      </c>
      <c r="Y17" s="634">
        <v>3.3930750999999977</v>
      </c>
      <c r="Z17" s="634">
        <v>3.4120280249999975</v>
      </c>
      <c r="AA17" s="634">
        <v>3.4309809499999973</v>
      </c>
      <c r="AB17" s="634">
        <v>3.449933874999997</v>
      </c>
      <c r="AC17" s="634">
        <v>3.4688867999999968</v>
      </c>
      <c r="AD17" s="634">
        <v>3.4878397249999966</v>
      </c>
      <c r="AE17" s="634">
        <v>3.5067926499999964</v>
      </c>
      <c r="AF17" s="634">
        <v>3.5257455749999962</v>
      </c>
      <c r="AG17" s="634">
        <v>3.5446985</v>
      </c>
      <c r="AH17" s="634">
        <v>3.5446985</v>
      </c>
      <c r="AI17" s="632">
        <v>2030</v>
      </c>
      <c r="AJ17" s="422"/>
    </row>
    <row r="18" spans="1:36" ht="15" customHeight="1">
      <c r="A18" s="635"/>
      <c r="B18" s="653">
        <v>2033</v>
      </c>
      <c r="C18" s="633"/>
      <c r="D18" s="654">
        <v>2.9392119375000001</v>
      </c>
      <c r="E18" s="634">
        <v>2.9865796874999999</v>
      </c>
      <c r="F18" s="634">
        <v>2.9815389166666666</v>
      </c>
      <c r="G18" s="634">
        <v>2.9764981458333333</v>
      </c>
      <c r="H18" s="634">
        <v>2.971457375</v>
      </c>
      <c r="I18" s="634">
        <v>3.0101467374999999</v>
      </c>
      <c r="J18" s="634">
        <v>3.0488360999999999</v>
      </c>
      <c r="K18" s="634">
        <v>3.0875254624999999</v>
      </c>
      <c r="L18" s="634">
        <v>3.1262148249999999</v>
      </c>
      <c r="M18" s="634">
        <v>3.1649041874999999</v>
      </c>
      <c r="N18" s="634">
        <v>3.183866471875</v>
      </c>
      <c r="O18" s="634">
        <v>3.2028287562500002</v>
      </c>
      <c r="P18" s="634">
        <v>3.2217910406250003</v>
      </c>
      <c r="Q18" s="634">
        <v>3.2407533250000005</v>
      </c>
      <c r="R18" s="634">
        <v>3.2597156093750006</v>
      </c>
      <c r="S18" s="634">
        <v>3.2786778937500007</v>
      </c>
      <c r="T18" s="634">
        <v>3.2976401781250009</v>
      </c>
      <c r="U18" s="634">
        <v>3.316602462500001</v>
      </c>
      <c r="V18" s="634">
        <v>3.3355647468750012</v>
      </c>
      <c r="W18" s="634">
        <v>3.3545270312500013</v>
      </c>
      <c r="X18" s="634">
        <v>3.3734893156250014</v>
      </c>
      <c r="Y18" s="634">
        <v>3.3924516000000016</v>
      </c>
      <c r="Z18" s="634">
        <v>3.4114138843750017</v>
      </c>
      <c r="AA18" s="634">
        <v>3.4303761687500018</v>
      </c>
      <c r="AB18" s="634">
        <v>3.449338453125002</v>
      </c>
      <c r="AC18" s="634">
        <v>3.4683007375000021</v>
      </c>
      <c r="AD18" s="634">
        <v>3.4872630218750023</v>
      </c>
      <c r="AE18" s="634">
        <v>3.5062253062500024</v>
      </c>
      <c r="AF18" s="634">
        <v>3.5251875906250025</v>
      </c>
      <c r="AG18" s="634">
        <v>3.5441498750000004</v>
      </c>
      <c r="AH18" s="634">
        <v>3.5441498750000004</v>
      </c>
      <c r="AI18" s="632">
        <v>2031</v>
      </c>
      <c r="AJ18" s="422"/>
    </row>
    <row r="19" spans="1:36" ht="15" customHeight="1">
      <c r="A19" s="635"/>
      <c r="B19" s="653">
        <v>2034</v>
      </c>
      <c r="C19" s="633"/>
      <c r="D19" s="654">
        <v>2.9398119375</v>
      </c>
      <c r="E19" s="634">
        <v>2.9870543749999996</v>
      </c>
      <c r="F19" s="634">
        <v>2.981927395833333</v>
      </c>
      <c r="G19" s="634">
        <v>2.9768004166666664</v>
      </c>
      <c r="H19" s="634">
        <v>2.9716734374999998</v>
      </c>
      <c r="I19" s="634">
        <v>3.0103245624999997</v>
      </c>
      <c r="J19" s="634">
        <v>3.0489756874999996</v>
      </c>
      <c r="K19" s="634">
        <v>3.0876268124999995</v>
      </c>
      <c r="L19" s="634">
        <v>3.1262779374999994</v>
      </c>
      <c r="M19" s="634">
        <v>3.1649290624999997</v>
      </c>
      <c r="N19" s="634">
        <v>3.1838936906249997</v>
      </c>
      <c r="O19" s="634">
        <v>3.2028583187499997</v>
      </c>
      <c r="P19" s="634">
        <v>3.2218229468749997</v>
      </c>
      <c r="Q19" s="634">
        <v>3.2407875749999997</v>
      </c>
      <c r="R19" s="634">
        <v>3.2597522031249997</v>
      </c>
      <c r="S19" s="634">
        <v>3.2787168312499997</v>
      </c>
      <c r="T19" s="634">
        <v>3.2976814593749997</v>
      </c>
      <c r="U19" s="634">
        <v>3.3166460874999997</v>
      </c>
      <c r="V19" s="634">
        <v>3.3356107156249997</v>
      </c>
      <c r="W19" s="634">
        <v>3.3545753437499997</v>
      </c>
      <c r="X19" s="634">
        <v>3.3735399718749997</v>
      </c>
      <c r="Y19" s="634">
        <v>3.3925045999999996</v>
      </c>
      <c r="Z19" s="634">
        <v>3.4114692281249996</v>
      </c>
      <c r="AA19" s="634">
        <v>3.4304338562499996</v>
      </c>
      <c r="AB19" s="634">
        <v>3.4493984843749996</v>
      </c>
      <c r="AC19" s="634">
        <v>3.4683631124999996</v>
      </c>
      <c r="AD19" s="634">
        <v>3.4873277406249996</v>
      </c>
      <c r="AE19" s="634">
        <v>3.5062923687499996</v>
      </c>
      <c r="AF19" s="634">
        <v>3.5252569968749996</v>
      </c>
      <c r="AG19" s="634">
        <v>3.544221625</v>
      </c>
      <c r="AH19" s="634">
        <v>3.544221625</v>
      </c>
      <c r="AI19" s="632">
        <v>2032</v>
      </c>
      <c r="AJ19" s="422"/>
    </row>
    <row r="20" spans="1:36" ht="15" customHeight="1">
      <c r="A20" s="635"/>
      <c r="B20" s="653">
        <v>2035</v>
      </c>
      <c r="C20" s="633"/>
      <c r="D20" s="654">
        <v>2.9399183125000001</v>
      </c>
      <c r="E20" s="634">
        <v>2.9871358125</v>
      </c>
      <c r="F20" s="634">
        <v>2.9819964791666669</v>
      </c>
      <c r="G20" s="634">
        <v>2.9768571458333337</v>
      </c>
      <c r="H20" s="634">
        <v>2.9717178125000006</v>
      </c>
      <c r="I20" s="634">
        <v>3.0103643000000004</v>
      </c>
      <c r="J20" s="634">
        <v>3.0490107875000003</v>
      </c>
      <c r="K20" s="634">
        <v>3.0876572750000002</v>
      </c>
      <c r="L20" s="634">
        <v>3.1263037625000001</v>
      </c>
      <c r="M20" s="634">
        <v>3.16495025</v>
      </c>
      <c r="N20" s="634">
        <v>3.18391516875</v>
      </c>
      <c r="O20" s="634">
        <v>3.2028800875000001</v>
      </c>
      <c r="P20" s="634">
        <v>3.2218450062500001</v>
      </c>
      <c r="Q20" s="634">
        <v>3.2408099250000002</v>
      </c>
      <c r="R20" s="634">
        <v>3.2597748437500003</v>
      </c>
      <c r="S20" s="634">
        <v>3.2787397625000003</v>
      </c>
      <c r="T20" s="634">
        <v>3.2977046812500004</v>
      </c>
      <c r="U20" s="634">
        <v>3.3166696000000004</v>
      </c>
      <c r="V20" s="634">
        <v>3.3356345187500005</v>
      </c>
      <c r="W20" s="634">
        <v>3.3545994375000006</v>
      </c>
      <c r="X20" s="634">
        <v>3.3735643562500006</v>
      </c>
      <c r="Y20" s="634">
        <v>3.3925292750000007</v>
      </c>
      <c r="Z20" s="634">
        <v>3.4114941937500007</v>
      </c>
      <c r="AA20" s="634">
        <v>3.4304591125000008</v>
      </c>
      <c r="AB20" s="634">
        <v>3.4494240312500009</v>
      </c>
      <c r="AC20" s="634">
        <v>3.4683889500000009</v>
      </c>
      <c r="AD20" s="634">
        <v>3.487353868750001</v>
      </c>
      <c r="AE20" s="634">
        <v>3.506318787500001</v>
      </c>
      <c r="AF20" s="634">
        <v>3.5252837062500011</v>
      </c>
      <c r="AG20" s="634">
        <v>3.5442486249999998</v>
      </c>
      <c r="AH20" s="634">
        <v>3.5442486249999998</v>
      </c>
      <c r="AI20" s="632">
        <v>2033</v>
      </c>
      <c r="AJ20" s="422"/>
    </row>
    <row r="21" spans="1:36" ht="15" customHeight="1">
      <c r="A21" s="635"/>
      <c r="B21" s="653">
        <v>2036</v>
      </c>
      <c r="C21" s="633"/>
      <c r="D21" s="654">
        <v>2.9399195625000001</v>
      </c>
      <c r="E21" s="634">
        <v>2.9871366249999998</v>
      </c>
      <c r="F21" s="634">
        <v>2.981997208333333</v>
      </c>
      <c r="G21" s="634">
        <v>2.9768577916666663</v>
      </c>
      <c r="H21" s="634">
        <v>2.971718375</v>
      </c>
      <c r="I21" s="634">
        <v>3.0103647874999999</v>
      </c>
      <c r="J21" s="634">
        <v>3.0490111999999998</v>
      </c>
      <c r="K21" s="634">
        <v>3.0876576124999997</v>
      </c>
      <c r="L21" s="634">
        <v>3.1263040249999996</v>
      </c>
      <c r="M21" s="634">
        <v>3.1649504375000004</v>
      </c>
      <c r="N21" s="634">
        <v>3.1839153531250002</v>
      </c>
      <c r="O21" s="634">
        <v>3.20288026875</v>
      </c>
      <c r="P21" s="634">
        <v>3.2218451843749998</v>
      </c>
      <c r="Q21" s="634">
        <v>3.2408100999999996</v>
      </c>
      <c r="R21" s="634">
        <v>3.2597750156249994</v>
      </c>
      <c r="S21" s="634">
        <v>3.2787399312499992</v>
      </c>
      <c r="T21" s="634">
        <v>3.297704846874999</v>
      </c>
      <c r="U21" s="634">
        <v>3.3166697624999988</v>
      </c>
      <c r="V21" s="634">
        <v>3.3356346781249986</v>
      </c>
      <c r="W21" s="634">
        <v>3.3545995937499984</v>
      </c>
      <c r="X21" s="634">
        <v>3.3735645093749982</v>
      </c>
      <c r="Y21" s="634">
        <v>3.392529424999998</v>
      </c>
      <c r="Z21" s="634">
        <v>3.4114943406249978</v>
      </c>
      <c r="AA21" s="634">
        <v>3.4304592562499976</v>
      </c>
      <c r="AB21" s="634">
        <v>3.4494241718749974</v>
      </c>
      <c r="AC21" s="634">
        <v>3.4683890874999972</v>
      </c>
      <c r="AD21" s="634">
        <v>3.487354003124997</v>
      </c>
      <c r="AE21" s="634">
        <v>3.5063189187499968</v>
      </c>
      <c r="AF21" s="634">
        <v>3.5252838343749966</v>
      </c>
      <c r="AG21" s="634">
        <v>3.5442487499999999</v>
      </c>
      <c r="AH21" s="634">
        <v>3.5442487499999999</v>
      </c>
      <c r="AI21" s="632">
        <v>2034</v>
      </c>
      <c r="AJ21" s="422"/>
    </row>
    <row r="22" spans="1:36" ht="15" customHeight="1">
      <c r="A22" s="635"/>
      <c r="B22" s="653">
        <v>2037</v>
      </c>
      <c r="C22" s="633"/>
      <c r="D22" s="654">
        <v>2.9399184374999998</v>
      </c>
      <c r="E22" s="634">
        <v>2.9871354374999997</v>
      </c>
      <c r="F22" s="634">
        <v>2.981995833333333</v>
      </c>
      <c r="G22" s="634">
        <v>2.9768562291666663</v>
      </c>
      <c r="H22" s="634">
        <v>2.9717166249999996</v>
      </c>
      <c r="I22" s="634">
        <v>3.0103630624999997</v>
      </c>
      <c r="J22" s="634">
        <v>3.0490094999999999</v>
      </c>
      <c r="K22" s="634">
        <v>3.0876559375000001</v>
      </c>
      <c r="L22" s="634">
        <v>3.1263023750000003</v>
      </c>
      <c r="M22" s="634">
        <v>3.1649488125</v>
      </c>
      <c r="N22" s="634">
        <v>3.183913725</v>
      </c>
      <c r="O22" s="634">
        <v>3.2028786375</v>
      </c>
      <c r="P22" s="634">
        <v>3.22184355</v>
      </c>
      <c r="Q22" s="634">
        <v>3.2408084625</v>
      </c>
      <c r="R22" s="634">
        <v>3.259773375</v>
      </c>
      <c r="S22" s="634">
        <v>3.2787382875</v>
      </c>
      <c r="T22" s="634">
        <v>3.2977031999999999</v>
      </c>
      <c r="U22" s="634">
        <v>3.3166681124999999</v>
      </c>
      <c r="V22" s="634">
        <v>3.3356330249999999</v>
      </c>
      <c r="W22" s="634">
        <v>3.3545979374999999</v>
      </c>
      <c r="X22" s="634">
        <v>3.3735628499999999</v>
      </c>
      <c r="Y22" s="634">
        <v>3.3925277624999999</v>
      </c>
      <c r="Z22" s="634">
        <v>3.4114926749999999</v>
      </c>
      <c r="AA22" s="634">
        <v>3.4304575874999998</v>
      </c>
      <c r="AB22" s="634">
        <v>3.4494224999999998</v>
      </c>
      <c r="AC22" s="634">
        <v>3.4683874124999998</v>
      </c>
      <c r="AD22" s="634">
        <v>3.4873523249999998</v>
      </c>
      <c r="AE22" s="634">
        <v>3.5063172374999998</v>
      </c>
      <c r="AF22" s="634">
        <v>3.5252821499999998</v>
      </c>
      <c r="AG22" s="634">
        <v>3.5442470624999998</v>
      </c>
      <c r="AH22" s="634">
        <v>3.5442470624999998</v>
      </c>
      <c r="AI22" s="632">
        <v>2035</v>
      </c>
      <c r="AJ22" s="422"/>
    </row>
    <row r="23" spans="1:36" ht="15" customHeight="1">
      <c r="A23" s="635"/>
      <c r="B23" s="653">
        <v>2038</v>
      </c>
      <c r="C23" s="633"/>
      <c r="D23" s="654">
        <v>2.9399172500000001</v>
      </c>
      <c r="E23" s="634">
        <v>2.98713425</v>
      </c>
      <c r="F23" s="634">
        <v>2.9819945208333332</v>
      </c>
      <c r="G23" s="634">
        <v>2.9768547916666663</v>
      </c>
      <c r="H23" s="634">
        <v>2.9717150624999995</v>
      </c>
      <c r="I23" s="634">
        <v>3.0103614749999994</v>
      </c>
      <c r="J23" s="634">
        <v>3.0490078874999993</v>
      </c>
      <c r="K23" s="634">
        <v>3.0876542999999992</v>
      </c>
      <c r="L23" s="634">
        <v>3.1263007124999991</v>
      </c>
      <c r="M23" s="634">
        <v>3.1649471249999999</v>
      </c>
      <c r="N23" s="634">
        <v>3.1839120562500001</v>
      </c>
      <c r="O23" s="634">
        <v>3.2028769875000003</v>
      </c>
      <c r="P23" s="634">
        <v>3.2218419187500005</v>
      </c>
      <c r="Q23" s="634">
        <v>3.2408068500000007</v>
      </c>
      <c r="R23" s="634">
        <v>3.2597717812500009</v>
      </c>
      <c r="S23" s="634">
        <v>3.2787367125000011</v>
      </c>
      <c r="T23" s="634">
        <v>3.2977016437500013</v>
      </c>
      <c r="U23" s="634">
        <v>3.3166665750000015</v>
      </c>
      <c r="V23" s="634">
        <v>3.3356315062500017</v>
      </c>
      <c r="W23" s="634">
        <v>3.3545964375000019</v>
      </c>
      <c r="X23" s="634">
        <v>3.3735613687500021</v>
      </c>
      <c r="Y23" s="634">
        <v>3.3925263000000023</v>
      </c>
      <c r="Z23" s="634">
        <v>3.4114912312500025</v>
      </c>
      <c r="AA23" s="634">
        <v>3.4304561625000027</v>
      </c>
      <c r="AB23" s="634">
        <v>3.4494210937500029</v>
      </c>
      <c r="AC23" s="634">
        <v>3.4683860250000031</v>
      </c>
      <c r="AD23" s="634">
        <v>3.4873509562500034</v>
      </c>
      <c r="AE23" s="634">
        <v>3.5063158875000036</v>
      </c>
      <c r="AF23" s="634">
        <v>3.5252808187500038</v>
      </c>
      <c r="AG23" s="634">
        <v>3.54424575</v>
      </c>
      <c r="AH23" s="634">
        <v>3.54424575</v>
      </c>
      <c r="AI23" s="632">
        <v>2036</v>
      </c>
      <c r="AJ23" s="422"/>
    </row>
    <row r="24" spans="1:36" ht="15" customHeight="1">
      <c r="A24" s="635"/>
      <c r="B24" s="653">
        <v>2039</v>
      </c>
      <c r="C24" s="633"/>
      <c r="D24" s="654">
        <v>2.9399186875000005</v>
      </c>
      <c r="E24" s="634">
        <v>2.9871354999999999</v>
      </c>
      <c r="F24" s="634">
        <v>2.9819955624999999</v>
      </c>
      <c r="G24" s="634">
        <v>2.9768556249999998</v>
      </c>
      <c r="H24" s="634">
        <v>2.9717156874999997</v>
      </c>
      <c r="I24" s="634">
        <v>3.0103619749999999</v>
      </c>
      <c r="J24" s="634">
        <v>3.0490082625000001</v>
      </c>
      <c r="K24" s="634">
        <v>3.0876545500000003</v>
      </c>
      <c r="L24" s="634">
        <v>3.1263008375000005</v>
      </c>
      <c r="M24" s="634">
        <v>3.1649471249999999</v>
      </c>
      <c r="N24" s="634">
        <v>3.1839120437499999</v>
      </c>
      <c r="O24" s="634">
        <v>3.2028769625</v>
      </c>
      <c r="P24" s="634">
        <v>3.22184188125</v>
      </c>
      <c r="Q24" s="634">
        <v>3.2408068000000001</v>
      </c>
      <c r="R24" s="634">
        <v>3.2597717187500002</v>
      </c>
      <c r="S24" s="634">
        <v>3.2787366375000002</v>
      </c>
      <c r="T24" s="634">
        <v>3.2977015562500003</v>
      </c>
      <c r="U24" s="634">
        <v>3.3166664750000003</v>
      </c>
      <c r="V24" s="634">
        <v>3.3356313937500004</v>
      </c>
      <c r="W24" s="634">
        <v>3.3545963125000005</v>
      </c>
      <c r="X24" s="634">
        <v>3.3735612312500005</v>
      </c>
      <c r="Y24" s="634">
        <v>3.3925261500000006</v>
      </c>
      <c r="Z24" s="634">
        <v>3.4114910687500006</v>
      </c>
      <c r="AA24" s="634">
        <v>3.4304559875000007</v>
      </c>
      <c r="AB24" s="634">
        <v>3.4494209062500008</v>
      </c>
      <c r="AC24" s="634">
        <v>3.4683858250000008</v>
      </c>
      <c r="AD24" s="634">
        <v>3.4873507437500009</v>
      </c>
      <c r="AE24" s="634">
        <v>3.5063156625000009</v>
      </c>
      <c r="AF24" s="634">
        <v>3.525280581250001</v>
      </c>
      <c r="AG24" s="634">
        <v>3.5442454999999997</v>
      </c>
      <c r="AH24" s="634">
        <v>3.5442454999999997</v>
      </c>
      <c r="AI24" s="632">
        <v>2037</v>
      </c>
      <c r="AJ24" s="422"/>
    </row>
    <row r="25" spans="1:36" ht="15" customHeight="1">
      <c r="A25" s="635"/>
      <c r="B25" s="653">
        <v>2040</v>
      </c>
      <c r="C25" s="633"/>
      <c r="D25" s="654">
        <v>2.9399181250000002</v>
      </c>
      <c r="E25" s="634">
        <v>2.9871350625000002</v>
      </c>
      <c r="F25" s="634">
        <v>2.9819951250000001</v>
      </c>
      <c r="G25" s="634">
        <v>2.9768551875</v>
      </c>
      <c r="H25" s="634">
        <v>2.9717152499999999</v>
      </c>
      <c r="I25" s="634">
        <v>3.0103615375000001</v>
      </c>
      <c r="J25" s="634">
        <v>3.0490078250000003</v>
      </c>
      <c r="K25" s="634">
        <v>3.0876541125000005</v>
      </c>
      <c r="L25" s="634">
        <v>3.1263004000000008</v>
      </c>
      <c r="M25" s="634">
        <v>3.1649466875000005</v>
      </c>
      <c r="N25" s="634">
        <v>3.1839115906250006</v>
      </c>
      <c r="O25" s="634">
        <v>3.2028764937500007</v>
      </c>
      <c r="P25" s="634">
        <v>3.2218413968750008</v>
      </c>
      <c r="Q25" s="634">
        <v>3.2408063000000009</v>
      </c>
      <c r="R25" s="634">
        <v>3.259771203125001</v>
      </c>
      <c r="S25" s="634">
        <v>3.2787361062500011</v>
      </c>
      <c r="T25" s="634">
        <v>3.2977010093750012</v>
      </c>
      <c r="U25" s="634">
        <v>3.3166659125000013</v>
      </c>
      <c r="V25" s="634">
        <v>3.3356308156250014</v>
      </c>
      <c r="W25" s="634">
        <v>3.3545957187500015</v>
      </c>
      <c r="X25" s="634">
        <v>3.3735606218750016</v>
      </c>
      <c r="Y25" s="634">
        <v>3.3925255250000017</v>
      </c>
      <c r="Z25" s="634">
        <v>3.4114904281250018</v>
      </c>
      <c r="AA25" s="634">
        <v>3.4304553312500019</v>
      </c>
      <c r="AB25" s="634">
        <v>3.449420234375002</v>
      </c>
      <c r="AC25" s="634">
        <v>3.4683851375000021</v>
      </c>
      <c r="AD25" s="634">
        <v>3.4873500406250022</v>
      </c>
      <c r="AE25" s="634">
        <v>3.5063149437500023</v>
      </c>
      <c r="AF25" s="634">
        <v>3.5252798468750024</v>
      </c>
      <c r="AG25" s="634">
        <v>3.5442447499999998</v>
      </c>
      <c r="AH25" s="634">
        <v>3.5442447499999998</v>
      </c>
      <c r="AI25" s="632">
        <v>2038</v>
      </c>
      <c r="AJ25" s="422"/>
    </row>
    <row r="26" spans="1:36" ht="15" customHeight="1">
      <c r="A26" s="635"/>
      <c r="B26" s="653">
        <v>2041</v>
      </c>
      <c r="C26" s="633"/>
      <c r="D26" s="654">
        <v>2.9399171874999999</v>
      </c>
      <c r="E26" s="634">
        <v>2.9871341874999997</v>
      </c>
      <c r="F26" s="634">
        <v>2.9819942708333329</v>
      </c>
      <c r="G26" s="634">
        <v>2.9768543541666661</v>
      </c>
      <c r="H26" s="634">
        <v>2.9717144374999998</v>
      </c>
      <c r="I26" s="634">
        <v>3.0103607749999997</v>
      </c>
      <c r="J26" s="634">
        <v>3.0490071124999996</v>
      </c>
      <c r="K26" s="634">
        <v>3.0876534499999995</v>
      </c>
      <c r="L26" s="634">
        <v>3.1262997874999994</v>
      </c>
      <c r="M26" s="634">
        <v>3.1649461250000002</v>
      </c>
      <c r="N26" s="634">
        <v>3.1839110343750003</v>
      </c>
      <c r="O26" s="634">
        <v>3.2028759437500005</v>
      </c>
      <c r="P26" s="634">
        <v>3.2218408531250007</v>
      </c>
      <c r="Q26" s="634">
        <v>3.2408057625000009</v>
      </c>
      <c r="R26" s="634">
        <v>3.259770671875001</v>
      </c>
      <c r="S26" s="634">
        <v>3.2787355812500012</v>
      </c>
      <c r="T26" s="634">
        <v>3.2977004906250014</v>
      </c>
      <c r="U26" s="634">
        <v>3.3166654000000015</v>
      </c>
      <c r="V26" s="634">
        <v>3.3356303093750017</v>
      </c>
      <c r="W26" s="634">
        <v>3.3545952187500019</v>
      </c>
      <c r="X26" s="634">
        <v>3.3735601281250021</v>
      </c>
      <c r="Y26" s="634">
        <v>3.3925250375000022</v>
      </c>
      <c r="Z26" s="634">
        <v>3.4114899468750024</v>
      </c>
      <c r="AA26" s="634">
        <v>3.4304548562500026</v>
      </c>
      <c r="AB26" s="634">
        <v>3.4494197656250027</v>
      </c>
      <c r="AC26" s="634">
        <v>3.4683846750000029</v>
      </c>
      <c r="AD26" s="634">
        <v>3.4873495843750031</v>
      </c>
      <c r="AE26" s="634">
        <v>3.5063144937500033</v>
      </c>
      <c r="AF26" s="634">
        <v>3.5252794031250034</v>
      </c>
      <c r="AG26" s="634">
        <v>3.5442443124999996</v>
      </c>
      <c r="AH26" s="634">
        <v>3.5442443124999996</v>
      </c>
      <c r="AI26" s="632">
        <v>2039</v>
      </c>
      <c r="AJ26" s="422"/>
    </row>
    <row r="27" spans="1:36" ht="15" customHeight="1">
      <c r="A27" s="635"/>
      <c r="B27" s="653">
        <v>2042</v>
      </c>
      <c r="C27" s="633"/>
      <c r="D27" s="654">
        <v>2.9399171874999999</v>
      </c>
      <c r="E27" s="634">
        <v>2.9871341874999997</v>
      </c>
      <c r="F27" s="634">
        <v>2.9819944583333333</v>
      </c>
      <c r="G27" s="634">
        <v>2.9768547291666669</v>
      </c>
      <c r="H27" s="634">
        <v>2.9717150000000001</v>
      </c>
      <c r="I27" s="634">
        <v>3.0103614250000001</v>
      </c>
      <c r="J27" s="634">
        <v>3.0490078500000002</v>
      </c>
      <c r="K27" s="634">
        <v>3.0876542750000002</v>
      </c>
      <c r="L27" s="634">
        <v>3.1263007000000003</v>
      </c>
      <c r="M27" s="634">
        <v>3.1649471250000003</v>
      </c>
      <c r="N27" s="634">
        <v>3.1839120375000003</v>
      </c>
      <c r="O27" s="634">
        <v>3.2028769500000003</v>
      </c>
      <c r="P27" s="634">
        <v>3.2218418625000003</v>
      </c>
      <c r="Q27" s="634">
        <v>3.2408067750000003</v>
      </c>
      <c r="R27" s="634">
        <v>3.2597716875000002</v>
      </c>
      <c r="S27" s="634">
        <v>3.2787366000000002</v>
      </c>
      <c r="T27" s="634">
        <v>3.2977015125000002</v>
      </c>
      <c r="U27" s="634">
        <v>3.3166664250000002</v>
      </c>
      <c r="V27" s="634">
        <v>3.3356313375000002</v>
      </c>
      <c r="W27" s="634">
        <v>3.3545962500000002</v>
      </c>
      <c r="X27" s="634">
        <v>3.3735611625000002</v>
      </c>
      <c r="Y27" s="634">
        <v>3.3925260750000001</v>
      </c>
      <c r="Z27" s="634">
        <v>3.4114909875000001</v>
      </c>
      <c r="AA27" s="634">
        <v>3.4304559000000001</v>
      </c>
      <c r="AB27" s="634">
        <v>3.4494208125000001</v>
      </c>
      <c r="AC27" s="634">
        <v>3.4683857250000001</v>
      </c>
      <c r="AD27" s="634">
        <v>3.4873506375000001</v>
      </c>
      <c r="AE27" s="634">
        <v>3.5063155500000001</v>
      </c>
      <c r="AF27" s="634">
        <v>3.5252804625</v>
      </c>
      <c r="AG27" s="634">
        <v>3.544245375</v>
      </c>
      <c r="AH27" s="634">
        <v>3.544245375</v>
      </c>
      <c r="AI27" s="632">
        <v>2040</v>
      </c>
      <c r="AJ27" s="422"/>
    </row>
    <row r="28" spans="1:36" ht="15" customHeight="1">
      <c r="A28" s="635"/>
      <c r="B28" s="653">
        <v>2043</v>
      </c>
      <c r="C28" s="633"/>
      <c r="D28" s="654">
        <v>2.9399174375000001</v>
      </c>
      <c r="E28" s="634">
        <v>2.9871344375</v>
      </c>
      <c r="F28" s="634">
        <v>2.9819945208333332</v>
      </c>
      <c r="G28" s="634">
        <v>2.9768546041666664</v>
      </c>
      <c r="H28" s="634">
        <v>2.9717146874999996</v>
      </c>
      <c r="I28" s="634">
        <v>3.0103610249999995</v>
      </c>
      <c r="J28" s="634">
        <v>3.0490073624999994</v>
      </c>
      <c r="K28" s="634">
        <v>3.0876536999999993</v>
      </c>
      <c r="L28" s="634">
        <v>3.1263000374999992</v>
      </c>
      <c r="M28" s="634">
        <v>3.164946375</v>
      </c>
      <c r="N28" s="634">
        <v>3.1839113156250001</v>
      </c>
      <c r="O28" s="634">
        <v>3.2028762562500002</v>
      </c>
      <c r="P28" s="634">
        <v>3.2218411968750003</v>
      </c>
      <c r="Q28" s="634">
        <v>3.2408061375000004</v>
      </c>
      <c r="R28" s="634">
        <v>3.2597710781250004</v>
      </c>
      <c r="S28" s="634">
        <v>3.2787360187500005</v>
      </c>
      <c r="T28" s="634">
        <v>3.2977009593750006</v>
      </c>
      <c r="U28" s="634">
        <v>3.3166659000000007</v>
      </c>
      <c r="V28" s="634">
        <v>3.3356308406250008</v>
      </c>
      <c r="W28" s="634">
        <v>3.3545957812500009</v>
      </c>
      <c r="X28" s="634">
        <v>3.373560721875001</v>
      </c>
      <c r="Y28" s="634">
        <v>3.3925256625000011</v>
      </c>
      <c r="Z28" s="634">
        <v>3.4114906031250012</v>
      </c>
      <c r="AA28" s="634">
        <v>3.4304555437500013</v>
      </c>
      <c r="AB28" s="634">
        <v>3.4494204843750014</v>
      </c>
      <c r="AC28" s="634">
        <v>3.4683854250000015</v>
      </c>
      <c r="AD28" s="634">
        <v>3.4873503656250016</v>
      </c>
      <c r="AE28" s="634">
        <v>3.5063153062500017</v>
      </c>
      <c r="AF28" s="634">
        <v>3.5252802468750017</v>
      </c>
      <c r="AG28" s="634">
        <v>3.5442451875000001</v>
      </c>
      <c r="AH28" s="634">
        <v>3.5442451875000001</v>
      </c>
      <c r="AI28" s="632">
        <v>2041</v>
      </c>
      <c r="AJ28" s="422"/>
    </row>
    <row r="29" spans="1:36" ht="15" customHeight="1">
      <c r="A29" s="635"/>
      <c r="B29" s="653">
        <v>2044</v>
      </c>
      <c r="C29" s="633"/>
      <c r="D29" s="654">
        <v>2.9399173125</v>
      </c>
      <c r="E29" s="634">
        <v>2.9871341249999999</v>
      </c>
      <c r="F29" s="634">
        <v>2.9819943749999998</v>
      </c>
      <c r="G29" s="634">
        <v>2.9768546249999996</v>
      </c>
      <c r="H29" s="634">
        <v>2.971714875</v>
      </c>
      <c r="I29" s="634">
        <v>3.0103612499999999</v>
      </c>
      <c r="J29" s="634">
        <v>3.0490076249999998</v>
      </c>
      <c r="K29" s="634">
        <v>3.0876539999999997</v>
      </c>
      <c r="L29" s="634">
        <v>3.1263003749999996</v>
      </c>
      <c r="M29" s="634">
        <v>3.1649467500000004</v>
      </c>
      <c r="N29" s="634">
        <v>3.1839116718750002</v>
      </c>
      <c r="O29" s="634">
        <v>3.2028765937500001</v>
      </c>
      <c r="P29" s="634">
        <v>3.221841515625</v>
      </c>
      <c r="Q29" s="634">
        <v>3.2408064374999999</v>
      </c>
      <c r="R29" s="634">
        <v>3.2597713593749997</v>
      </c>
      <c r="S29" s="634">
        <v>3.2787362812499996</v>
      </c>
      <c r="T29" s="634">
        <v>3.2977012031249995</v>
      </c>
      <c r="U29" s="634">
        <v>3.3166661249999994</v>
      </c>
      <c r="V29" s="634">
        <v>3.3356310468749992</v>
      </c>
      <c r="W29" s="634">
        <v>3.3545959687499991</v>
      </c>
      <c r="X29" s="634">
        <v>3.373560890624999</v>
      </c>
      <c r="Y29" s="634">
        <v>3.3925258124999988</v>
      </c>
      <c r="Z29" s="634">
        <v>3.4114907343749987</v>
      </c>
      <c r="AA29" s="634">
        <v>3.4304556562499986</v>
      </c>
      <c r="AB29" s="634">
        <v>3.4494205781249985</v>
      </c>
      <c r="AC29" s="634">
        <v>3.4683854999999983</v>
      </c>
      <c r="AD29" s="634">
        <v>3.4873504218749982</v>
      </c>
      <c r="AE29" s="634">
        <v>3.5063153437499981</v>
      </c>
      <c r="AF29" s="634">
        <v>3.525280265624998</v>
      </c>
      <c r="AG29" s="634">
        <v>3.5442451875000001</v>
      </c>
      <c r="AH29" s="634">
        <v>3.5442451875000001</v>
      </c>
      <c r="AI29" s="632">
        <v>2042</v>
      </c>
      <c r="AJ29" s="422"/>
    </row>
    <row r="30" spans="1:36" ht="15" customHeight="1">
      <c r="A30" s="635"/>
      <c r="B30" s="653">
        <v>2045</v>
      </c>
      <c r="C30" s="633"/>
      <c r="D30" s="654">
        <v>2.9399185625000004</v>
      </c>
      <c r="E30" s="634">
        <v>2.9871354999999999</v>
      </c>
      <c r="F30" s="634">
        <v>2.9819955833333331</v>
      </c>
      <c r="G30" s="634">
        <v>2.9768556666666663</v>
      </c>
      <c r="H30" s="634">
        <v>2.9717157499999995</v>
      </c>
      <c r="I30" s="634">
        <v>3.0103621499999997</v>
      </c>
      <c r="J30" s="634">
        <v>3.0490085499999999</v>
      </c>
      <c r="K30" s="634">
        <v>3.0876549500000001</v>
      </c>
      <c r="L30" s="634">
        <v>3.1263013500000003</v>
      </c>
      <c r="M30" s="634">
        <v>3.1649477500000001</v>
      </c>
      <c r="N30" s="634">
        <v>3.1839126531250002</v>
      </c>
      <c r="O30" s="634">
        <v>3.2028775562500003</v>
      </c>
      <c r="P30" s="634">
        <v>3.2218424593750004</v>
      </c>
      <c r="Q30" s="634">
        <v>3.2408073625000005</v>
      </c>
      <c r="R30" s="634">
        <v>3.2597722656250006</v>
      </c>
      <c r="S30" s="634">
        <v>3.2787371687500007</v>
      </c>
      <c r="T30" s="634">
        <v>3.2977020718750008</v>
      </c>
      <c r="U30" s="634">
        <v>3.3166669750000008</v>
      </c>
      <c r="V30" s="634">
        <v>3.3356318781250009</v>
      </c>
      <c r="W30" s="634">
        <v>3.354596781250001</v>
      </c>
      <c r="X30" s="634">
        <v>3.3735616843750011</v>
      </c>
      <c r="Y30" s="634">
        <v>3.3925265875000012</v>
      </c>
      <c r="Z30" s="634">
        <v>3.4114914906250013</v>
      </c>
      <c r="AA30" s="634">
        <v>3.4304563937500014</v>
      </c>
      <c r="AB30" s="634">
        <v>3.4494212968750015</v>
      </c>
      <c r="AC30" s="634">
        <v>3.4683862000000016</v>
      </c>
      <c r="AD30" s="634">
        <v>3.4873511031250017</v>
      </c>
      <c r="AE30" s="634">
        <v>3.5063160062500018</v>
      </c>
      <c r="AF30" s="634">
        <v>3.5252809093750019</v>
      </c>
      <c r="AG30" s="634">
        <v>3.5442458124999998</v>
      </c>
      <c r="AH30" s="634">
        <v>3.5442458124999998</v>
      </c>
      <c r="AI30" s="632">
        <v>2043</v>
      </c>
      <c r="AJ30" s="422"/>
    </row>
    <row r="31" spans="1:36" ht="15" customHeight="1">
      <c r="A31" s="635"/>
      <c r="B31" s="653">
        <v>2046</v>
      </c>
      <c r="C31" s="633"/>
      <c r="D31" s="654">
        <v>2.9399182499999998</v>
      </c>
      <c r="E31" s="634">
        <v>2.9871350625000002</v>
      </c>
      <c r="F31" s="634">
        <v>2.9819951875000004</v>
      </c>
      <c r="G31" s="634">
        <v>2.9768553125000006</v>
      </c>
      <c r="H31" s="634">
        <v>2.9717154375000003</v>
      </c>
      <c r="I31" s="634">
        <v>3.0103617625000005</v>
      </c>
      <c r="J31" s="634">
        <v>3.0490080875000007</v>
      </c>
      <c r="K31" s="634">
        <v>3.0876544125000009</v>
      </c>
      <c r="L31" s="634">
        <v>3.1263007375000011</v>
      </c>
      <c r="M31" s="634">
        <v>3.1649470625000005</v>
      </c>
      <c r="N31" s="634">
        <v>3.1839119625000003</v>
      </c>
      <c r="O31" s="634">
        <v>3.2028768625000001</v>
      </c>
      <c r="P31" s="634">
        <v>3.2218417625</v>
      </c>
      <c r="Q31" s="634">
        <v>3.2408066624999998</v>
      </c>
      <c r="R31" s="634">
        <v>3.2597715624999997</v>
      </c>
      <c r="S31" s="634">
        <v>3.2787364624999995</v>
      </c>
      <c r="T31" s="634">
        <v>3.2977013624999993</v>
      </c>
      <c r="U31" s="634">
        <v>3.3166662624999992</v>
      </c>
      <c r="V31" s="634">
        <v>3.335631162499999</v>
      </c>
      <c r="W31" s="634">
        <v>3.3545960624999989</v>
      </c>
      <c r="X31" s="634">
        <v>3.3735609624999987</v>
      </c>
      <c r="Y31" s="634">
        <v>3.3925258624999985</v>
      </c>
      <c r="Z31" s="634">
        <v>3.4114907624999984</v>
      </c>
      <c r="AA31" s="634">
        <v>3.4304556624999982</v>
      </c>
      <c r="AB31" s="634">
        <v>3.4494205624999981</v>
      </c>
      <c r="AC31" s="634">
        <v>3.4683854624999979</v>
      </c>
      <c r="AD31" s="634">
        <v>3.4873503624999977</v>
      </c>
      <c r="AE31" s="634">
        <v>3.5063152624999976</v>
      </c>
      <c r="AF31" s="634">
        <v>3.5252801624999974</v>
      </c>
      <c r="AG31" s="634">
        <v>3.5442450624999995</v>
      </c>
      <c r="AH31" s="634">
        <v>3.5442450624999995</v>
      </c>
      <c r="AI31" s="632">
        <v>2044</v>
      </c>
      <c r="AJ31" s="422"/>
    </row>
    <row r="32" spans="1:36" ht="15" customHeight="1">
      <c r="A32" s="635"/>
      <c r="B32" s="653">
        <v>2047</v>
      </c>
      <c r="C32" s="633"/>
      <c r="D32" s="654">
        <v>2.9399168750000002</v>
      </c>
      <c r="E32" s="634">
        <v>2.9871336250000002</v>
      </c>
      <c r="F32" s="634">
        <v>2.981993791666667</v>
      </c>
      <c r="G32" s="634">
        <v>2.9768539583333338</v>
      </c>
      <c r="H32" s="634">
        <v>2.9717141250000001</v>
      </c>
      <c r="I32" s="634">
        <v>3.0103604625</v>
      </c>
      <c r="J32" s="634">
        <v>3.0490067999999999</v>
      </c>
      <c r="K32" s="634">
        <v>3.0876531374999998</v>
      </c>
      <c r="L32" s="634">
        <v>3.1262994749999997</v>
      </c>
      <c r="M32" s="634">
        <v>3.1649458125000001</v>
      </c>
      <c r="N32" s="634">
        <v>3.1839107124999999</v>
      </c>
      <c r="O32" s="634">
        <v>3.2028756124999997</v>
      </c>
      <c r="P32" s="634">
        <v>3.2218405124999996</v>
      </c>
      <c r="Q32" s="634">
        <v>3.2408054124999994</v>
      </c>
      <c r="R32" s="634">
        <v>3.2597703124999993</v>
      </c>
      <c r="S32" s="634">
        <v>3.2787352124999991</v>
      </c>
      <c r="T32" s="634">
        <v>3.2977001124999989</v>
      </c>
      <c r="U32" s="634">
        <v>3.3166650124999988</v>
      </c>
      <c r="V32" s="634">
        <v>3.3356299124999986</v>
      </c>
      <c r="W32" s="634">
        <v>3.3545948124999985</v>
      </c>
      <c r="X32" s="634">
        <v>3.3735597124999983</v>
      </c>
      <c r="Y32" s="634">
        <v>3.3925246124999981</v>
      </c>
      <c r="Z32" s="634">
        <v>3.411489512499998</v>
      </c>
      <c r="AA32" s="634">
        <v>3.4304544124999978</v>
      </c>
      <c r="AB32" s="634">
        <v>3.4494193124999977</v>
      </c>
      <c r="AC32" s="634">
        <v>3.4683842124999975</v>
      </c>
      <c r="AD32" s="634">
        <v>3.4873491124999974</v>
      </c>
      <c r="AE32" s="634">
        <v>3.5063140124999972</v>
      </c>
      <c r="AF32" s="634">
        <v>3.525278912499997</v>
      </c>
      <c r="AG32" s="634">
        <v>3.5442438124999995</v>
      </c>
      <c r="AH32" s="634">
        <v>3.5442438124999995</v>
      </c>
      <c r="AI32" s="632">
        <v>2045</v>
      </c>
      <c r="AJ32" s="422"/>
    </row>
    <row r="33" spans="1:36" ht="15" customHeight="1">
      <c r="A33" s="635"/>
      <c r="B33" s="653">
        <v>2048</v>
      </c>
      <c r="C33" s="633"/>
      <c r="D33" s="654">
        <v>2.9399179999999996</v>
      </c>
      <c r="E33" s="634">
        <v>2.9871345624999996</v>
      </c>
      <c r="F33" s="634">
        <v>2.9819945416666664</v>
      </c>
      <c r="G33" s="634">
        <v>2.9768545208333332</v>
      </c>
      <c r="H33" s="634">
        <v>2.9717145</v>
      </c>
      <c r="I33" s="634">
        <v>3.0103607375000001</v>
      </c>
      <c r="J33" s="634">
        <v>3.0490069750000002</v>
      </c>
      <c r="K33" s="634">
        <v>3.0876532125000002</v>
      </c>
      <c r="L33" s="634">
        <v>3.1262994500000003</v>
      </c>
      <c r="M33" s="634">
        <v>3.1649456874999999</v>
      </c>
      <c r="N33" s="634">
        <v>3.1839105874999998</v>
      </c>
      <c r="O33" s="634">
        <v>3.2028754874999996</v>
      </c>
      <c r="P33" s="634">
        <v>3.2218403874999995</v>
      </c>
      <c r="Q33" s="634">
        <v>3.2408052874999993</v>
      </c>
      <c r="R33" s="634">
        <v>3.2597701874999991</v>
      </c>
      <c r="S33" s="634">
        <v>3.278735087499999</v>
      </c>
      <c r="T33" s="634">
        <v>3.2976999874999988</v>
      </c>
      <c r="U33" s="634">
        <v>3.3166648874999987</v>
      </c>
      <c r="V33" s="634">
        <v>3.3356297874999985</v>
      </c>
      <c r="W33" s="634">
        <v>3.3545946874999983</v>
      </c>
      <c r="X33" s="634">
        <v>3.3735595874999982</v>
      </c>
      <c r="Y33" s="634">
        <v>3.392524487499998</v>
      </c>
      <c r="Z33" s="634">
        <v>3.4114893874999979</v>
      </c>
      <c r="AA33" s="634">
        <v>3.4304542874999977</v>
      </c>
      <c r="AB33" s="634">
        <v>3.4494191874999975</v>
      </c>
      <c r="AC33" s="634">
        <v>3.4683840874999974</v>
      </c>
      <c r="AD33" s="634">
        <v>3.4873489874999972</v>
      </c>
      <c r="AE33" s="634">
        <v>3.5063138874999971</v>
      </c>
      <c r="AF33" s="634">
        <v>3.5252787874999969</v>
      </c>
      <c r="AG33" s="634">
        <v>3.5442436874999999</v>
      </c>
      <c r="AH33" s="634">
        <v>3.5442436874999999</v>
      </c>
      <c r="AI33" s="632">
        <v>2046</v>
      </c>
      <c r="AJ33" s="422"/>
    </row>
    <row r="34" spans="1:36" ht="15" customHeight="1">
      <c r="A34" s="635"/>
      <c r="B34" s="653">
        <v>2049</v>
      </c>
      <c r="C34" s="633"/>
      <c r="D34" s="654">
        <v>2.9399177500000002</v>
      </c>
      <c r="E34" s="634">
        <v>2.98713425</v>
      </c>
      <c r="F34" s="634">
        <v>2.9819943541666665</v>
      </c>
      <c r="G34" s="634">
        <v>2.976854458333333</v>
      </c>
      <c r="H34" s="634">
        <v>2.9717145624999999</v>
      </c>
      <c r="I34" s="634">
        <v>3.0103608374999999</v>
      </c>
      <c r="J34" s="634">
        <v>3.0490071125</v>
      </c>
      <c r="K34" s="634">
        <v>3.0876533875000001</v>
      </c>
      <c r="L34" s="634">
        <v>3.1262996625000001</v>
      </c>
      <c r="M34" s="634">
        <v>3.1649459374999998</v>
      </c>
      <c r="N34" s="634">
        <v>3.1839108374999996</v>
      </c>
      <c r="O34" s="634">
        <v>3.2028757374999994</v>
      </c>
      <c r="P34" s="634">
        <v>3.2218406374999993</v>
      </c>
      <c r="Q34" s="634">
        <v>3.2408055374999991</v>
      </c>
      <c r="R34" s="634">
        <v>3.259770437499999</v>
      </c>
      <c r="S34" s="634">
        <v>3.2787353374999988</v>
      </c>
      <c r="T34" s="634">
        <v>3.2977002374999986</v>
      </c>
      <c r="U34" s="634">
        <v>3.3166651374999985</v>
      </c>
      <c r="V34" s="634">
        <v>3.3356300374999983</v>
      </c>
      <c r="W34" s="634">
        <v>3.3545949374999982</v>
      </c>
      <c r="X34" s="634">
        <v>3.373559837499998</v>
      </c>
      <c r="Y34" s="634">
        <v>3.3925247374999978</v>
      </c>
      <c r="Z34" s="634">
        <v>3.4114896374999977</v>
      </c>
      <c r="AA34" s="634">
        <v>3.4304545374999975</v>
      </c>
      <c r="AB34" s="634">
        <v>3.4494194374999974</v>
      </c>
      <c r="AC34" s="634">
        <v>3.4683843374999972</v>
      </c>
      <c r="AD34" s="634">
        <v>3.487349237499997</v>
      </c>
      <c r="AE34" s="634">
        <v>3.5063141374999969</v>
      </c>
      <c r="AF34" s="634">
        <v>3.5252790374999967</v>
      </c>
      <c r="AG34" s="634">
        <v>3.5442439375000001</v>
      </c>
      <c r="AH34" s="634">
        <v>3.5442439375000001</v>
      </c>
      <c r="AI34" s="632">
        <v>2047</v>
      </c>
      <c r="AJ34" s="422"/>
    </row>
    <row r="35" spans="1:36" ht="15" customHeight="1">
      <c r="A35" s="635"/>
      <c r="B35" s="653">
        <v>2050</v>
      </c>
      <c r="C35" s="633"/>
      <c r="D35" s="654">
        <v>2.9399163750000001</v>
      </c>
      <c r="E35" s="634">
        <v>2.9871332500000003</v>
      </c>
      <c r="F35" s="634">
        <v>2.9819934166666671</v>
      </c>
      <c r="G35" s="634">
        <v>2.9768535833333338</v>
      </c>
      <c r="H35" s="634">
        <v>2.9717137500000002</v>
      </c>
      <c r="I35" s="634">
        <v>3.0103601250000001</v>
      </c>
      <c r="J35" s="634">
        <v>3.0490065</v>
      </c>
      <c r="K35" s="634">
        <v>3.0876528749999999</v>
      </c>
      <c r="L35" s="634">
        <v>3.1262992499999998</v>
      </c>
      <c r="M35" s="634">
        <v>3.1649456250000001</v>
      </c>
      <c r="N35" s="634">
        <v>3.1839105249999999</v>
      </c>
      <c r="O35" s="634">
        <v>3.2028754249999998</v>
      </c>
      <c r="P35" s="634">
        <v>3.2218403249999996</v>
      </c>
      <c r="Q35" s="634">
        <v>3.2408052249999995</v>
      </c>
      <c r="R35" s="634">
        <v>3.2597701249999993</v>
      </c>
      <c r="S35" s="634">
        <v>3.2787350249999991</v>
      </c>
      <c r="T35" s="634">
        <v>3.297699924999999</v>
      </c>
      <c r="U35" s="634">
        <v>3.3166648249999988</v>
      </c>
      <c r="V35" s="634">
        <v>3.3356297249999987</v>
      </c>
      <c r="W35" s="634">
        <v>3.3545946249999985</v>
      </c>
      <c r="X35" s="634">
        <v>3.3735595249999983</v>
      </c>
      <c r="Y35" s="634">
        <v>3.3925244249999982</v>
      </c>
      <c r="Z35" s="634">
        <v>3.411489324999998</v>
      </c>
      <c r="AA35" s="634">
        <v>3.4304542249999979</v>
      </c>
      <c r="AB35" s="634">
        <v>3.4494191249999977</v>
      </c>
      <c r="AC35" s="634">
        <v>3.4683840249999975</v>
      </c>
      <c r="AD35" s="634">
        <v>3.4873489249999974</v>
      </c>
      <c r="AE35" s="634">
        <v>3.5063138249999972</v>
      </c>
      <c r="AF35" s="634">
        <v>3.5252787249999971</v>
      </c>
      <c r="AG35" s="634">
        <v>3.544243625</v>
      </c>
      <c r="AH35" s="634">
        <v>3.544243625</v>
      </c>
      <c r="AI35" s="632">
        <v>2048</v>
      </c>
      <c r="AJ35" s="422"/>
    </row>
    <row r="36" spans="1:36" ht="15" customHeight="1">
      <c r="A36" s="635"/>
      <c r="B36" s="653">
        <v>2051</v>
      </c>
      <c r="C36" s="633"/>
      <c r="D36" s="654">
        <v>2.9399178749999999</v>
      </c>
      <c r="E36" s="634">
        <v>2.9871348749999997</v>
      </c>
      <c r="F36" s="634">
        <v>2.9819950416666665</v>
      </c>
      <c r="G36" s="634">
        <v>2.9768552083333333</v>
      </c>
      <c r="H36" s="634">
        <v>2.9717153749999996</v>
      </c>
      <c r="I36" s="634">
        <v>3.0103617749999998</v>
      </c>
      <c r="J36" s="634">
        <v>3.049008175</v>
      </c>
      <c r="K36" s="634">
        <v>3.0876545750000002</v>
      </c>
      <c r="L36" s="634">
        <v>3.1263009750000004</v>
      </c>
      <c r="M36" s="634">
        <v>3.1649473750000001</v>
      </c>
      <c r="N36" s="634">
        <v>3.1839122656250001</v>
      </c>
      <c r="O36" s="634">
        <v>3.20287715625</v>
      </c>
      <c r="P36" s="634">
        <v>3.221842046875</v>
      </c>
      <c r="Q36" s="634">
        <v>3.2408069374999999</v>
      </c>
      <c r="R36" s="634">
        <v>3.2597718281249999</v>
      </c>
      <c r="S36" s="634">
        <v>3.2787367187499998</v>
      </c>
      <c r="T36" s="634">
        <v>3.2977016093749998</v>
      </c>
      <c r="U36" s="634">
        <v>3.3166664999999997</v>
      </c>
      <c r="V36" s="634">
        <v>3.3356313906249997</v>
      </c>
      <c r="W36" s="634">
        <v>3.3545962812499996</v>
      </c>
      <c r="X36" s="634">
        <v>3.3735611718749996</v>
      </c>
      <c r="Y36" s="634">
        <v>3.3925260624999996</v>
      </c>
      <c r="Z36" s="634">
        <v>3.4114909531249995</v>
      </c>
      <c r="AA36" s="634">
        <v>3.4304558437499995</v>
      </c>
      <c r="AB36" s="634">
        <v>3.4494207343749994</v>
      </c>
      <c r="AC36" s="634">
        <v>3.4683856249999994</v>
      </c>
      <c r="AD36" s="634">
        <v>3.4873505156249993</v>
      </c>
      <c r="AE36" s="634">
        <v>3.5063154062499993</v>
      </c>
      <c r="AF36" s="634">
        <v>3.5252802968749992</v>
      </c>
      <c r="AG36" s="634">
        <v>3.5442451875000001</v>
      </c>
      <c r="AH36" s="634">
        <v>3.5442451875000001</v>
      </c>
      <c r="AI36" s="632">
        <v>2049</v>
      </c>
      <c r="AJ36" s="422"/>
    </row>
    <row r="37" spans="1:36" ht="15" customHeight="1">
      <c r="A37" s="635"/>
      <c r="B37" s="653">
        <v>2052</v>
      </c>
      <c r="C37" s="633"/>
      <c r="D37" s="654">
        <v>2.9399175624999998</v>
      </c>
      <c r="E37" s="634">
        <v>2.9871349375000005</v>
      </c>
      <c r="F37" s="634">
        <v>2.9819952916666668</v>
      </c>
      <c r="G37" s="634">
        <v>2.9768556458333331</v>
      </c>
      <c r="H37" s="634">
        <v>2.9717159999999998</v>
      </c>
      <c r="I37" s="634">
        <v>3.0103624</v>
      </c>
      <c r="J37" s="634">
        <v>3.0490088000000002</v>
      </c>
      <c r="K37" s="634">
        <v>3.0876552000000004</v>
      </c>
      <c r="L37" s="634">
        <v>3.1263016000000006</v>
      </c>
      <c r="M37" s="634">
        <v>3.1649479999999999</v>
      </c>
      <c r="N37" s="634">
        <v>3.1839128968749999</v>
      </c>
      <c r="O37" s="634">
        <v>3.2028777937499999</v>
      </c>
      <c r="P37" s="634">
        <v>3.2218426906249999</v>
      </c>
      <c r="Q37" s="634">
        <v>3.2408075875</v>
      </c>
      <c r="R37" s="634">
        <v>3.259772484375</v>
      </c>
      <c r="S37" s="634">
        <v>3.27873738125</v>
      </c>
      <c r="T37" s="634">
        <v>3.2977022781250001</v>
      </c>
      <c r="U37" s="634">
        <v>3.3166671750000001</v>
      </c>
      <c r="V37" s="634">
        <v>3.3356320718750001</v>
      </c>
      <c r="W37" s="634">
        <v>3.3545969687500001</v>
      </c>
      <c r="X37" s="634">
        <v>3.3735618656250002</v>
      </c>
      <c r="Y37" s="634">
        <v>3.3925267625000002</v>
      </c>
      <c r="Z37" s="634">
        <v>3.4114916593750002</v>
      </c>
      <c r="AA37" s="634">
        <v>3.4304565562500002</v>
      </c>
      <c r="AB37" s="634">
        <v>3.4494214531250003</v>
      </c>
      <c r="AC37" s="634">
        <v>3.4683863500000003</v>
      </c>
      <c r="AD37" s="634">
        <v>3.4873512468750003</v>
      </c>
      <c r="AE37" s="634">
        <v>3.5063161437500003</v>
      </c>
      <c r="AF37" s="634">
        <v>3.5252810406250004</v>
      </c>
      <c r="AG37" s="634">
        <v>3.5442459374999999</v>
      </c>
      <c r="AH37" s="634">
        <v>3.5442459374999999</v>
      </c>
      <c r="AI37" s="632">
        <v>2050</v>
      </c>
      <c r="AJ37" s="422"/>
    </row>
    <row r="38" spans="1:36" ht="15" customHeight="1" thickBot="1">
      <c r="A38" s="635"/>
      <c r="B38" s="655">
        <v>2053</v>
      </c>
      <c r="C38" s="656"/>
      <c r="D38" s="657">
        <v>2.9399174375000001</v>
      </c>
      <c r="E38" s="634">
        <v>2.9871347500000001</v>
      </c>
      <c r="F38" s="634">
        <v>2.9819953541666666</v>
      </c>
      <c r="G38" s="634">
        <v>2.9768559583333332</v>
      </c>
      <c r="H38" s="634">
        <v>2.9717165625000002</v>
      </c>
      <c r="I38" s="634">
        <v>3.0103630375000003</v>
      </c>
      <c r="J38" s="634">
        <v>3.0490095125000005</v>
      </c>
      <c r="K38" s="634">
        <v>3.0876559875000007</v>
      </c>
      <c r="L38" s="634">
        <v>3.1263024625000009</v>
      </c>
      <c r="M38" s="634">
        <v>3.1649489375000002</v>
      </c>
      <c r="N38" s="634">
        <v>3.1839138093750003</v>
      </c>
      <c r="O38" s="634">
        <v>3.2028786812500005</v>
      </c>
      <c r="P38" s="634">
        <v>3.2218435531250007</v>
      </c>
      <c r="Q38" s="634">
        <v>3.2408084250000009</v>
      </c>
      <c r="R38" s="634">
        <v>3.2597732968750011</v>
      </c>
      <c r="S38" s="634">
        <v>3.2787381687500012</v>
      </c>
      <c r="T38" s="634">
        <v>3.2977030406250014</v>
      </c>
      <c r="U38" s="634">
        <v>3.3166679125000016</v>
      </c>
      <c r="V38" s="634">
        <v>3.3356327843750018</v>
      </c>
      <c r="W38" s="634">
        <v>3.3545976562500019</v>
      </c>
      <c r="X38" s="634">
        <v>3.3735625281250021</v>
      </c>
      <c r="Y38" s="634">
        <v>3.3925274000000023</v>
      </c>
      <c r="Z38" s="634">
        <v>3.4114922718750025</v>
      </c>
      <c r="AA38" s="634">
        <v>3.4304571437500027</v>
      </c>
      <c r="AB38" s="634">
        <v>3.4494220156250028</v>
      </c>
      <c r="AC38" s="634">
        <v>3.468386887500003</v>
      </c>
      <c r="AD38" s="634">
        <v>3.4873517593750032</v>
      </c>
      <c r="AE38" s="634">
        <v>3.5063166312500034</v>
      </c>
      <c r="AF38" s="634">
        <v>3.5252815031250035</v>
      </c>
      <c r="AG38" s="634">
        <v>3.5442463749999997</v>
      </c>
      <c r="AH38" s="634">
        <v>3.5442463749999997</v>
      </c>
      <c r="AI38" s="632">
        <v>2051</v>
      </c>
      <c r="AJ38" s="422"/>
    </row>
    <row r="39" spans="1:36" ht="3" customHeight="1">
      <c r="A39" s="635"/>
      <c r="B39" s="636"/>
      <c r="C39" s="633"/>
      <c r="D39" s="633"/>
      <c r="E39" s="633"/>
      <c r="F39" s="633"/>
      <c r="G39" s="633"/>
      <c r="H39" s="633"/>
      <c r="I39" s="633"/>
      <c r="J39" s="633"/>
      <c r="K39" s="633"/>
      <c r="L39" s="633"/>
      <c r="M39" s="633"/>
      <c r="N39" s="633"/>
      <c r="O39" s="633"/>
      <c r="P39" s="633"/>
      <c r="Q39" s="633"/>
      <c r="R39" s="633"/>
      <c r="S39" s="633"/>
      <c r="T39" s="633"/>
      <c r="U39" s="633"/>
      <c r="V39" s="633"/>
      <c r="W39" s="633"/>
      <c r="X39" s="633"/>
      <c r="Y39" s="633"/>
      <c r="Z39" s="633"/>
      <c r="AA39" s="633"/>
      <c r="AB39" s="633"/>
      <c r="AC39" s="633"/>
      <c r="AD39" s="633"/>
      <c r="AE39" s="633"/>
      <c r="AF39" s="633"/>
      <c r="AG39" s="633"/>
      <c r="AH39" s="633"/>
      <c r="AI39" s="636"/>
      <c r="AJ39" s="422"/>
    </row>
    <row r="40" spans="1:36" ht="12.75" customHeight="1">
      <c r="A40" s="629"/>
      <c r="B40" s="637" t="s">
        <v>787</v>
      </c>
      <c r="C40" s="637"/>
      <c r="D40" s="637"/>
      <c r="E40" s="637"/>
      <c r="F40" s="637"/>
      <c r="G40" s="637"/>
      <c r="H40" s="637"/>
      <c r="I40" s="637"/>
      <c r="J40" s="637"/>
      <c r="K40" s="638"/>
      <c r="L40" s="638"/>
      <c r="M40" s="638"/>
      <c r="N40" s="638"/>
      <c r="O40" s="638"/>
      <c r="P40" s="638"/>
      <c r="Q40" s="638"/>
      <c r="R40" s="638"/>
      <c r="S40" s="637" t="s">
        <v>787</v>
      </c>
      <c r="T40" s="638"/>
      <c r="U40" s="638"/>
      <c r="V40" s="638"/>
      <c r="W40" s="638"/>
      <c r="X40" s="638"/>
      <c r="Y40" s="638"/>
      <c r="Z40" s="638"/>
      <c r="AA40" s="638"/>
      <c r="AB40" s="638"/>
      <c r="AC40" s="638"/>
      <c r="AD40" s="638"/>
      <c r="AE40" s="638"/>
      <c r="AF40" s="638"/>
      <c r="AG40" s="638"/>
      <c r="AH40" s="629"/>
      <c r="AI40" s="629"/>
    </row>
    <row r="41" spans="1:36" ht="12.75" customHeight="1">
      <c r="A41" s="629"/>
      <c r="B41" s="420" t="s">
        <v>711</v>
      </c>
      <c r="C41" s="639"/>
      <c r="D41" s="639"/>
      <c r="E41" s="639"/>
      <c r="F41" s="639"/>
      <c r="G41" s="639"/>
      <c r="H41" s="639"/>
      <c r="I41" s="639"/>
      <c r="J41" s="639"/>
      <c r="K41" s="639"/>
      <c r="L41" s="639"/>
      <c r="M41" s="639"/>
      <c r="N41" s="639"/>
      <c r="O41" s="639"/>
      <c r="P41" s="639"/>
      <c r="Q41" s="639"/>
      <c r="R41" s="639"/>
      <c r="S41" s="420" t="str">
        <f>B41</f>
        <v>2/ FY 2022 Appropriation rates are determined in accordance with BPA Appropriations</v>
      </c>
      <c r="T41" s="425"/>
      <c r="U41" s="425"/>
      <c r="V41" s="425"/>
      <c r="W41" s="425"/>
      <c r="X41" s="639"/>
      <c r="Y41" s="639"/>
      <c r="Z41" s="639"/>
      <c r="AA41" s="639"/>
      <c r="AB41" s="639"/>
      <c r="AC41" s="639"/>
      <c r="AD41" s="639"/>
      <c r="AE41" s="639"/>
      <c r="AF41" s="639"/>
      <c r="AG41" s="639"/>
      <c r="AH41" s="639"/>
      <c r="AI41" s="639"/>
    </row>
    <row r="42" spans="1:36" ht="12.75" customHeight="1">
      <c r="A42" s="629"/>
      <c r="B42" s="420" t="s">
        <v>591</v>
      </c>
      <c r="C42" s="424"/>
      <c r="D42" s="424"/>
      <c r="E42" s="424"/>
      <c r="F42" s="424"/>
      <c r="G42" s="424"/>
      <c r="H42" s="424"/>
      <c r="I42" s="424"/>
      <c r="J42" s="424"/>
      <c r="K42" s="424"/>
      <c r="L42" s="638"/>
      <c r="M42" s="638"/>
      <c r="N42" s="638"/>
      <c r="O42" s="638"/>
      <c r="P42" s="638"/>
      <c r="Q42" s="638"/>
      <c r="R42" s="638"/>
      <c r="S42" s="420" t="str">
        <f t="shared" ref="S42:S43" si="0">B42</f>
        <v xml:space="preserve">     Refinancing Act, 16 U.S.C. 8381 enacted on April 26, 1996, and are independent</v>
      </c>
      <c r="T42" s="425"/>
      <c r="U42" s="425"/>
      <c r="V42" s="425"/>
      <c r="W42" s="425"/>
      <c r="X42" s="639"/>
      <c r="Y42" s="639"/>
      <c r="Z42" s="639"/>
      <c r="AA42" s="639"/>
      <c r="AB42" s="639"/>
      <c r="AC42" s="639"/>
      <c r="AD42" s="639"/>
      <c r="AE42" s="639"/>
      <c r="AF42" s="639"/>
      <c r="AG42" s="639"/>
      <c r="AH42" s="639"/>
      <c r="AI42" s="629"/>
    </row>
    <row r="43" spans="1:36" ht="12.75" customHeight="1">
      <c r="A43" s="629"/>
      <c r="B43" s="424" t="s">
        <v>592</v>
      </c>
      <c r="L43" s="629"/>
      <c r="M43" s="629"/>
      <c r="N43" s="629"/>
      <c r="O43" s="629"/>
      <c r="P43" s="629"/>
      <c r="Q43" s="629"/>
      <c r="R43" s="629"/>
      <c r="S43" s="420" t="str">
        <f t="shared" si="0"/>
        <v xml:space="preserve">     of the Global Insight Treasury Yield forecasts.</v>
      </c>
      <c r="X43" s="629"/>
      <c r="Y43" s="629"/>
      <c r="Z43" s="629"/>
      <c r="AA43" s="629"/>
      <c r="AB43" s="629"/>
      <c r="AC43" s="629"/>
      <c r="AD43" s="629"/>
      <c r="AE43" s="629"/>
      <c r="AF43" s="629"/>
      <c r="AG43" s="629"/>
      <c r="AH43" s="629"/>
      <c r="AI43" s="629"/>
    </row>
    <row r="44" spans="1:36" ht="15" customHeight="1">
      <c r="A44" s="629"/>
      <c r="B44" s="629"/>
      <c r="C44" s="629"/>
      <c r="D44" s="629"/>
      <c r="E44" s="629"/>
      <c r="F44" s="629"/>
      <c r="G44" s="629"/>
      <c r="H44" s="629"/>
      <c r="I44" s="629"/>
      <c r="J44" s="629"/>
      <c r="K44" s="629"/>
      <c r="L44" s="629"/>
      <c r="M44" s="629"/>
      <c r="N44" s="629"/>
      <c r="O44" s="629"/>
      <c r="P44" s="629"/>
      <c r="Q44" s="629"/>
      <c r="R44" s="629"/>
      <c r="X44" s="629"/>
      <c r="Y44" s="629"/>
      <c r="Z44" s="629"/>
      <c r="AA44" s="629"/>
      <c r="AB44" s="629"/>
      <c r="AC44" s="629"/>
      <c r="AD44" s="629"/>
      <c r="AE44" s="629"/>
      <c r="AF44" s="629"/>
      <c r="AG44" s="629"/>
      <c r="AH44" s="629"/>
      <c r="AI44" s="629"/>
    </row>
    <row r="46" spans="1:36" ht="15" customHeight="1">
      <c r="A46" s="629"/>
      <c r="B46" t="s">
        <v>710</v>
      </c>
      <c r="C46" s="640"/>
      <c r="D46" s="629"/>
      <c r="E46" s="629"/>
      <c r="F46" s="629"/>
      <c r="G46" s="629"/>
      <c r="H46" s="629"/>
      <c r="I46" s="629"/>
      <c r="J46" s="629"/>
      <c r="K46" s="629"/>
      <c r="L46" s="629"/>
      <c r="M46" s="629"/>
      <c r="N46" s="629"/>
      <c r="O46" s="629"/>
      <c r="P46" s="629"/>
      <c r="Q46" s="629"/>
      <c r="R46" s="640"/>
      <c r="S46" s="641"/>
      <c r="T46" s="641"/>
    </row>
    <row r="47" spans="1:36" ht="15" customHeight="1">
      <c r="A47" s="629"/>
      <c r="B47" s="629"/>
      <c r="C47" s="629"/>
      <c r="D47" s="629"/>
      <c r="E47" s="629"/>
      <c r="F47" s="629"/>
      <c r="G47" s="629"/>
      <c r="H47" s="629"/>
      <c r="I47" s="629"/>
      <c r="J47" s="629"/>
      <c r="K47" s="629"/>
      <c r="L47" s="629"/>
      <c r="M47" s="629"/>
      <c r="N47" s="629"/>
      <c r="O47" s="629"/>
      <c r="P47" s="629"/>
      <c r="Q47" s="629"/>
      <c r="R47" s="973"/>
      <c r="S47" s="973"/>
      <c r="T47" s="973"/>
    </row>
    <row r="48" spans="1:36" ht="15" customHeight="1">
      <c r="A48" s="629"/>
      <c r="B48" s="974" t="s">
        <v>668</v>
      </c>
      <c r="C48" s="974"/>
      <c r="D48" s="974"/>
      <c r="E48" s="974"/>
      <c r="F48" s="974"/>
      <c r="G48" s="974"/>
      <c r="H48" s="974"/>
      <c r="I48" s="974"/>
      <c r="J48" s="974"/>
      <c r="K48" s="974"/>
      <c r="L48" s="974"/>
      <c r="M48" s="974"/>
      <c r="N48" s="974"/>
      <c r="O48" s="974"/>
      <c r="P48" s="974"/>
      <c r="Q48" s="629"/>
      <c r="R48" s="975" t="str">
        <f>B49</f>
        <v>Inflation Forecast (GDP Deflator) and Comparison</v>
      </c>
      <c r="S48" s="975"/>
      <c r="T48" s="975"/>
    </row>
    <row r="49" spans="1:22" ht="15" customHeight="1">
      <c r="A49" s="629"/>
      <c r="B49" s="976" t="s">
        <v>712</v>
      </c>
      <c r="C49" s="976"/>
      <c r="D49" s="976"/>
      <c r="E49" s="976"/>
      <c r="F49" s="976"/>
      <c r="G49" s="976"/>
      <c r="H49" s="976"/>
      <c r="I49" s="976"/>
      <c r="J49" s="976"/>
      <c r="K49" s="976"/>
      <c r="L49" s="976"/>
      <c r="M49" s="976"/>
      <c r="N49" s="976"/>
      <c r="O49" s="976"/>
      <c r="P49" s="976"/>
      <c r="Q49" s="629"/>
      <c r="R49" s="975"/>
      <c r="S49" s="975"/>
      <c r="T49" s="975"/>
    </row>
    <row r="50" spans="1:22" ht="15" customHeight="1">
      <c r="A50" s="629"/>
      <c r="B50" s="968">
        <v>0</v>
      </c>
      <c r="C50" s="968"/>
      <c r="D50" s="968"/>
      <c r="E50" s="968"/>
      <c r="F50" s="968"/>
      <c r="G50" s="968"/>
      <c r="H50" s="968"/>
      <c r="I50" s="968"/>
      <c r="J50" s="968"/>
      <c r="K50" s="968"/>
      <c r="L50" s="968"/>
      <c r="M50" s="968"/>
      <c r="N50" s="968"/>
      <c r="O50" s="968"/>
      <c r="P50" s="968"/>
      <c r="Q50" s="629"/>
      <c r="R50" s="642" t="s">
        <v>554</v>
      </c>
      <c r="S50" s="643" t="s">
        <v>669</v>
      </c>
      <c r="T50" s="643" t="s">
        <v>670</v>
      </c>
    </row>
    <row r="51" spans="1:22" ht="24.75" customHeight="1">
      <c r="B51" s="271" t="s">
        <v>554</v>
      </c>
      <c r="C51" s="271"/>
      <c r="D51" s="429" t="s">
        <v>758</v>
      </c>
      <c r="E51" s="271"/>
      <c r="F51" s="429" t="s">
        <v>759</v>
      </c>
      <c r="G51" s="271"/>
      <c r="H51" s="429" t="s">
        <v>760</v>
      </c>
      <c r="I51" s="271"/>
      <c r="J51" s="429" t="s">
        <v>761</v>
      </c>
      <c r="K51" s="271"/>
      <c r="L51" s="429" t="s">
        <v>762</v>
      </c>
      <c r="M51" s="271"/>
      <c r="N51" s="429" t="s">
        <v>671</v>
      </c>
      <c r="O51" s="271"/>
      <c r="P51" s="429" t="s">
        <v>672</v>
      </c>
      <c r="Q51" s="629"/>
      <c r="R51" s="644">
        <v>2020</v>
      </c>
      <c r="S51" s="645">
        <v>113.74025</v>
      </c>
      <c r="T51" s="645"/>
    </row>
    <row r="52" spans="1:22" ht="15" customHeight="1" thickBot="1">
      <c r="B52" s="426"/>
      <c r="C52" s="426"/>
      <c r="D52" s="426"/>
      <c r="E52" s="426"/>
      <c r="F52" s="667"/>
      <c r="G52" s="426"/>
      <c r="H52" s="426" t="s">
        <v>763</v>
      </c>
      <c r="I52" s="426"/>
      <c r="J52" s="426"/>
      <c r="K52" s="426"/>
      <c r="L52" s="426" t="s">
        <v>763</v>
      </c>
      <c r="M52" s="426"/>
      <c r="N52" s="426" t="s">
        <v>673</v>
      </c>
      <c r="O52" s="426"/>
      <c r="P52" s="426" t="s">
        <v>674</v>
      </c>
      <c r="Q52" s="629"/>
      <c r="R52" s="644">
        <v>2021</v>
      </c>
      <c r="S52" s="645">
        <v>118.20305</v>
      </c>
      <c r="T52" s="646">
        <v>117.08735</v>
      </c>
    </row>
    <row r="53" spans="1:22" ht="15" customHeight="1">
      <c r="B53" s="271">
        <v>2024</v>
      </c>
      <c r="C53" s="636"/>
      <c r="D53" s="430">
        <v>2.516550092345498E-2</v>
      </c>
      <c r="F53" s="668">
        <v>2.805180475741598E-2</v>
      </c>
      <c r="G53" s="633"/>
      <c r="H53" s="431">
        <v>1.0140259023787079</v>
      </c>
      <c r="I53" s="633"/>
      <c r="J53" s="430">
        <v>2.5006376427112301E-2</v>
      </c>
      <c r="K53" s="421"/>
      <c r="L53" s="432">
        <v>1.0241456161744926</v>
      </c>
      <c r="M53" s="633"/>
      <c r="N53" s="430">
        <v>3.0454283303036796E-3</v>
      </c>
      <c r="O53" s="421"/>
      <c r="P53" s="432">
        <v>-1.0119713795784691E-2</v>
      </c>
      <c r="Q53" s="629"/>
      <c r="R53" s="644">
        <v>2022</v>
      </c>
      <c r="S53" s="645">
        <v>122.13145</v>
      </c>
      <c r="T53" s="646">
        <v>121.14935000000001</v>
      </c>
      <c r="V53" s="736" t="s">
        <v>781</v>
      </c>
    </row>
    <row r="54" spans="1:22" ht="15" customHeight="1">
      <c r="B54" s="271">
        <v>2025</v>
      </c>
      <c r="C54" s="636"/>
      <c r="D54" s="430">
        <v>2.2936550521572629E-2</v>
      </c>
      <c r="E54" s="421"/>
      <c r="F54" s="669">
        <v>2.3483465578515203E-2</v>
      </c>
      <c r="G54" s="633"/>
      <c r="H54" s="431">
        <v>1.0378387447529411</v>
      </c>
      <c r="I54" s="633"/>
      <c r="J54" s="430">
        <v>2.4145616174492499E-2</v>
      </c>
      <c r="K54" s="421"/>
      <c r="L54" s="432">
        <v>1.0494309694529822</v>
      </c>
      <c r="M54" s="633"/>
      <c r="N54" s="430">
        <v>-6.6215059597729553E-4</v>
      </c>
      <c r="O54" s="421"/>
      <c r="P54" s="432">
        <v>-1.1592224700041065E-2</v>
      </c>
      <c r="Q54" s="629"/>
      <c r="R54" s="644">
        <v>2023</v>
      </c>
      <c r="S54" s="645">
        <v>124.86132499999999</v>
      </c>
      <c r="T54" s="646">
        <v>124.17885625</v>
      </c>
    </row>
    <row r="55" spans="1:22" ht="15" customHeight="1">
      <c r="A55" s="423"/>
      <c r="B55" s="271">
        <v>2026</v>
      </c>
      <c r="C55" s="636"/>
      <c r="D55" s="430">
        <v>2.1751904373509177E-2</v>
      </c>
      <c r="E55" s="421"/>
      <c r="F55" s="669">
        <v>2.2043057376355625E-2</v>
      </c>
      <c r="G55" s="633"/>
      <c r="H55" s="431">
        <v>1.0607158837509352</v>
      </c>
      <c r="I55" s="633"/>
      <c r="J55" s="430">
        <v>2.46892169230176E-2</v>
      </c>
      <c r="K55" s="421"/>
      <c r="L55" s="432">
        <v>1.0747326298554145</v>
      </c>
      <c r="M55" s="633"/>
      <c r="N55" s="430">
        <v>-2.6461595466619747E-3</v>
      </c>
      <c r="O55" s="421"/>
      <c r="P55" s="432">
        <v>-1.4016746104479338E-2</v>
      </c>
      <c r="Q55" s="629"/>
      <c r="R55" s="644">
        <v>2024</v>
      </c>
      <c r="S55" s="645">
        <v>127.94919999999999</v>
      </c>
      <c r="T55" s="646">
        <v>127.17723124999998</v>
      </c>
      <c r="V55" s="736" t="s">
        <v>782</v>
      </c>
    </row>
    <row r="56" spans="1:22" ht="15" customHeight="1">
      <c r="A56" s="423"/>
      <c r="B56" s="271">
        <v>2027</v>
      </c>
      <c r="C56" s="636"/>
      <c r="D56" s="430">
        <v>2.2299840364267295E-2</v>
      </c>
      <c r="E56" s="421"/>
      <c r="F56" s="669">
        <v>2.2165055241405364E-2</v>
      </c>
      <c r="G56" s="633"/>
      <c r="H56" s="431">
        <v>1.0842267099097109</v>
      </c>
      <c r="I56" s="633"/>
      <c r="J56" s="430">
        <v>2.4109885394006374E-2</v>
      </c>
      <c r="K56" s="421"/>
      <c r="L56" s="432">
        <v>1.1005083544566789</v>
      </c>
      <c r="M56" s="633"/>
      <c r="N56" s="430">
        <v>-1.9448301526010098E-3</v>
      </c>
      <c r="O56" s="421"/>
      <c r="P56" s="432">
        <v>-1.628164454696801E-2</v>
      </c>
      <c r="Q56" s="629"/>
      <c r="R56" s="644">
        <v>2025</v>
      </c>
      <c r="S56" s="645">
        <v>131.10645</v>
      </c>
      <c r="T56" s="646">
        <v>130.3171375</v>
      </c>
    </row>
    <row r="57" spans="1:22" ht="15" customHeight="1">
      <c r="A57" s="423"/>
      <c r="B57" s="271">
        <v>2028</v>
      </c>
      <c r="C57" s="636"/>
      <c r="D57" s="430">
        <v>2.2392212631743055E-2</v>
      </c>
      <c r="E57" s="421"/>
      <c r="F57" s="669">
        <v>2.2369499440281829E-2</v>
      </c>
      <c r="G57" s="633"/>
      <c r="H57" s="431">
        <v>1.1084803186901748</v>
      </c>
      <c r="I57" s="633"/>
      <c r="J57" s="430">
        <v>2.3983383294812748E-2</v>
      </c>
      <c r="K57" s="421"/>
      <c r="L57" s="432">
        <v>1.1268347968054342</v>
      </c>
      <c r="M57" s="633"/>
      <c r="N57" s="430">
        <v>-1.6138838545309182E-3</v>
      </c>
      <c r="O57" s="421"/>
      <c r="P57" s="432">
        <v>-1.8354478115259365E-2</v>
      </c>
      <c r="Q57" s="629"/>
      <c r="R57" s="644">
        <v>2026</v>
      </c>
      <c r="S57" s="645">
        <v>134.24327499999998</v>
      </c>
      <c r="T57" s="646">
        <v>133.45906874999997</v>
      </c>
    </row>
    <row r="58" spans="1:22" ht="15" customHeight="1">
      <c r="A58" s="423"/>
      <c r="B58" s="271">
        <v>2029</v>
      </c>
      <c r="C58" s="636"/>
      <c r="D58" s="430">
        <v>2.2336956107943933E-2</v>
      </c>
      <c r="E58" s="421"/>
      <c r="F58" s="669">
        <v>2.2350542074013189E-2</v>
      </c>
      <c r="G58" s="633"/>
      <c r="H58" s="431">
        <v>1.133255454691275</v>
      </c>
      <c r="I58" s="633"/>
      <c r="J58" s="430">
        <v>2.3922074050725935E-2</v>
      </c>
      <c r="K58" s="421"/>
      <c r="L58" s="432">
        <v>1.1535706788248017</v>
      </c>
      <c r="M58" s="633"/>
      <c r="N58" s="430">
        <v>-1.5715319767127464E-3</v>
      </c>
      <c r="O58" s="421"/>
      <c r="P58" s="432">
        <v>-2.031522413352671E-2</v>
      </c>
      <c r="Q58" s="629"/>
      <c r="R58" s="644">
        <v>2027</v>
      </c>
      <c r="S58" s="645">
        <v>137.46539999999999</v>
      </c>
      <c r="T58" s="646">
        <v>136.65986874999999</v>
      </c>
    </row>
    <row r="59" spans="1:22" ht="15" customHeight="1">
      <c r="A59" s="423"/>
      <c r="B59" s="271">
        <v>2030</v>
      </c>
      <c r="C59" s="636"/>
      <c r="D59" s="430">
        <v>2.2497675972760742E-2</v>
      </c>
      <c r="E59" s="421"/>
      <c r="F59" s="669">
        <v>2.2458158039315033E-2</v>
      </c>
      <c r="G59" s="633"/>
      <c r="H59" s="431">
        <v>1.1587062847916474</v>
      </c>
      <c r="I59" s="633"/>
      <c r="J59" s="430">
        <v>2.372653213688776E-2</v>
      </c>
      <c r="K59" s="421"/>
      <c r="L59" s="432">
        <v>1.180352009402567</v>
      </c>
      <c r="M59" s="633"/>
      <c r="N59" s="430">
        <v>-1.2683740975727269E-3</v>
      </c>
      <c r="O59" s="421"/>
      <c r="P59" s="432">
        <v>-2.1645724610919626E-2</v>
      </c>
      <c r="Q59" s="629"/>
      <c r="R59" s="644">
        <v>2028</v>
      </c>
      <c r="S59" s="645">
        <v>140.75027499999999</v>
      </c>
      <c r="T59" s="646">
        <v>139.92905624999997</v>
      </c>
    </row>
    <row r="60" spans="1:22" ht="15" customHeight="1">
      <c r="A60" s="423"/>
      <c r="B60" s="271">
        <v>2031</v>
      </c>
      <c r="C60" s="636"/>
      <c r="D60" s="430">
        <v>2.3022696876510734E-2</v>
      </c>
      <c r="E60" s="421"/>
      <c r="F60" s="669">
        <v>2.2893619604553151E-2</v>
      </c>
      <c r="G60" s="633"/>
      <c r="H60" s="431">
        <v>1.1852332657090723</v>
      </c>
      <c r="I60" s="633"/>
      <c r="J60" s="430">
        <v>2.3216029212053773E-2</v>
      </c>
      <c r="K60" s="421"/>
      <c r="L60" s="432">
        <v>1.2073910831337682</v>
      </c>
      <c r="M60" s="633"/>
      <c r="N60" s="430">
        <v>-3.2240960750062192E-4</v>
      </c>
      <c r="O60" s="421"/>
      <c r="P60" s="432">
        <v>-2.2157817424695914E-2</v>
      </c>
      <c r="Q60" s="629"/>
      <c r="R60" s="644">
        <v>2029</v>
      </c>
      <c r="S60" s="645">
        <v>144.08202499999999</v>
      </c>
      <c r="T60" s="646">
        <v>143.24908749999997</v>
      </c>
    </row>
    <row r="61" spans="1:22" ht="15" customHeight="1">
      <c r="A61" s="423"/>
      <c r="B61" s="271">
        <v>2032</v>
      </c>
      <c r="C61" s="636"/>
      <c r="D61" s="430">
        <v>2.3024635269633442E-2</v>
      </c>
      <c r="E61" s="421"/>
      <c r="F61" s="669">
        <v>2.3024158896891918E-2</v>
      </c>
      <c r="G61" s="633"/>
      <c r="H61" s="431">
        <v>1.2125222647486402</v>
      </c>
      <c r="I61" s="633"/>
      <c r="J61" s="430">
        <v>2.2907635617011382E-2</v>
      </c>
      <c r="K61" s="421"/>
      <c r="L61" s="432">
        <v>1.2344845139447804</v>
      </c>
      <c r="M61" s="633"/>
      <c r="N61" s="430">
        <v>1.1652327988053574E-4</v>
      </c>
      <c r="O61" s="421"/>
      <c r="P61" s="432">
        <v>-2.1962249196140204E-2</v>
      </c>
      <c r="Q61" s="629"/>
      <c r="R61" s="644">
        <v>2030</v>
      </c>
      <c r="S61" s="645">
        <v>147.405675</v>
      </c>
      <c r="T61" s="646">
        <v>146.57476250000002</v>
      </c>
    </row>
    <row r="62" spans="1:22" ht="15" customHeight="1">
      <c r="A62" s="423"/>
      <c r="B62" s="271">
        <v>2033</v>
      </c>
      <c r="C62" s="636"/>
      <c r="D62" s="430">
        <v>2.3093347404847878E-2</v>
      </c>
      <c r="E62" s="421"/>
      <c r="F62" s="669">
        <v>2.3076460973977881E-2</v>
      </c>
      <c r="G62" s="633"/>
      <c r="H62" s="431">
        <v>1.2405029874711917</v>
      </c>
      <c r="I62" s="633"/>
      <c r="J62" s="430">
        <v>2.2439647923100003E-2</v>
      </c>
      <c r="K62" s="421"/>
      <c r="L62" s="432">
        <v>1.2622378296385703</v>
      </c>
      <c r="M62" s="633"/>
      <c r="N62" s="430">
        <v>6.3681305087787826E-4</v>
      </c>
      <c r="O62" s="421"/>
      <c r="P62" s="432">
        <v>-2.1734842167378643E-2</v>
      </c>
      <c r="Q62" s="629"/>
      <c r="R62" s="644">
        <v>2031</v>
      </c>
      <c r="S62" s="645">
        <v>150.7747</v>
      </c>
      <c r="T62" s="646">
        <v>149.93244375</v>
      </c>
    </row>
    <row r="63" spans="1:22" ht="15" customHeight="1">
      <c r="A63" s="423"/>
      <c r="B63" s="271">
        <v>2034</v>
      </c>
      <c r="C63" s="636"/>
      <c r="D63" s="430">
        <v>2.2859747193643955E-2</v>
      </c>
      <c r="E63" s="421"/>
      <c r="F63" s="669">
        <v>2.2917152977660071E-2</v>
      </c>
      <c r="G63" s="633"/>
      <c r="H63" s="431">
        <v>1.2689317842043135</v>
      </c>
      <c r="I63" s="633"/>
      <c r="J63" s="430">
        <v>2.2481704209560811E-2</v>
      </c>
      <c r="K63" s="421"/>
      <c r="L63" s="432">
        <v>1.2907003542320032</v>
      </c>
      <c r="M63" s="633"/>
      <c r="N63" s="430">
        <v>4.3544876809925928E-4</v>
      </c>
      <c r="O63" s="421"/>
      <c r="P63" s="432">
        <v>-2.1768570027689726E-2</v>
      </c>
      <c r="Q63" s="629"/>
      <c r="R63" s="644">
        <v>2032</v>
      </c>
      <c r="S63" s="645">
        <v>154.13760000000002</v>
      </c>
      <c r="T63" s="646">
        <v>153.296875</v>
      </c>
    </row>
    <row r="64" spans="1:22" ht="15" customHeight="1">
      <c r="A64" s="423"/>
      <c r="B64" s="271">
        <v>2035</v>
      </c>
      <c r="C64" s="636"/>
      <c r="D64" s="430">
        <v>2.2258561027640959E-2</v>
      </c>
      <c r="E64" s="421"/>
      <c r="F64" s="669">
        <v>2.2406324197609118E-2</v>
      </c>
      <c r="G64" s="633"/>
      <c r="H64" s="431">
        <v>1.2973638811458459</v>
      </c>
      <c r="I64" s="633"/>
      <c r="J64" s="430">
        <v>2.2549256507058388E-2</v>
      </c>
      <c r="K64" s="421"/>
      <c r="L64" s="432">
        <v>1.3199214620725741</v>
      </c>
      <c r="M64" s="633"/>
      <c r="N64" s="430">
        <v>-1.4293230944927016E-4</v>
      </c>
      <c r="O64" s="421"/>
      <c r="P64" s="432">
        <v>-2.2557580926728216E-2</v>
      </c>
      <c r="Q64" s="629"/>
      <c r="R64" s="644">
        <v>2033</v>
      </c>
      <c r="S64" s="645">
        <v>157.61180000000002</v>
      </c>
      <c r="T64" s="646">
        <v>156.74325000000002</v>
      </c>
    </row>
    <row r="65" spans="1:20" ht="15" customHeight="1">
      <c r="A65" s="423"/>
      <c r="B65" s="271">
        <v>2036</v>
      </c>
      <c r="C65" s="636"/>
      <c r="D65" s="430">
        <v>2.1712608564849929E-2</v>
      </c>
      <c r="E65" s="421"/>
      <c r="F65" s="669">
        <v>2.1846855571652543E-2</v>
      </c>
      <c r="G65" s="633"/>
      <c r="H65" s="431">
        <v>1.3257072024811176</v>
      </c>
      <c r="I65" s="633"/>
      <c r="J65" s="430">
        <v>2.2639730240066602E-2</v>
      </c>
      <c r="K65" s="421"/>
      <c r="L65" s="432">
        <v>1.3498046190129893</v>
      </c>
      <c r="M65" s="633"/>
      <c r="N65" s="430">
        <v>-7.9287466841405918E-4</v>
      </c>
      <c r="O65" s="421"/>
      <c r="P65" s="432">
        <v>-2.4097416531871696E-2</v>
      </c>
      <c r="Q65" s="629"/>
      <c r="R65" s="644">
        <v>2034</v>
      </c>
      <c r="S65" s="645">
        <v>161.166325</v>
      </c>
      <c r="T65" s="646">
        <v>160.27769375</v>
      </c>
    </row>
    <row r="66" spans="1:20" ht="15" customHeight="1">
      <c r="A66" s="423"/>
      <c r="B66" s="271">
        <v>2037</v>
      </c>
      <c r="C66" s="636"/>
      <c r="D66" s="430">
        <v>2.1321937484798034E-2</v>
      </c>
      <c r="E66" s="421"/>
      <c r="F66" s="669">
        <v>2.1418040273141946E-2</v>
      </c>
      <c r="G66" s="633"/>
      <c r="H66" s="431">
        <v>1.3541012527342524</v>
      </c>
      <c r="I66" s="633"/>
      <c r="J66" s="430">
        <v>2.264010230842969E-2</v>
      </c>
      <c r="K66" s="421"/>
      <c r="L66" s="432">
        <v>1.3803988470863375</v>
      </c>
      <c r="M66" s="633"/>
      <c r="N66" s="430">
        <v>-1.2220620352877444E-3</v>
      </c>
      <c r="O66" s="421"/>
      <c r="P66" s="432">
        <v>-2.6297594352085119E-2</v>
      </c>
      <c r="Q66" s="629"/>
      <c r="R66" s="644">
        <v>2035</v>
      </c>
      <c r="S66" s="645">
        <v>164.81967500000002</v>
      </c>
      <c r="T66" s="646">
        <v>163.90633750000001</v>
      </c>
    </row>
    <row r="67" spans="1:20" ht="15" customHeight="1">
      <c r="A67" s="423"/>
      <c r="B67" s="271">
        <v>2038</v>
      </c>
      <c r="C67" s="636"/>
      <c r="D67" s="430">
        <v>2.1231331026803843E-2</v>
      </c>
      <c r="E67" s="421"/>
      <c r="F67" s="669">
        <v>2.1253626110516535E-2</v>
      </c>
      <c r="G67" s="633"/>
      <c r="H67" s="431">
        <v>1.3828808144756481</v>
      </c>
      <c r="I67" s="633"/>
      <c r="J67" s="430">
        <v>2.2665671492307811E-2</v>
      </c>
      <c r="K67" s="421"/>
      <c r="L67" s="432">
        <v>1.4117330864045545</v>
      </c>
      <c r="M67" s="633"/>
      <c r="N67" s="430">
        <v>-1.4120453817912763E-3</v>
      </c>
      <c r="O67" s="421"/>
      <c r="P67" s="432">
        <v>-2.8852271928906381E-2</v>
      </c>
      <c r="Q67" s="629"/>
      <c r="R67" s="644">
        <v>2036</v>
      </c>
      <c r="S67" s="645">
        <v>168.5497</v>
      </c>
      <c r="T67" s="646">
        <v>167.61719375000001</v>
      </c>
    </row>
    <row r="68" spans="1:20" ht="15" customHeight="1">
      <c r="A68" s="423"/>
      <c r="B68" s="271">
        <v>2039</v>
      </c>
      <c r="C68" s="636"/>
      <c r="D68" s="430">
        <v>2.0948927924324939E-2</v>
      </c>
      <c r="E68" s="421"/>
      <c r="F68" s="669">
        <v>2.1018422109408623E-2</v>
      </c>
      <c r="G68" s="633"/>
      <c r="H68" s="431">
        <v>1.4119467871613001</v>
      </c>
      <c r="I68" s="633"/>
      <c r="J68" s="430">
        <v>2.2699409945433898E-2</v>
      </c>
      <c r="K68" s="421"/>
      <c r="L68" s="432">
        <v>1.443809450854078</v>
      </c>
      <c r="M68" s="633"/>
      <c r="N68" s="430">
        <v>-1.6809878360252752E-3</v>
      </c>
      <c r="O68" s="421"/>
      <c r="P68" s="432">
        <v>-3.1862663692777904E-2</v>
      </c>
      <c r="Q68" s="629"/>
      <c r="R68" s="644">
        <v>2037</v>
      </c>
      <c r="S68" s="645">
        <v>172.37190000000001</v>
      </c>
      <c r="T68" s="646">
        <v>171.41635000000002</v>
      </c>
    </row>
    <row r="69" spans="1:20" ht="15" customHeight="1">
      <c r="A69" s="423"/>
      <c r="B69" s="271">
        <v>2040</v>
      </c>
      <c r="C69" s="636"/>
      <c r="D69" s="430">
        <v>2.1126458313872252E-2</v>
      </c>
      <c r="E69" s="421"/>
      <c r="F69" s="669">
        <v>2.1082762255665997E-2</v>
      </c>
      <c r="G69" s="633"/>
      <c r="H69" s="431">
        <v>1.4417145255926731</v>
      </c>
      <c r="I69" s="633"/>
      <c r="J69" s="430">
        <v>2.2721267042919845E-2</v>
      </c>
      <c r="K69" s="421"/>
      <c r="L69" s="432">
        <v>1.4767410836899215</v>
      </c>
      <c r="M69" s="633"/>
      <c r="N69" s="430">
        <v>-1.6385047872538479E-3</v>
      </c>
      <c r="O69" s="421"/>
      <c r="P69" s="432">
        <v>-3.5026558097248417E-2</v>
      </c>
      <c r="Q69" s="629"/>
      <c r="R69" s="644">
        <v>2038</v>
      </c>
      <c r="S69" s="645">
        <v>176.2859</v>
      </c>
      <c r="T69" s="646">
        <v>175.3074</v>
      </c>
    </row>
    <row r="70" spans="1:20" ht="15" customHeight="1">
      <c r="A70" s="423"/>
      <c r="B70" s="271">
        <v>2041</v>
      </c>
      <c r="C70" s="636"/>
      <c r="D70" s="430">
        <v>2.1036417587574199E-2</v>
      </c>
      <c r="E70" s="421"/>
      <c r="F70" s="669">
        <v>2.105857666207591E-2</v>
      </c>
      <c r="G70" s="633"/>
      <c r="H70" s="431">
        <v>1.4720749814546947</v>
      </c>
      <c r="I70" s="633"/>
      <c r="J70" s="430">
        <v>2.2808849752550878E-2</v>
      </c>
      <c r="K70" s="421"/>
      <c r="L70" s="432">
        <v>1.5102923872356089</v>
      </c>
      <c r="M70" s="633"/>
      <c r="N70" s="430">
        <v>-1.7502730904749679E-3</v>
      </c>
      <c r="O70" s="421"/>
      <c r="P70" s="432">
        <v>-3.8217405780914149E-2</v>
      </c>
      <c r="Q70" s="629"/>
      <c r="R70" s="644">
        <v>2039</v>
      </c>
      <c r="S70" s="645">
        <v>180.29217499999999</v>
      </c>
      <c r="T70" s="646">
        <v>179.29060624999997</v>
      </c>
    </row>
    <row r="71" spans="1:20" ht="15" customHeight="1">
      <c r="A71" s="423"/>
      <c r="B71" s="271">
        <v>2042</v>
      </c>
      <c r="C71" s="636"/>
      <c r="D71" s="430">
        <v>2.0873192478569676E-2</v>
      </c>
      <c r="E71" s="421"/>
      <c r="F71" s="669">
        <v>2.0913364942279182E-2</v>
      </c>
      <c r="G71" s="633"/>
      <c r="H71" s="431">
        <v>1.5028610227642558</v>
      </c>
      <c r="I71" s="633"/>
      <c r="J71" s="430">
        <v>2.2719828083778183E-2</v>
      </c>
      <c r="K71" s="421"/>
      <c r="L71" s="432">
        <v>1.5447747570955745</v>
      </c>
      <c r="M71" s="633"/>
      <c r="N71" s="430">
        <v>-1.8064631414990012E-3</v>
      </c>
      <c r="O71" s="421"/>
      <c r="P71" s="432">
        <v>-4.191373433131873E-2</v>
      </c>
      <c r="Q71" s="629"/>
      <c r="R71" s="644">
        <v>2040</v>
      </c>
      <c r="S71" s="645">
        <v>184.4093</v>
      </c>
      <c r="T71" s="646">
        <v>183.38001874999998</v>
      </c>
    </row>
    <row r="72" spans="1:20" ht="15" customHeight="1">
      <c r="A72" s="423"/>
      <c r="B72" s="271">
        <v>2043</v>
      </c>
      <c r="C72" s="636"/>
      <c r="D72" s="430">
        <v>2.0732422415085609E-2</v>
      </c>
      <c r="E72" s="421"/>
      <c r="F72" s="669">
        <v>2.0767072487729851E-2</v>
      </c>
      <c r="G72" s="633"/>
      <c r="H72" s="431">
        <v>1.5340710465629848</v>
      </c>
      <c r="I72" s="633"/>
      <c r="J72" s="430">
        <v>2.2831585560118769E-2</v>
      </c>
      <c r="K72" s="421"/>
      <c r="L72" s="432">
        <v>1.580262682601411</v>
      </c>
      <c r="M72" s="633"/>
      <c r="N72" s="430">
        <v>-2.0645130723889182E-3</v>
      </c>
      <c r="O72" s="421"/>
      <c r="P72" s="432">
        <v>-4.6191636038426243E-2</v>
      </c>
      <c r="Q72" s="629"/>
      <c r="R72" s="644">
        <v>2041</v>
      </c>
      <c r="S72" s="645">
        <v>188.59207499999999</v>
      </c>
      <c r="T72" s="646">
        <v>187.54638125</v>
      </c>
    </row>
    <row r="73" spans="1:20" ht="15" customHeight="1">
      <c r="A73" s="423"/>
      <c r="B73" s="271">
        <v>2044</v>
      </c>
      <c r="C73" s="636"/>
      <c r="D73" s="430">
        <v>2.0802988761689546E-2</v>
      </c>
      <c r="E73" s="421"/>
      <c r="F73" s="669">
        <v>2.0785617289562148E-2</v>
      </c>
      <c r="G73" s="633"/>
      <c r="H73" s="431">
        <v>1.565957660231841</v>
      </c>
      <c r="I73" s="633"/>
      <c r="J73" s="430">
        <v>2.2972880248612677E-2</v>
      </c>
      <c r="K73" s="421"/>
      <c r="L73" s="432">
        <v>1.6166292299056344</v>
      </c>
      <c r="M73" s="633"/>
      <c r="N73" s="430">
        <v>-2.1872629590505288E-3</v>
      </c>
      <c r="O73" s="421"/>
      <c r="P73" s="432">
        <v>-5.0671569673793382E-2</v>
      </c>
      <c r="Q73" s="629"/>
      <c r="R73" s="644">
        <v>2042</v>
      </c>
      <c r="S73" s="645">
        <v>192.90712500000001</v>
      </c>
      <c r="T73" s="646">
        <v>191.82836250000003</v>
      </c>
    </row>
    <row r="74" spans="1:20" ht="15" customHeight="1">
      <c r="A74" s="423"/>
      <c r="B74" s="271">
        <v>2045</v>
      </c>
      <c r="C74" s="636"/>
      <c r="D74" s="430">
        <v>2.0787367461032911E-2</v>
      </c>
      <c r="E74" s="421"/>
      <c r="F74" s="669">
        <v>2.0791212790438655E-2</v>
      </c>
      <c r="G74" s="633"/>
      <c r="H74" s="431">
        <v>1.5985158191665385</v>
      </c>
      <c r="I74" s="633"/>
      <c r="J74" s="430">
        <v>2.3012976073292595E-2</v>
      </c>
      <c r="K74" s="421"/>
      <c r="L74" s="432">
        <v>1.653867856026416</v>
      </c>
      <c r="M74" s="633"/>
      <c r="N74" s="430">
        <v>-2.2217632828539398E-3</v>
      </c>
      <c r="O74" s="421"/>
      <c r="P74" s="432">
        <v>-5.535203685987744E-2</v>
      </c>
      <c r="Q74" s="629"/>
      <c r="R74" s="644">
        <v>2043</v>
      </c>
      <c r="S74" s="645">
        <v>197.34457499999999</v>
      </c>
      <c r="T74" s="646">
        <v>196.23521249999999</v>
      </c>
    </row>
    <row r="75" spans="1:20" ht="15" customHeight="1">
      <c r="A75" s="423"/>
      <c r="B75" s="271">
        <v>2046</v>
      </c>
      <c r="C75" s="636"/>
      <c r="D75" s="430">
        <v>2.0625443011275935E-2</v>
      </c>
      <c r="E75" s="421"/>
      <c r="F75" s="669">
        <v>2.0665302690368089E-2</v>
      </c>
      <c r="G75" s="633"/>
      <c r="H75" s="431">
        <v>1.6315496324249565</v>
      </c>
      <c r="I75" s="633"/>
      <c r="J75" s="430">
        <v>2.3034735134014099E-2</v>
      </c>
      <c r="K75" s="421"/>
      <c r="L75" s="432">
        <v>1.6920420278874972</v>
      </c>
      <c r="M75" s="633"/>
      <c r="N75" s="430">
        <v>-2.36943244364601E-3</v>
      </c>
      <c r="O75" s="421"/>
      <c r="P75" s="432">
        <v>-6.0492395462540705E-2</v>
      </c>
      <c r="Q75" s="629"/>
      <c r="R75" s="644">
        <v>2044</v>
      </c>
      <c r="S75" s="645">
        <v>201.88669999999999</v>
      </c>
      <c r="T75" s="646">
        <v>200.75116874999998</v>
      </c>
    </row>
    <row r="76" spans="1:20" ht="15" customHeight="1">
      <c r="A76" s="423"/>
      <c r="B76" s="271">
        <v>2047</v>
      </c>
      <c r="C76" s="636"/>
      <c r="D76" s="430">
        <v>2.0784098334525773E-2</v>
      </c>
      <c r="E76" s="421"/>
      <c r="F76" s="669">
        <v>2.0745038720101954E-2</v>
      </c>
      <c r="G76" s="633"/>
      <c r="H76" s="431">
        <v>1.6653961927233805</v>
      </c>
      <c r="I76" s="633"/>
      <c r="J76" s="430">
        <v>2.3081754519855439E-2</v>
      </c>
      <c r="K76" s="421"/>
      <c r="L76" s="432">
        <v>1.7311548659879046</v>
      </c>
      <c r="M76" s="633"/>
      <c r="N76" s="430">
        <v>-2.3367157997534853E-3</v>
      </c>
      <c r="O76" s="421"/>
      <c r="P76" s="432">
        <v>-6.5758673264524115E-2</v>
      </c>
      <c r="Q76" s="629"/>
      <c r="R76" s="644">
        <v>2045</v>
      </c>
      <c r="S76" s="645">
        <v>206.53832499999999</v>
      </c>
      <c r="T76" s="646">
        <v>205.37541874999999</v>
      </c>
    </row>
    <row r="77" spans="1:20" ht="15" customHeight="1">
      <c r="A77" s="423"/>
      <c r="B77" s="271">
        <v>2048</v>
      </c>
      <c r="C77" s="636"/>
      <c r="D77" s="430">
        <v>2.0997105653939613E-2</v>
      </c>
      <c r="E77" s="421"/>
      <c r="F77" s="669">
        <v>2.094467117658616E-2</v>
      </c>
      <c r="G77" s="633"/>
      <c r="H77" s="431">
        <v>1.7002773683587102</v>
      </c>
      <c r="I77" s="633"/>
      <c r="J77" s="430">
        <v>2.311576039824461E-2</v>
      </c>
      <c r="K77" s="421"/>
      <c r="L77" s="432">
        <v>1.7713164937448842</v>
      </c>
      <c r="M77" s="633"/>
      <c r="N77" s="430">
        <v>-2.1710892216584496E-3</v>
      </c>
      <c r="O77" s="421"/>
      <c r="P77" s="432">
        <v>-7.1039125386173962E-2</v>
      </c>
      <c r="Q77" s="629"/>
      <c r="R77" s="644">
        <v>2046</v>
      </c>
      <c r="S77" s="645">
        <v>211.30835000000002</v>
      </c>
      <c r="T77" s="646">
        <v>210.11584375000001</v>
      </c>
    </row>
    <row r="78" spans="1:20" ht="15" customHeight="1">
      <c r="A78" s="423"/>
      <c r="B78" s="271">
        <v>2049</v>
      </c>
      <c r="C78" s="636"/>
      <c r="D78" s="430">
        <v>2.1056430863962864E-2</v>
      </c>
      <c r="E78" s="421"/>
      <c r="F78" s="669">
        <v>2.1041829501224043E-2</v>
      </c>
      <c r="G78" s="633"/>
      <c r="H78" s="431">
        <v>1.7360543148485041</v>
      </c>
      <c r="I78" s="633"/>
      <c r="J78" s="430">
        <v>2.3199326961462097E-2</v>
      </c>
      <c r="K78" s="421"/>
      <c r="L78" s="432">
        <v>1.8124710441597418</v>
      </c>
      <c r="M78" s="633"/>
      <c r="N78" s="430">
        <v>-2.1574974602380538E-3</v>
      </c>
      <c r="O78" s="421"/>
      <c r="P78" s="432">
        <v>-7.6416729311237663E-2</v>
      </c>
      <c r="Q78" s="629"/>
      <c r="R78" s="644">
        <v>2047</v>
      </c>
      <c r="S78" s="645">
        <v>216.19432499999999</v>
      </c>
      <c r="T78" s="646">
        <v>214.97283125000001</v>
      </c>
    </row>
    <row r="79" spans="1:20" ht="15" customHeight="1">
      <c r="A79" s="423"/>
      <c r="B79" s="271">
        <v>2050</v>
      </c>
      <c r="C79" s="636"/>
      <c r="D79" s="430">
        <v>2.1196255590062656E-2</v>
      </c>
      <c r="E79" s="421"/>
      <c r="F79" s="669">
        <v>2.1161842865406014E-2</v>
      </c>
      <c r="G79" s="633"/>
      <c r="H79" s="431">
        <v>1.7727924234651384</v>
      </c>
      <c r="I79" s="633"/>
      <c r="J79" s="430">
        <v>2.3233877491791177E-2</v>
      </c>
      <c r="K79" s="421"/>
      <c r="L79" s="432">
        <v>1.8546298416241052</v>
      </c>
      <c r="M79" s="633"/>
      <c r="N79" s="430">
        <v>-2.0720346263851629E-3</v>
      </c>
      <c r="O79" s="421"/>
      <c r="P79" s="432">
        <v>-8.1837418158966724E-2</v>
      </c>
      <c r="Q79" s="629"/>
      <c r="R79" s="644">
        <v>2048</v>
      </c>
      <c r="S79" s="645">
        <v>221.21530000000001</v>
      </c>
      <c r="T79" s="646">
        <v>219.96005624999998</v>
      </c>
    </row>
    <row r="80" spans="1:20" ht="15" customHeight="1">
      <c r="A80" s="423"/>
      <c r="B80" s="271">
        <v>2051</v>
      </c>
      <c r="C80" s="636"/>
      <c r="D80" s="430">
        <v>2.1306375192296331E-2</v>
      </c>
      <c r="E80" s="421"/>
      <c r="F80" s="669">
        <v>2.1279276091340411E-2</v>
      </c>
      <c r="G80" s="633"/>
      <c r="H80" s="431">
        <v>1.8105161628966897</v>
      </c>
      <c r="I80" s="633"/>
      <c r="J80" s="430">
        <v>2.3260397786883252E-2</v>
      </c>
      <c r="K80" s="421"/>
      <c r="L80" s="432">
        <v>1.8978580139724874</v>
      </c>
      <c r="M80" s="633"/>
      <c r="N80" s="430">
        <v>-1.981121695542841E-3</v>
      </c>
      <c r="O80" s="421"/>
      <c r="P80" s="432">
        <v>-8.7341851075797727E-2</v>
      </c>
      <c r="Q80" s="629"/>
      <c r="R80" s="644">
        <v>2049</v>
      </c>
      <c r="S80" s="645">
        <v>226.35567499999999</v>
      </c>
      <c r="T80" s="646">
        <v>225.07058124999998</v>
      </c>
    </row>
    <row r="81" spans="1:20" ht="15" customHeight="1">
      <c r="A81" s="423"/>
      <c r="B81" s="271">
        <v>2052</v>
      </c>
      <c r="C81" s="636"/>
      <c r="D81" s="430">
        <v>2.15922784803569E-2</v>
      </c>
      <c r="E81" s="421"/>
      <c r="F81" s="669">
        <v>2.1521926861826662E-2</v>
      </c>
      <c r="G81" s="633"/>
      <c r="H81" s="431">
        <v>1.8494819593367076</v>
      </c>
      <c r="I81" s="633"/>
      <c r="J81" s="430"/>
      <c r="K81" s="421"/>
      <c r="L81" s="432"/>
      <c r="M81" s="633"/>
      <c r="N81" s="430"/>
      <c r="O81" s="421"/>
      <c r="P81" s="432"/>
      <c r="Q81" s="629"/>
      <c r="R81" s="644">
        <v>2050</v>
      </c>
      <c r="S81" s="645">
        <v>231.622525</v>
      </c>
      <c r="T81" s="646">
        <v>230.3058125</v>
      </c>
    </row>
    <row r="82" spans="1:20" ht="15" customHeight="1" thickBot="1">
      <c r="A82" s="423"/>
      <c r="B82" s="271">
        <v>2053</v>
      </c>
      <c r="C82" s="636"/>
      <c r="D82" s="430">
        <v>2.1735135104432982E-2</v>
      </c>
      <c r="E82" s="421"/>
      <c r="F82" s="670">
        <v>2.1699990094052459E-2</v>
      </c>
      <c r="G82" s="633"/>
      <c r="H82" s="431">
        <v>1.8896156995334428</v>
      </c>
      <c r="I82" s="633"/>
      <c r="J82" s="647"/>
      <c r="K82" s="633"/>
      <c r="L82" s="633"/>
      <c r="M82" s="633"/>
      <c r="N82" s="647"/>
      <c r="O82" s="633"/>
      <c r="P82" s="633"/>
      <c r="Q82" s="629"/>
      <c r="R82" s="644">
        <v>2051</v>
      </c>
      <c r="S82" s="645">
        <v>237.02427499999999</v>
      </c>
      <c r="T82" s="646">
        <v>235.67383749999999</v>
      </c>
    </row>
    <row r="83" spans="1:20" ht="15" customHeight="1">
      <c r="A83" s="635"/>
      <c r="B83" s="636"/>
      <c r="C83" s="636"/>
      <c r="D83" s="633"/>
      <c r="E83" s="633"/>
      <c r="F83" s="633"/>
      <c r="G83" s="633"/>
      <c r="H83" s="633"/>
      <c r="I83" s="633"/>
      <c r="J83" s="633"/>
      <c r="K83" s="633"/>
      <c r="L83" s="633"/>
      <c r="M83" s="633"/>
      <c r="N83" s="633"/>
      <c r="O83" s="633"/>
      <c r="P83" s="633"/>
      <c r="Q83" s="629"/>
      <c r="R83" s="648"/>
      <c r="S83" s="648"/>
      <c r="T83" s="648"/>
    </row>
    <row r="84" spans="1:20" ht="15" customHeight="1">
      <c r="B84" s="424">
        <v>0</v>
      </c>
      <c r="C84" s="424"/>
      <c r="D84" s="424"/>
      <c r="E84" s="424"/>
      <c r="F84" s="424"/>
      <c r="G84" s="424"/>
      <c r="H84" s="424"/>
      <c r="I84" s="424"/>
      <c r="J84" s="424"/>
      <c r="K84" s="638"/>
      <c r="L84" s="638"/>
      <c r="M84" s="638"/>
      <c r="N84" s="638"/>
      <c r="O84" s="638"/>
      <c r="P84" s="638"/>
      <c r="Q84" s="629"/>
      <c r="R84" s="648"/>
      <c r="S84" s="648"/>
      <c r="T84" s="648"/>
    </row>
    <row r="85" spans="1:20" ht="15" customHeight="1">
      <c r="B85" s="427" t="s">
        <v>675</v>
      </c>
      <c r="C85" s="424"/>
      <c r="D85" s="424"/>
      <c r="E85" s="424"/>
      <c r="F85" s="424"/>
      <c r="G85" s="424"/>
      <c r="H85" s="424"/>
      <c r="I85" s="424"/>
      <c r="J85" s="424"/>
      <c r="K85" s="424"/>
      <c r="L85" s="424"/>
      <c r="M85" s="424"/>
      <c r="N85" s="424"/>
      <c r="O85" s="424"/>
      <c r="P85" s="424"/>
      <c r="Q85" s="629"/>
      <c r="R85" s="639"/>
      <c r="S85" s="639"/>
      <c r="T85" s="639"/>
    </row>
    <row r="86" spans="1:20" ht="15" customHeight="1">
      <c r="A86" s="629"/>
      <c r="B86" s="427" t="s">
        <v>713</v>
      </c>
      <c r="C86" s="428"/>
      <c r="D86" s="428"/>
      <c r="E86" s="428"/>
      <c r="F86" s="428"/>
      <c r="G86" s="428"/>
      <c r="H86" s="428"/>
      <c r="I86" s="428"/>
      <c r="J86" s="428"/>
      <c r="K86" s="428"/>
      <c r="L86" s="428"/>
      <c r="M86" s="428"/>
      <c r="N86" s="428"/>
      <c r="O86" s="428"/>
      <c r="P86" s="428"/>
      <c r="Q86" s="629"/>
      <c r="R86" s="641"/>
      <c r="S86" s="641"/>
      <c r="T86" s="641"/>
    </row>
    <row r="87" spans="1:20" ht="15" customHeight="1">
      <c r="A87" s="629"/>
      <c r="B87" s="427" t="s">
        <v>714</v>
      </c>
      <c r="C87" s="428"/>
      <c r="D87" s="428"/>
      <c r="E87" s="428"/>
      <c r="F87" s="428"/>
      <c r="G87" s="428"/>
      <c r="H87" s="428"/>
      <c r="I87" s="428"/>
      <c r="J87" s="428"/>
      <c r="K87" s="428"/>
      <c r="L87" s="428"/>
      <c r="M87" s="649"/>
      <c r="N87" s="649"/>
      <c r="O87" s="649"/>
      <c r="P87" s="649"/>
      <c r="Q87" s="629"/>
      <c r="R87" s="641"/>
      <c r="S87" s="641"/>
      <c r="T87" s="641"/>
    </row>
    <row r="88" spans="1:20" ht="15" customHeight="1">
      <c r="A88" s="629"/>
      <c r="B88" s="629"/>
      <c r="C88" s="629"/>
      <c r="D88" s="629"/>
      <c r="E88" s="629"/>
      <c r="F88" s="629"/>
      <c r="G88" s="629"/>
      <c r="H88" s="629"/>
      <c r="I88" s="629"/>
      <c r="J88" s="629"/>
      <c r="K88" s="629"/>
      <c r="L88" s="629"/>
      <c r="M88" s="629"/>
      <c r="N88" s="629"/>
      <c r="O88" s="629"/>
      <c r="P88" s="629"/>
      <c r="Q88" s="629"/>
      <c r="R88" s="641"/>
      <c r="S88" s="641"/>
      <c r="T88" s="641"/>
    </row>
  </sheetData>
  <mergeCells count="15">
    <mergeCell ref="B50:P50"/>
    <mergeCell ref="B6:R6"/>
    <mergeCell ref="B7:R7"/>
    <mergeCell ref="S7:AI7"/>
    <mergeCell ref="B3:R3"/>
    <mergeCell ref="S3:AI3"/>
    <mergeCell ref="B4:R4"/>
    <mergeCell ref="S4:AI4"/>
    <mergeCell ref="B5:R5"/>
    <mergeCell ref="S5:AI5"/>
    <mergeCell ref="R47:T47"/>
    <mergeCell ref="B48:P48"/>
    <mergeCell ref="R48:T48"/>
    <mergeCell ref="B49:P49"/>
    <mergeCell ref="R49:T49"/>
  </mergeCell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11">
    <tabColor rgb="FF92D050"/>
    <pageSetUpPr autoPageBreaks="0"/>
  </sheetPr>
  <dimension ref="A1:D28"/>
  <sheetViews>
    <sheetView workbookViewId="0">
      <selection activeCell="Q21" sqref="Q21"/>
    </sheetView>
  </sheetViews>
  <sheetFormatPr defaultColWidth="9.140625" defaultRowHeight="14.25"/>
  <cols>
    <col min="1" max="1" width="55.5703125" style="746" customWidth="1"/>
    <col min="2" max="2" width="13.5703125" style="746" customWidth="1"/>
    <col min="3" max="3" width="21.140625" style="746" customWidth="1"/>
    <col min="4" max="4" width="10.5703125" style="746" bestFit="1" customWidth="1"/>
    <col min="5" max="16384" width="9.140625" style="746"/>
  </cols>
  <sheetData>
    <row r="1" spans="1:4" ht="15.75" thickBot="1">
      <c r="A1" s="769"/>
      <c r="B1" s="977" t="s">
        <v>381</v>
      </c>
      <c r="C1" s="977"/>
      <c r="D1" s="977"/>
    </row>
    <row r="2" spans="1:4" ht="15">
      <c r="A2" s="805"/>
      <c r="B2" s="806">
        <v>2026</v>
      </c>
      <c r="C2" s="806">
        <f>B2+1</f>
        <v>2027</v>
      </c>
      <c r="D2" s="806">
        <f t="shared" ref="D2" si="0">C2+1</f>
        <v>2028</v>
      </c>
    </row>
    <row r="3" spans="1:4" ht="15">
      <c r="A3" s="769" t="s">
        <v>404</v>
      </c>
    </row>
    <row r="4" spans="1:4">
      <c r="A4" s="816" t="s">
        <v>132</v>
      </c>
      <c r="B4" s="285">
        <f>+HLOOKUP(B$2,'Revenue Requirement'!$C$2:$I$72,68,FALSE)</f>
        <v>0</v>
      </c>
      <c r="C4" s="285">
        <f>+HLOOKUP(C$2,'Revenue Requirement'!$C$2:$I$72,68,FALSE)</f>
        <v>0</v>
      </c>
      <c r="D4" s="285">
        <f>+HLOOKUP(D$2,'Revenue Requirement'!$C$2:$I$72,68,FALSE)</f>
        <v>0</v>
      </c>
    </row>
    <row r="5" spans="1:4">
      <c r="A5" s="816" t="s">
        <v>133</v>
      </c>
      <c r="B5" s="759">
        <f>-HLOOKUP(B$2,'Capital Input File'!$D$12:$AE$14,2,FALSE)</f>
        <v>0</v>
      </c>
      <c r="C5" s="759">
        <f>-HLOOKUP(C$2,'Capital Input File'!$D$12:$AE$14,2,FALSE)</f>
        <v>0</v>
      </c>
      <c r="D5" s="759">
        <f>-HLOOKUP(D$2,'Capital Input File'!$D$12:$AE$14,2,FALSE)</f>
        <v>0</v>
      </c>
    </row>
    <row r="6" spans="1:4">
      <c r="A6" s="817" t="s">
        <v>134</v>
      </c>
      <c r="B6" s="285">
        <v>233000</v>
      </c>
      <c r="C6" s="285">
        <f t="shared" ref="C6:D6" si="1">B7</f>
        <v>233000</v>
      </c>
      <c r="D6" s="285">
        <f t="shared" si="1"/>
        <v>233000</v>
      </c>
    </row>
    <row r="7" spans="1:4">
      <c r="A7" s="817" t="s">
        <v>135</v>
      </c>
      <c r="B7" s="759">
        <f>SUM(B4:B6)</f>
        <v>233000</v>
      </c>
      <c r="C7" s="759">
        <f t="shared" ref="C7:D7" si="2">SUM(C4:C6)</f>
        <v>233000</v>
      </c>
      <c r="D7" s="759">
        <f t="shared" si="2"/>
        <v>233000</v>
      </c>
    </row>
    <row r="8" spans="1:4">
      <c r="A8" s="817" t="s">
        <v>191</v>
      </c>
      <c r="B8" s="759"/>
      <c r="C8" s="759"/>
      <c r="D8" s="759"/>
    </row>
    <row r="9" spans="1:4">
      <c r="A9" s="817" t="s">
        <v>136</v>
      </c>
      <c r="B9" s="285">
        <f>ROUND((AVERAGE(B6:B7)),0)</f>
        <v>233000</v>
      </c>
      <c r="C9" s="285">
        <f t="shared" ref="C9:D9" si="3">ROUND((AVERAGE(C6:C7)),0)</f>
        <v>233000</v>
      </c>
      <c r="D9" s="285">
        <f t="shared" si="3"/>
        <v>233000</v>
      </c>
    </row>
    <row r="10" spans="1:4">
      <c r="A10" s="818" t="s">
        <v>137</v>
      </c>
      <c r="B10" s="760">
        <f>HLOOKUP(B$2,$B$25:$D$27,3,FALSE)</f>
        <v>3.01524125E-2</v>
      </c>
      <c r="C10" s="760">
        <f>HLOOKUP(C$2,$B$25:$D$27,3,FALSE)</f>
        <v>2.9219194375E-2</v>
      </c>
      <c r="D10" s="760">
        <f>HLOOKUP(D$2,$B$25:$D$27,3,FALSE)</f>
        <v>2.9266443124999996E-2</v>
      </c>
    </row>
    <row r="11" spans="1:4" ht="15">
      <c r="A11" s="769" t="s">
        <v>138</v>
      </c>
      <c r="B11" s="759">
        <f>B9*B10</f>
        <v>7025.5121124999996</v>
      </c>
      <c r="C11" s="759">
        <f t="shared" ref="C11:D11" si="4">C9*C10</f>
        <v>6808.0722893749999</v>
      </c>
      <c r="D11" s="759">
        <f t="shared" si="4"/>
        <v>6819.0812481249986</v>
      </c>
    </row>
    <row r="12" spans="1:4" ht="15">
      <c r="A12" s="572" t="s">
        <v>139</v>
      </c>
      <c r="B12" s="285">
        <f>HLOOKUP(B$2,'Repayment Inputs'!$D$2:$J$44,8,FALSE)</f>
        <v>1406</v>
      </c>
      <c r="C12" s="285">
        <f>HLOOKUP(C$2,'Repayment Inputs'!$D$2:$J$44,8,FALSE)</f>
        <v>1462</v>
      </c>
      <c r="D12" s="285">
        <f>HLOOKUP(D$2,'Repayment Inputs'!$D$2:$J$44,8,FALSE)</f>
        <v>1771</v>
      </c>
    </row>
    <row r="14" spans="1:4" ht="15">
      <c r="A14" s="769" t="s">
        <v>402</v>
      </c>
    </row>
    <row r="15" spans="1:4">
      <c r="A15" s="817" t="s">
        <v>134</v>
      </c>
      <c r="B15" s="759">
        <v>84500</v>
      </c>
      <c r="C15" s="759">
        <f t="shared" ref="C15:D15" si="5">B16</f>
        <v>84500</v>
      </c>
      <c r="D15" s="759">
        <f t="shared" si="5"/>
        <v>84500</v>
      </c>
    </row>
    <row r="16" spans="1:4">
      <c r="A16" s="817" t="s">
        <v>135</v>
      </c>
      <c r="B16" s="285">
        <f>+B15</f>
        <v>84500</v>
      </c>
      <c r="C16" s="285">
        <f t="shared" ref="C16:D16" si="6">B16</f>
        <v>84500</v>
      </c>
      <c r="D16" s="285">
        <f t="shared" si="6"/>
        <v>84500</v>
      </c>
    </row>
    <row r="17" spans="1:4">
      <c r="A17" s="817" t="s">
        <v>191</v>
      </c>
      <c r="B17" s="285"/>
      <c r="C17" s="285"/>
      <c r="D17" s="285"/>
    </row>
    <row r="18" spans="1:4">
      <c r="A18" s="817" t="s">
        <v>136</v>
      </c>
      <c r="B18" s="285">
        <f t="shared" ref="B18:D18" si="7">ROUND((AVERAGE(B15:B16)),0)</f>
        <v>84500</v>
      </c>
      <c r="C18" s="285">
        <f t="shared" si="7"/>
        <v>84500</v>
      </c>
      <c r="D18" s="285">
        <f t="shared" si="7"/>
        <v>84500</v>
      </c>
    </row>
    <row r="19" spans="1:4" ht="15">
      <c r="A19" s="572" t="s">
        <v>403</v>
      </c>
      <c r="B19" s="759">
        <f>B18*B10</f>
        <v>2547.8788562499999</v>
      </c>
      <c r="C19" s="759">
        <f t="shared" ref="C19:D19" si="8">C18*C10</f>
        <v>2469.0219246874999</v>
      </c>
      <c r="D19" s="759">
        <f t="shared" si="8"/>
        <v>2473.0144440624995</v>
      </c>
    </row>
    <row r="20" spans="1:4">
      <c r="A20" s="817" t="s">
        <v>140</v>
      </c>
      <c r="B20" s="285">
        <v>0</v>
      </c>
      <c r="C20" s="285">
        <v>0</v>
      </c>
      <c r="D20" s="285">
        <v>0</v>
      </c>
    </row>
    <row r="22" spans="1:4" ht="15">
      <c r="A22" s="769" t="s">
        <v>141</v>
      </c>
      <c r="B22" s="821">
        <f t="shared" ref="B22:D22" si="9">B11+B12+B19+B20</f>
        <v>10979.39096875</v>
      </c>
      <c r="C22" s="821">
        <f t="shared" si="9"/>
        <v>10739.094214062499</v>
      </c>
      <c r="D22" s="821">
        <f t="shared" si="9"/>
        <v>11063.095692187499</v>
      </c>
    </row>
    <row r="23" spans="1:4">
      <c r="B23" s="759"/>
      <c r="C23" s="759"/>
      <c r="D23" s="759"/>
    </row>
    <row r="25" spans="1:4" ht="15">
      <c r="B25" s="806">
        <f>B2</f>
        <v>2026</v>
      </c>
      <c r="C25" s="806">
        <f t="shared" ref="C25:D25" si="10">C2</f>
        <v>2027</v>
      </c>
      <c r="D25" s="806">
        <f t="shared" si="10"/>
        <v>2028</v>
      </c>
    </row>
    <row r="26" spans="1:4" ht="15">
      <c r="A26" s="769" t="s">
        <v>788</v>
      </c>
      <c r="B26" s="819">
        <v>3.01524125E-2</v>
      </c>
      <c r="C26" s="819">
        <v>2.9219194375E-2</v>
      </c>
      <c r="D26" s="819">
        <v>2.9266443124999996E-2</v>
      </c>
    </row>
    <row r="27" spans="1:4">
      <c r="B27" s="819">
        <v>3.01524125E-2</v>
      </c>
      <c r="C27" s="819">
        <v>2.9219194375E-2</v>
      </c>
      <c r="D27" s="819">
        <v>2.9266443124999996E-2</v>
      </c>
    </row>
    <row r="28" spans="1:4" ht="15">
      <c r="B28" s="820"/>
    </row>
  </sheetData>
  <customSheetViews>
    <customSheetView guid="{2226E858-00AE-4A92-8CF6-5B54D2FA62D4}" showPageBreaks="1">
      <selection activeCell="E19" sqref="E19"/>
      <pageMargins left="0.7" right="0.7" top="0.75" bottom="0.75" header="0.3" footer="0.3"/>
      <pageSetup orientation="portrait" r:id="rId1"/>
    </customSheetView>
  </customSheetViews>
  <mergeCells count="1">
    <mergeCell ref="B1:D1"/>
  </mergeCells>
  <pageMargins left="0.7" right="0.7" top="0.75" bottom="0.75" header="0.3" footer="0.3"/>
  <pageSetup orientation="portrait" r:id="rId2"/>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codeName="Sheet13">
    <tabColor rgb="FFFF3399"/>
    <pageSetUpPr autoPageBreaks="0" fitToPage="1"/>
  </sheetPr>
  <dimension ref="A1:T72"/>
  <sheetViews>
    <sheetView workbookViewId="0">
      <selection sqref="A1:K1"/>
    </sheetView>
  </sheetViews>
  <sheetFormatPr defaultColWidth="9.140625" defaultRowHeight="14.25"/>
  <cols>
    <col min="1" max="2" width="9.140625" style="90"/>
    <col min="3" max="3" width="29.28515625" style="90" customWidth="1"/>
    <col min="4" max="11" width="15.7109375" style="90" customWidth="1"/>
    <col min="12" max="12" width="25.140625" style="117" bestFit="1" customWidth="1"/>
    <col min="13" max="13" width="25.140625" style="90" bestFit="1" customWidth="1"/>
    <col min="14" max="14" width="9.140625" style="90"/>
    <col min="15" max="15" width="9.5703125" style="90" bestFit="1" customWidth="1"/>
    <col min="16" max="19" width="9.140625" style="90"/>
    <col min="20" max="20" width="10.5703125" style="90" bestFit="1" customWidth="1"/>
    <col min="21" max="16384" width="9.140625" style="90"/>
  </cols>
  <sheetData>
    <row r="1" spans="1:13" ht="18">
      <c r="A1" s="978" t="s">
        <v>293</v>
      </c>
      <c r="B1" s="979"/>
      <c r="C1" s="979"/>
      <c r="D1" s="979"/>
      <c r="E1" s="979"/>
      <c r="F1" s="979"/>
      <c r="G1" s="979"/>
      <c r="H1" s="979"/>
      <c r="I1" s="979"/>
      <c r="J1" s="979"/>
      <c r="K1" s="980"/>
    </row>
    <row r="2" spans="1:13" ht="18">
      <c r="A2" s="118"/>
      <c r="B2" s="125" t="s">
        <v>547</v>
      </c>
      <c r="C2" s="91">
        <v>43363</v>
      </c>
      <c r="D2" s="116"/>
      <c r="E2" s="94"/>
      <c r="F2" s="147" t="s">
        <v>397</v>
      </c>
      <c r="G2" s="148"/>
      <c r="H2" s="138"/>
      <c r="I2" s="147" t="s">
        <v>399</v>
      </c>
      <c r="J2" s="139"/>
      <c r="K2" s="149"/>
    </row>
    <row r="3" spans="1:13" ht="18">
      <c r="A3" s="118"/>
      <c r="B3" s="125" t="s">
        <v>73</v>
      </c>
      <c r="C3" s="93" t="s">
        <v>548</v>
      </c>
      <c r="D3" s="116"/>
      <c r="E3" s="94"/>
      <c r="F3" s="150" t="s">
        <v>398</v>
      </c>
      <c r="G3" s="151" t="s">
        <v>235</v>
      </c>
      <c r="H3" s="138"/>
      <c r="I3" s="152" t="s">
        <v>238</v>
      </c>
      <c r="J3" s="138"/>
      <c r="K3" s="149"/>
    </row>
    <row r="4" spans="1:13" ht="18" customHeight="1">
      <c r="A4" s="118"/>
      <c r="B4" s="125" t="s">
        <v>10</v>
      </c>
      <c r="C4" s="153" t="s">
        <v>400</v>
      </c>
      <c r="D4" s="116"/>
      <c r="E4" s="94"/>
      <c r="F4" s="144">
        <v>43356</v>
      </c>
      <c r="G4" s="154" t="s">
        <v>389</v>
      </c>
      <c r="H4" s="138"/>
      <c r="I4" s="155" t="s">
        <v>87</v>
      </c>
      <c r="J4" s="116"/>
      <c r="K4" s="149"/>
    </row>
    <row r="5" spans="1:13" ht="18" customHeight="1">
      <c r="A5" s="118"/>
      <c r="B5" s="126" t="s">
        <v>9</v>
      </c>
      <c r="C5" s="153" t="s">
        <v>540</v>
      </c>
      <c r="D5" s="94"/>
      <c r="F5" s="144">
        <v>43356</v>
      </c>
      <c r="G5" s="156" t="s">
        <v>391</v>
      </c>
      <c r="H5" s="138"/>
      <c r="I5" s="141" t="s">
        <v>390</v>
      </c>
      <c r="J5" s="94"/>
      <c r="K5" s="149"/>
    </row>
    <row r="6" spans="1:13" ht="15">
      <c r="A6" s="118"/>
      <c r="B6" s="126" t="s">
        <v>386</v>
      </c>
      <c r="C6" s="93"/>
      <c r="D6" s="94"/>
      <c r="E6" s="157"/>
      <c r="F6" s="144">
        <v>43361</v>
      </c>
      <c r="G6" s="158" t="s">
        <v>465</v>
      </c>
      <c r="H6" s="138"/>
      <c r="I6" s="159" t="s">
        <v>387</v>
      </c>
      <c r="J6" s="94"/>
      <c r="K6" s="149"/>
    </row>
    <row r="7" spans="1:13" ht="15">
      <c r="A7" s="118"/>
      <c r="B7" s="126" t="s">
        <v>385</v>
      </c>
      <c r="C7" s="93"/>
      <c r="D7" s="94"/>
      <c r="E7" s="157"/>
      <c r="F7" s="145">
        <v>43363</v>
      </c>
      <c r="G7" s="96" t="s">
        <v>468</v>
      </c>
      <c r="H7" s="138"/>
      <c r="I7" s="140"/>
      <c r="J7" s="94"/>
      <c r="K7" s="112"/>
    </row>
    <row r="8" spans="1:13" ht="15">
      <c r="A8" s="118"/>
      <c r="B8" s="126" t="s">
        <v>281</v>
      </c>
      <c r="C8" s="160">
        <v>2018</v>
      </c>
      <c r="D8" s="94"/>
      <c r="E8" s="140"/>
      <c r="F8" s="157"/>
      <c r="G8" s="138"/>
      <c r="H8" s="140"/>
      <c r="I8" s="140"/>
      <c r="J8" s="94"/>
      <c r="K8" s="112"/>
    </row>
    <row r="9" spans="1:13" ht="15">
      <c r="A9" s="118"/>
      <c r="B9" s="126"/>
      <c r="C9" s="129"/>
      <c r="D9" s="94"/>
      <c r="E9" s="140"/>
      <c r="F9" s="981"/>
      <c r="G9" s="981"/>
      <c r="H9" s="981"/>
      <c r="I9" s="981"/>
      <c r="J9" s="140"/>
      <c r="K9" s="112"/>
    </row>
    <row r="10" spans="1:13" ht="15">
      <c r="A10" s="982"/>
      <c r="B10" s="983"/>
      <c r="C10" s="142"/>
      <c r="D10" s="113"/>
      <c r="E10" s="113"/>
      <c r="F10" s="113"/>
      <c r="G10" s="113"/>
      <c r="H10" s="113"/>
      <c r="I10" s="113"/>
      <c r="J10" s="113"/>
      <c r="K10" s="114"/>
    </row>
    <row r="11" spans="1:13" ht="15" thickBot="1">
      <c r="A11" s="94"/>
      <c r="B11" s="94"/>
      <c r="C11" s="94"/>
      <c r="D11" s="94"/>
      <c r="E11" s="94"/>
      <c r="F11" s="94"/>
      <c r="G11" s="94"/>
      <c r="H11" s="94"/>
      <c r="I11" s="94"/>
      <c r="J11" s="94"/>
      <c r="K11" s="94"/>
    </row>
    <row r="12" spans="1:13" ht="29.25" customHeight="1">
      <c r="A12" s="984">
        <f>C8</f>
        <v>2018</v>
      </c>
      <c r="B12" s="985"/>
      <c r="C12" s="985"/>
      <c r="D12" s="161" t="s">
        <v>170</v>
      </c>
      <c r="E12" s="162" t="s">
        <v>171</v>
      </c>
      <c r="F12" s="162" t="s">
        <v>172</v>
      </c>
      <c r="G12" s="162" t="s">
        <v>173</v>
      </c>
      <c r="H12" s="162" t="s">
        <v>174</v>
      </c>
      <c r="I12" s="162" t="s">
        <v>175</v>
      </c>
      <c r="J12" s="162" t="s">
        <v>176</v>
      </c>
      <c r="K12" s="163" t="s">
        <v>177</v>
      </c>
      <c r="L12" s="164"/>
      <c r="M12" s="164"/>
    </row>
    <row r="13" spans="1:13" ht="15">
      <c r="A13" s="165" t="s">
        <v>272</v>
      </c>
      <c r="B13" s="128"/>
      <c r="C13" s="128"/>
      <c r="D13" s="127"/>
      <c r="E13" s="127"/>
      <c r="F13" s="127"/>
      <c r="G13" s="127"/>
      <c r="H13" s="127"/>
      <c r="I13" s="127"/>
      <c r="J13" s="127"/>
      <c r="K13" s="166"/>
    </row>
    <row r="14" spans="1:13" ht="15">
      <c r="A14" s="167" t="s">
        <v>178</v>
      </c>
      <c r="B14" s="168"/>
      <c r="C14" s="168"/>
      <c r="D14" s="169">
        <f>SUM(E14:K14)</f>
        <v>6129285.7073825682</v>
      </c>
      <c r="E14" s="105">
        <v>94062.494407769234</v>
      </c>
      <c r="F14" s="105">
        <v>5015904.63797794</v>
      </c>
      <c r="G14" s="105">
        <v>741664.03299930389</v>
      </c>
      <c r="H14" s="105">
        <v>75949.917018195469</v>
      </c>
      <c r="I14" s="105">
        <v>13062.192920878904</v>
      </c>
      <c r="J14" s="105">
        <v>5629.7672906089911</v>
      </c>
      <c r="K14" s="104">
        <v>183012.66476787149</v>
      </c>
      <c r="L14" s="170"/>
    </row>
    <row r="15" spans="1:13">
      <c r="A15" s="171" t="s">
        <v>237</v>
      </c>
      <c r="B15" s="172"/>
      <c r="C15" s="172"/>
      <c r="D15" s="173">
        <f>SUM(E15:K15)</f>
        <v>1</v>
      </c>
      <c r="E15" s="174">
        <f>E14/D14</f>
        <v>1.5346403952824937E-2</v>
      </c>
      <c r="F15" s="174">
        <f>F14/D14</f>
        <v>0.81835060028877604</v>
      </c>
      <c r="G15" s="174">
        <f>G14/D14</f>
        <v>0.12100333846503329</v>
      </c>
      <c r="H15" s="174">
        <f>H14/D14</f>
        <v>1.2391316157234395E-2</v>
      </c>
      <c r="I15" s="174">
        <f>I14/D14</f>
        <v>2.1311117713350885E-3</v>
      </c>
      <c r="J15" s="174">
        <f>J14/D14</f>
        <v>9.1850299682197552E-4</v>
      </c>
      <c r="K15" s="175">
        <f>K14/D14</f>
        <v>2.9858726367974233E-2</v>
      </c>
      <c r="L15" s="170"/>
    </row>
    <row r="16" spans="1:13">
      <c r="A16" s="176" t="s">
        <v>81</v>
      </c>
      <c r="B16" s="172"/>
      <c r="C16" s="172"/>
      <c r="D16" s="97"/>
      <c r="E16" s="97"/>
      <c r="F16" s="97"/>
      <c r="G16" s="97"/>
      <c r="H16" s="97"/>
      <c r="I16" s="97"/>
      <c r="J16" s="97"/>
      <c r="K16" s="98"/>
    </row>
    <row r="17" spans="1:12">
      <c r="A17" s="167"/>
      <c r="B17" s="172" t="s">
        <v>499</v>
      </c>
      <c r="C17" s="172"/>
      <c r="D17" s="169">
        <f>SUM(E17:K17)</f>
        <v>4258.7738650591473</v>
      </c>
      <c r="E17" s="100"/>
      <c r="F17" s="102">
        <v>4243.9425950591476</v>
      </c>
      <c r="G17" s="102">
        <v>14.83127</v>
      </c>
      <c r="H17" s="100"/>
      <c r="I17" s="100"/>
      <c r="J17" s="100"/>
      <c r="K17" s="99"/>
      <c r="L17" s="170"/>
    </row>
    <row r="18" spans="1:12">
      <c r="A18" s="167"/>
      <c r="B18" s="172" t="s">
        <v>500</v>
      </c>
      <c r="C18" s="172"/>
      <c r="D18" s="169">
        <f>SUM(E18:K18)</f>
        <v>-56.360042330999995</v>
      </c>
      <c r="E18" s="100"/>
      <c r="F18" s="101">
        <v>-56.360042330999995</v>
      </c>
      <c r="G18" s="100"/>
      <c r="H18" s="100"/>
      <c r="I18" s="100"/>
      <c r="J18" s="100"/>
      <c r="K18" s="99"/>
      <c r="L18" s="170"/>
    </row>
    <row r="19" spans="1:12">
      <c r="A19" s="167"/>
      <c r="B19" s="172" t="s">
        <v>496</v>
      </c>
      <c r="C19" s="172"/>
      <c r="D19" s="169">
        <f>SUM(E19:K19)</f>
        <v>4202.4138227281474</v>
      </c>
      <c r="E19" s="100"/>
      <c r="F19" s="169">
        <f>SUM(F17:F18)</f>
        <v>4187.5825527281477</v>
      </c>
      <c r="G19" s="169">
        <f>SUM(G17:G18)</f>
        <v>14.83127</v>
      </c>
      <c r="H19" s="100"/>
      <c r="I19" s="100"/>
      <c r="J19" s="100"/>
      <c r="K19" s="99"/>
      <c r="L19" s="170"/>
    </row>
    <row r="20" spans="1:12">
      <c r="A20" s="177" t="s">
        <v>179</v>
      </c>
      <c r="B20" s="172"/>
      <c r="C20" s="172"/>
      <c r="D20" s="103">
        <v>136265.20439799028</v>
      </c>
      <c r="E20" s="169">
        <f>D20*E15</f>
        <v>2091.1808714058161</v>
      </c>
      <c r="F20" s="169">
        <f>D20*F15</f>
        <v>111512.71181756811</v>
      </c>
      <c r="G20" s="169">
        <f>D20*G15</f>
        <v>16488.544648776962</v>
      </c>
      <c r="H20" s="169">
        <f>D20*H15</f>
        <v>1688.5052289256644</v>
      </c>
      <c r="I20" s="169">
        <f>D20*I15</f>
        <v>290.39638111593894</v>
      </c>
      <c r="J20" s="169">
        <f>D20*J15</f>
        <v>125.15999860211311</v>
      </c>
      <c r="K20" s="178">
        <f>D20*K15</f>
        <v>4068.7054515956706</v>
      </c>
      <c r="L20" s="170"/>
    </row>
    <row r="21" spans="1:12" ht="15">
      <c r="A21" s="179" t="s">
        <v>180</v>
      </c>
      <c r="B21" s="168"/>
      <c r="C21" s="168"/>
      <c r="D21" s="180">
        <f>D20+D19</f>
        <v>140467.61822071843</v>
      </c>
      <c r="E21" s="180">
        <f t="shared" ref="E21:K21" si="0">E20+E19</f>
        <v>2091.1808714058161</v>
      </c>
      <c r="F21" s="180">
        <f t="shared" si="0"/>
        <v>115700.29437029625</v>
      </c>
      <c r="G21" s="180">
        <f t="shared" si="0"/>
        <v>16503.375918776961</v>
      </c>
      <c r="H21" s="180">
        <f t="shared" si="0"/>
        <v>1688.5052289256644</v>
      </c>
      <c r="I21" s="180">
        <f t="shared" si="0"/>
        <v>290.39638111593894</v>
      </c>
      <c r="J21" s="180">
        <f t="shared" si="0"/>
        <v>125.15999860211311</v>
      </c>
      <c r="K21" s="181">
        <f t="shared" si="0"/>
        <v>4068.7054515956706</v>
      </c>
      <c r="L21" s="170"/>
    </row>
    <row r="22" spans="1:12">
      <c r="A22" s="176" t="s">
        <v>184</v>
      </c>
      <c r="B22" s="172"/>
      <c r="C22" s="172"/>
      <c r="D22" s="97"/>
      <c r="E22" s="97"/>
      <c r="F22" s="97"/>
      <c r="G22" s="97"/>
      <c r="H22" s="97"/>
      <c r="I22" s="97"/>
      <c r="J22" s="97"/>
      <c r="K22" s="98"/>
    </row>
    <row r="23" spans="1:12">
      <c r="A23" s="167"/>
      <c r="B23" s="172" t="s">
        <v>495</v>
      </c>
      <c r="C23" s="172"/>
      <c r="D23" s="97"/>
      <c r="E23" s="97"/>
      <c r="F23" s="102">
        <v>14911.587473879559</v>
      </c>
      <c r="G23" s="102">
        <v>747.93399999999986</v>
      </c>
      <c r="H23" s="97"/>
      <c r="I23" s="97"/>
      <c r="J23" s="97"/>
      <c r="K23" s="98"/>
      <c r="L23" s="170"/>
    </row>
    <row r="24" spans="1:12">
      <c r="A24" s="167"/>
      <c r="B24" s="172" t="s">
        <v>496</v>
      </c>
      <c r="C24" s="172"/>
      <c r="D24" s="97"/>
      <c r="E24" s="97"/>
      <c r="F24" s="182">
        <f>F19</f>
        <v>4187.5825527281477</v>
      </c>
      <c r="G24" s="182">
        <f>G19</f>
        <v>14.83127</v>
      </c>
      <c r="H24" s="97"/>
      <c r="I24" s="97"/>
      <c r="J24" s="97"/>
      <c r="K24" s="98"/>
      <c r="L24" s="170"/>
    </row>
    <row r="25" spans="1:12">
      <c r="A25" s="167"/>
      <c r="B25" s="172" t="s">
        <v>497</v>
      </c>
      <c r="C25" s="172"/>
      <c r="D25" s="97"/>
      <c r="E25" s="97"/>
      <c r="F25" s="183" t="e">
        <v>#N/A</v>
      </c>
      <c r="G25" s="184">
        <v>280.253244</v>
      </c>
      <c r="H25" s="97"/>
      <c r="I25" s="97"/>
      <c r="J25" s="97"/>
      <c r="K25" s="98"/>
      <c r="L25" s="170"/>
    </row>
    <row r="26" spans="1:12">
      <c r="A26" s="167"/>
      <c r="B26" s="172" t="s">
        <v>498</v>
      </c>
      <c r="C26" s="172"/>
      <c r="D26" s="182" t="e">
        <f>F26+G26</f>
        <v>#N/A</v>
      </c>
      <c r="E26" s="97"/>
      <c r="F26" s="182" t="e">
        <f>F23-F24-F25</f>
        <v>#N/A</v>
      </c>
      <c r="G26" s="182">
        <f>G23-G24-G25</f>
        <v>452.84948599999984</v>
      </c>
      <c r="H26" s="97"/>
      <c r="I26" s="97"/>
      <c r="J26" s="97"/>
      <c r="K26" s="98"/>
      <c r="L26" s="170"/>
    </row>
    <row r="27" spans="1:12">
      <c r="A27" s="185" t="s">
        <v>481</v>
      </c>
      <c r="B27" s="172"/>
      <c r="C27" s="172"/>
      <c r="D27" s="109">
        <v>-2823.6865618237616</v>
      </c>
      <c r="E27" s="169">
        <f>D27*E15</f>
        <v>-43.333434613910832</v>
      </c>
      <c r="F27" s="169">
        <f>D27*F15</f>
        <v>-2310.7655928958256</v>
      </c>
      <c r="G27" s="169">
        <f>D27*G15</f>
        <v>-341.67550075952676</v>
      </c>
      <c r="H27" s="169">
        <f>D27*H15</f>
        <v>-34.989192916492414</v>
      </c>
      <c r="I27" s="169">
        <f>D27*I15</f>
        <v>-6.0175916704633226</v>
      </c>
      <c r="J27" s="169">
        <f>D27*J15</f>
        <v>-2.5935645691210656</v>
      </c>
      <c r="K27" s="178">
        <f>D27*K15</f>
        <v>-84.311684398421662</v>
      </c>
      <c r="L27" s="170"/>
    </row>
    <row r="28" spans="1:12" ht="15">
      <c r="A28" s="179" t="s">
        <v>185</v>
      </c>
      <c r="B28" s="172"/>
      <c r="C28" s="172"/>
      <c r="D28" s="180" t="e">
        <f>D27+D26</f>
        <v>#N/A</v>
      </c>
      <c r="E28" s="180">
        <f t="shared" ref="E28:K28" si="1">E27+E26</f>
        <v>-43.333434613910832</v>
      </c>
      <c r="F28" s="180" t="e">
        <f t="shared" si="1"/>
        <v>#N/A</v>
      </c>
      <c r="G28" s="180">
        <f t="shared" si="1"/>
        <v>111.17398524047309</v>
      </c>
      <c r="H28" s="180">
        <f t="shared" si="1"/>
        <v>-34.989192916492414</v>
      </c>
      <c r="I28" s="180">
        <f t="shared" si="1"/>
        <v>-6.0175916704633226</v>
      </c>
      <c r="J28" s="180">
        <f t="shared" si="1"/>
        <v>-2.5935645691210656</v>
      </c>
      <c r="K28" s="181">
        <f t="shared" si="1"/>
        <v>-84.311684398421662</v>
      </c>
      <c r="L28" s="170"/>
    </row>
    <row r="29" spans="1:12" ht="15">
      <c r="A29" s="176" t="s">
        <v>189</v>
      </c>
      <c r="B29" s="172"/>
      <c r="C29" s="172"/>
      <c r="D29" s="122"/>
      <c r="E29" s="122"/>
      <c r="F29" s="122"/>
      <c r="G29" s="122"/>
      <c r="H29" s="122"/>
      <c r="I29" s="122"/>
      <c r="J29" s="122"/>
      <c r="K29" s="121"/>
    </row>
    <row r="30" spans="1:12">
      <c r="A30" s="186" t="s">
        <v>550</v>
      </c>
      <c r="B30" s="172"/>
      <c r="C30" s="172"/>
      <c r="D30" s="169" t="e">
        <f>SUM(E30:K30)</f>
        <v>#N/A</v>
      </c>
      <c r="E30" s="183" t="e">
        <v>#N/A</v>
      </c>
      <c r="F30" s="183" t="e">
        <v>#N/A</v>
      </c>
      <c r="G30" s="183" t="e">
        <v>#N/A</v>
      </c>
      <c r="H30" s="183" t="e">
        <v>#N/A</v>
      </c>
      <c r="I30" s="183" t="e">
        <v>#N/A</v>
      </c>
      <c r="J30" s="183" t="e">
        <v>#N/A</v>
      </c>
      <c r="K30" s="187" t="e">
        <v>#N/A</v>
      </c>
      <c r="L30" s="170"/>
    </row>
    <row r="31" spans="1:12">
      <c r="A31" s="186" t="s">
        <v>186</v>
      </c>
      <c r="B31" s="172"/>
      <c r="C31" s="172"/>
      <c r="D31" s="188">
        <f>SUM(E31:K31)</f>
        <v>1</v>
      </c>
      <c r="E31" s="189">
        <f>E49/D49</f>
        <v>1.5697394245967843E-2</v>
      </c>
      <c r="F31" s="189">
        <f>F49/D49</f>
        <v>0.62799332081339521</v>
      </c>
      <c r="G31" s="189">
        <f>G49/D49</f>
        <v>8.2943113021644935E-2</v>
      </c>
      <c r="H31" s="189">
        <f>H49/D49</f>
        <v>1.1496971559510048E-2</v>
      </c>
      <c r="I31" s="189">
        <f>I49/D49</f>
        <v>4.487726181543179E-3</v>
      </c>
      <c r="J31" s="189">
        <f>J49/D49</f>
        <v>1.5923639944477382E-3</v>
      </c>
      <c r="K31" s="190">
        <f>K49/D49</f>
        <v>0.2557891101834911</v>
      </c>
      <c r="L31" s="170"/>
    </row>
    <row r="32" spans="1:12">
      <c r="A32" s="186" t="s">
        <v>187</v>
      </c>
      <c r="B32" s="172"/>
      <c r="C32" s="172"/>
      <c r="D32" s="105" t="e">
        <v>#N/A</v>
      </c>
      <c r="E32" s="169" t="e">
        <f>D32*E31</f>
        <v>#N/A</v>
      </c>
      <c r="F32" s="169" t="e">
        <f>D32*F31</f>
        <v>#N/A</v>
      </c>
      <c r="G32" s="169" t="e">
        <f>D32*G31</f>
        <v>#N/A</v>
      </c>
      <c r="H32" s="169" t="e">
        <f>D32*H31</f>
        <v>#N/A</v>
      </c>
      <c r="I32" s="169" t="e">
        <f>D32*I31</f>
        <v>#N/A</v>
      </c>
      <c r="J32" s="169" t="e">
        <f>D32*J31</f>
        <v>#N/A</v>
      </c>
      <c r="K32" s="178" t="e">
        <f>D32*K31</f>
        <v>#N/A</v>
      </c>
      <c r="L32" s="170"/>
    </row>
    <row r="33" spans="1:20" ht="15">
      <c r="A33" s="179" t="s">
        <v>188</v>
      </c>
      <c r="B33" s="172"/>
      <c r="C33" s="172"/>
      <c r="D33" s="180" t="e">
        <f>SUM(E33:K33)</f>
        <v>#N/A</v>
      </c>
      <c r="E33" s="180" t="e">
        <f t="shared" ref="E33:K33" si="2">E32+E30</f>
        <v>#N/A</v>
      </c>
      <c r="F33" s="180" t="e">
        <f t="shared" si="2"/>
        <v>#N/A</v>
      </c>
      <c r="G33" s="180" t="e">
        <f t="shared" si="2"/>
        <v>#N/A</v>
      </c>
      <c r="H33" s="180" t="e">
        <f t="shared" si="2"/>
        <v>#N/A</v>
      </c>
      <c r="I33" s="180" t="e">
        <f t="shared" si="2"/>
        <v>#N/A</v>
      </c>
      <c r="J33" s="180" t="e">
        <f t="shared" si="2"/>
        <v>#N/A</v>
      </c>
      <c r="K33" s="181" t="e">
        <f t="shared" si="2"/>
        <v>#N/A</v>
      </c>
      <c r="L33" s="170"/>
    </row>
    <row r="34" spans="1:20" ht="9" customHeight="1">
      <c r="A34" s="167"/>
      <c r="B34" s="172"/>
      <c r="C34" s="172"/>
      <c r="D34" s="97"/>
      <c r="E34" s="97"/>
      <c r="F34" s="97"/>
      <c r="G34" s="97"/>
      <c r="H34" s="97"/>
      <c r="I34" s="97"/>
      <c r="J34" s="97"/>
      <c r="K34" s="98"/>
    </row>
    <row r="35" spans="1:20" ht="15">
      <c r="A35" s="165" t="s">
        <v>236</v>
      </c>
      <c r="B35" s="172"/>
      <c r="C35" s="172"/>
      <c r="D35" s="97"/>
      <c r="E35" s="97"/>
      <c r="F35" s="97"/>
      <c r="G35" s="97"/>
      <c r="H35" s="97"/>
      <c r="I35" s="97"/>
      <c r="J35" s="97"/>
      <c r="K35" s="98"/>
    </row>
    <row r="36" spans="1:20">
      <c r="A36" s="191" t="s">
        <v>520</v>
      </c>
      <c r="B36" s="172"/>
      <c r="C36" s="172"/>
      <c r="D36" s="97"/>
      <c r="E36" s="97"/>
      <c r="F36" s="97"/>
      <c r="G36" s="97"/>
      <c r="H36" s="97"/>
      <c r="I36" s="97"/>
      <c r="J36" s="97"/>
      <c r="K36" s="98"/>
    </row>
    <row r="37" spans="1:20">
      <c r="A37" s="192" t="s">
        <v>299</v>
      </c>
      <c r="B37" s="172"/>
      <c r="C37" s="172"/>
      <c r="D37" s="193">
        <f>SUM(E37:J37)</f>
        <v>53823.005644218851</v>
      </c>
      <c r="E37" s="194">
        <v>618.34147943144103</v>
      </c>
      <c r="F37" s="194">
        <v>48832.749636183224</v>
      </c>
      <c r="G37" s="194">
        <v>2251.9919741894219</v>
      </c>
      <c r="H37" s="194">
        <v>2106.6816600118982</v>
      </c>
      <c r="I37" s="194">
        <v>13.240894402875242</v>
      </c>
      <c r="J37" s="194">
        <v>0</v>
      </c>
      <c r="K37" s="98"/>
      <c r="L37" s="170"/>
    </row>
    <row r="38" spans="1:20">
      <c r="A38" s="192" t="s">
        <v>300</v>
      </c>
      <c r="B38" s="172"/>
      <c r="C38" s="172"/>
      <c r="D38" s="193">
        <f>SUM(E38:J38)</f>
        <v>132737.47345136068</v>
      </c>
      <c r="E38" s="194">
        <v>3338.1230956561526</v>
      </c>
      <c r="F38" s="194">
        <v>108435.56239276817</v>
      </c>
      <c r="G38" s="194">
        <v>18653.483372581512</v>
      </c>
      <c r="H38" s="194">
        <v>791.08340744031898</v>
      </c>
      <c r="I38" s="194">
        <v>1117.8722943054693</v>
      </c>
      <c r="J38" s="194">
        <v>401.34888860906045</v>
      </c>
      <c r="K38" s="98"/>
      <c r="L38" s="170"/>
    </row>
    <row r="39" spans="1:20" ht="15">
      <c r="A39" s="195" t="s">
        <v>301</v>
      </c>
      <c r="B39" s="168"/>
      <c r="C39" s="168"/>
      <c r="D39" s="193">
        <f>SUM(D37:D38)</f>
        <v>186560.47909557953</v>
      </c>
      <c r="E39" s="97"/>
      <c r="F39" s="97"/>
      <c r="G39" s="97"/>
      <c r="H39" s="97"/>
      <c r="I39" s="97"/>
      <c r="J39" s="97"/>
      <c r="K39" s="98"/>
      <c r="L39" s="170"/>
    </row>
    <row r="40" spans="1:20">
      <c r="A40" s="196" t="s">
        <v>239</v>
      </c>
      <c r="B40" s="172"/>
      <c r="C40" s="172"/>
      <c r="D40" s="97"/>
      <c r="E40" s="97"/>
      <c r="F40" s="97"/>
      <c r="G40" s="97"/>
      <c r="H40" s="97"/>
      <c r="I40" s="97"/>
      <c r="J40" s="97"/>
      <c r="K40" s="98"/>
    </row>
    <row r="41" spans="1:20">
      <c r="A41" s="185" t="s">
        <v>240</v>
      </c>
      <c r="B41" s="172"/>
      <c r="C41" s="172"/>
      <c r="D41" s="197">
        <v>25631.824999999997</v>
      </c>
      <c r="E41" s="97"/>
      <c r="F41" s="197">
        <v>1100</v>
      </c>
      <c r="G41" s="97"/>
      <c r="H41" s="97"/>
      <c r="I41" s="97"/>
      <c r="J41" s="97"/>
      <c r="K41" s="198">
        <v>58549.478999999992</v>
      </c>
      <c r="L41" s="170"/>
      <c r="M41" s="143" t="s">
        <v>519</v>
      </c>
      <c r="N41" s="110"/>
      <c r="O41" s="110"/>
      <c r="P41" s="110"/>
      <c r="Q41" s="110"/>
      <c r="R41" s="110"/>
      <c r="S41" s="110"/>
      <c r="T41" s="110"/>
    </row>
    <row r="42" spans="1:20">
      <c r="A42" s="185" t="s">
        <v>241</v>
      </c>
      <c r="B42" s="172"/>
      <c r="C42" s="172"/>
      <c r="D42" s="197">
        <v>176580.17499999999</v>
      </c>
      <c r="E42" s="97"/>
      <c r="F42" s="97"/>
      <c r="G42" s="97"/>
      <c r="H42" s="97"/>
      <c r="I42" s="97"/>
      <c r="J42" s="97"/>
      <c r="K42" s="98"/>
      <c r="L42" s="170"/>
      <c r="M42" s="110"/>
      <c r="N42" s="110"/>
      <c r="O42" s="110"/>
      <c r="P42" s="110"/>
      <c r="Q42" s="110"/>
      <c r="R42" s="110"/>
      <c r="S42" s="110"/>
      <c r="T42" s="110"/>
    </row>
    <row r="43" spans="1:20" ht="5.25" customHeight="1">
      <c r="A43" s="185"/>
      <c r="B43" s="172"/>
      <c r="C43" s="172"/>
      <c r="D43" s="100"/>
      <c r="E43" s="97"/>
      <c r="F43" s="97"/>
      <c r="G43" s="97"/>
      <c r="H43" s="97"/>
      <c r="I43" s="97"/>
      <c r="J43" s="97"/>
      <c r="K43" s="98"/>
    </row>
    <row r="44" spans="1:20">
      <c r="A44" s="199" t="s">
        <v>266</v>
      </c>
      <c r="B44" s="172"/>
      <c r="C44" s="172"/>
      <c r="D44" s="182">
        <f>SUM(D41:D42)</f>
        <v>202212</v>
      </c>
      <c r="E44" s="97"/>
      <c r="F44" s="97"/>
      <c r="G44" s="97"/>
      <c r="H44" s="97"/>
      <c r="I44" s="97"/>
      <c r="J44" s="97"/>
      <c r="K44" s="98"/>
      <c r="L44" s="170"/>
    </row>
    <row r="45" spans="1:20">
      <c r="A45" s="200" t="s">
        <v>267</v>
      </c>
      <c r="B45" s="172"/>
      <c r="C45" s="172"/>
      <c r="D45" s="182">
        <f>D44-D46</f>
        <v>58338.495216625277</v>
      </c>
      <c r="E45" s="169">
        <f>(E37/D37)*D45</f>
        <v>670.21733565945408</v>
      </c>
      <c r="F45" s="182">
        <f>(F37/D37)*D45</f>
        <v>52929.580891421821</v>
      </c>
      <c r="G45" s="182">
        <f>(G37/D37)*D45</f>
        <v>2440.9231970908977</v>
      </c>
      <c r="H45" s="182">
        <f>(H37/D37)*D45</f>
        <v>2283.4220511198287</v>
      </c>
      <c r="I45" s="182">
        <f>(I37/D37)*D45</f>
        <v>14.351741333288905</v>
      </c>
      <c r="J45" s="182">
        <f>(J37/D37)*D45</f>
        <v>0</v>
      </c>
      <c r="K45" s="98"/>
      <c r="L45" s="170"/>
    </row>
    <row r="46" spans="1:20">
      <c r="A46" s="200" t="s">
        <v>269</v>
      </c>
      <c r="B46" s="172"/>
      <c r="C46" s="172"/>
      <c r="D46" s="169">
        <f>((D38/D39)*D44)</f>
        <v>143873.50478337472</v>
      </c>
      <c r="E46" s="201">
        <f>(E38/D38)*D46</f>
        <v>3618.1754608005604</v>
      </c>
      <c r="F46" s="182">
        <f>(F38/D38)*D46</f>
        <v>117532.78105237233</v>
      </c>
      <c r="G46" s="182">
        <f>(G38/D38)*D46</f>
        <v>20218.420310788249</v>
      </c>
      <c r="H46" s="182">
        <f>(H38/D38)*D46</f>
        <v>857.45147504347335</v>
      </c>
      <c r="I46" s="182">
        <f>(I38/D38)*D46</f>
        <v>1211.6563672646228</v>
      </c>
      <c r="J46" s="182">
        <f>(J38/D38)*D46</f>
        <v>435.02011710548993</v>
      </c>
      <c r="K46" s="98"/>
      <c r="L46" s="170"/>
    </row>
    <row r="47" spans="1:20" ht="15">
      <c r="A47" s="202" t="s">
        <v>268</v>
      </c>
      <c r="B47" s="168"/>
      <c r="C47" s="168"/>
      <c r="D47" s="182">
        <f>SUM(E47:J47)</f>
        <v>202212.00000000003</v>
      </c>
      <c r="E47" s="182">
        <f t="shared" ref="E47:J47" si="3">SUM(E45:E46)</f>
        <v>4288.3927964600143</v>
      </c>
      <c r="F47" s="182">
        <f t="shared" si="3"/>
        <v>170462.36194379415</v>
      </c>
      <c r="G47" s="182">
        <f t="shared" si="3"/>
        <v>22659.343507879148</v>
      </c>
      <c r="H47" s="182">
        <f t="shared" si="3"/>
        <v>3140.8735261633019</v>
      </c>
      <c r="I47" s="182">
        <f t="shared" si="3"/>
        <v>1226.0081085979116</v>
      </c>
      <c r="J47" s="182">
        <f t="shared" si="3"/>
        <v>435.02011710548993</v>
      </c>
      <c r="K47" s="98"/>
      <c r="L47" s="170"/>
    </row>
    <row r="48" spans="1:20">
      <c r="A48" s="203" t="s">
        <v>25</v>
      </c>
      <c r="B48" s="172"/>
      <c r="C48" s="172"/>
      <c r="D48" s="204">
        <f>K48</f>
        <v>11329.901</v>
      </c>
      <c r="E48" s="119"/>
      <c r="F48" s="119"/>
      <c r="G48" s="119"/>
      <c r="H48" s="119"/>
      <c r="I48" s="119"/>
      <c r="J48" s="119"/>
      <c r="K48" s="205">
        <v>11329.901</v>
      </c>
      <c r="L48" s="170"/>
    </row>
    <row r="49" spans="1:12" ht="15">
      <c r="A49" s="206" t="s">
        <v>270</v>
      </c>
      <c r="B49" s="168"/>
      <c r="C49" s="168"/>
      <c r="D49" s="180">
        <f>SUM(E49:K49)</f>
        <v>273191.38</v>
      </c>
      <c r="E49" s="180">
        <f>E47</f>
        <v>4288.3927964600143</v>
      </c>
      <c r="F49" s="180">
        <f>F47+F41</f>
        <v>171562.36194379415</v>
      </c>
      <c r="G49" s="180">
        <f>G47</f>
        <v>22659.343507879148</v>
      </c>
      <c r="H49" s="180">
        <f>H47</f>
        <v>3140.8735261633019</v>
      </c>
      <c r="I49" s="180">
        <f>I47</f>
        <v>1226.0081085979116</v>
      </c>
      <c r="J49" s="180">
        <f>J47</f>
        <v>435.02011710548993</v>
      </c>
      <c r="K49" s="181">
        <f>K48+K41</f>
        <v>69879.37999999999</v>
      </c>
      <c r="L49" s="170"/>
    </row>
    <row r="50" spans="1:12">
      <c r="A50" s="196" t="s">
        <v>271</v>
      </c>
      <c r="B50" s="172"/>
      <c r="C50" s="172"/>
      <c r="D50" s="107"/>
      <c r="E50" s="97"/>
      <c r="F50" s="97"/>
      <c r="G50" s="97"/>
      <c r="H50" s="97"/>
      <c r="I50" s="97"/>
      <c r="J50" s="97"/>
      <c r="K50" s="98"/>
    </row>
    <row r="51" spans="1:12">
      <c r="A51" s="207" t="s">
        <v>46</v>
      </c>
      <c r="B51" s="172"/>
      <c r="C51" s="172"/>
      <c r="D51" s="197">
        <v>15825.591</v>
      </c>
      <c r="E51" s="169">
        <f>(E49/D49)*D51</f>
        <v>248.4205411024405</v>
      </c>
      <c r="F51" s="169">
        <f>(F49/D49)*D51</f>
        <v>9938.3654459245809</v>
      </c>
      <c r="G51" s="169">
        <f>(G49/D49)*D51</f>
        <v>1312.6237829473268</v>
      </c>
      <c r="H51" s="169">
        <f>(H49/D49)*D51</f>
        <v>181.94636963943819</v>
      </c>
      <c r="I51" s="169">
        <f>(I49/D49)*D51</f>
        <v>71.020919069094106</v>
      </c>
      <c r="J51" s="169">
        <f>(J49/D49)*D51</f>
        <v>25.200101299256175</v>
      </c>
      <c r="K51" s="178">
        <f>(K49/D49)*D51</f>
        <v>4048.0138400178653</v>
      </c>
      <c r="L51" s="170"/>
    </row>
    <row r="52" spans="1:12">
      <c r="A52" s="207" t="s">
        <v>47</v>
      </c>
      <c r="B52" s="172"/>
      <c r="C52" s="172"/>
      <c r="D52" s="197">
        <v>54613.204999999987</v>
      </c>
      <c r="E52" s="169">
        <f>(E49/D49)*D52</f>
        <v>857.28500992086208</v>
      </c>
      <c r="F52" s="169">
        <f>(F49/D49)*D52</f>
        <v>34296.727968212712</v>
      </c>
      <c r="G52" s="169">
        <f>(G49/D49)*D52</f>
        <v>4529.789234789263</v>
      </c>
      <c r="H52" s="169">
        <f>(H49/D49)*D52</f>
        <v>627.88646465869181</v>
      </c>
      <c r="I52" s="169">
        <f>(I49/D49)*D52</f>
        <v>245.08910993648479</v>
      </c>
      <c r="J52" s="169">
        <f>(J49/D49)*D52</f>
        <v>86.964101263393161</v>
      </c>
      <c r="K52" s="178">
        <f>(K49/D49)*D52</f>
        <v>13969.463111218583</v>
      </c>
      <c r="L52" s="170"/>
    </row>
    <row r="53" spans="1:12">
      <c r="A53" s="207" t="s">
        <v>273</v>
      </c>
      <c r="B53" s="172"/>
      <c r="C53" s="172"/>
      <c r="D53" s="197">
        <v>56350.642999999996</v>
      </c>
      <c r="E53" s="197">
        <v>742.36196314418896</v>
      </c>
      <c r="F53" s="197">
        <v>31664.625460402931</v>
      </c>
      <c r="G53" s="197">
        <v>4233.3547559140834</v>
      </c>
      <c r="H53" s="197">
        <v>546.45879024864564</v>
      </c>
      <c r="I53" s="197">
        <v>184.35097997277242</v>
      </c>
      <c r="J53" s="197">
        <v>102.31108535164665</v>
      </c>
      <c r="K53" s="198">
        <v>18877.179964965733</v>
      </c>
      <c r="L53" s="170"/>
    </row>
    <row r="54" spans="1:12">
      <c r="A54" s="207" t="s">
        <v>292</v>
      </c>
      <c r="B54" s="172"/>
      <c r="C54" s="172"/>
      <c r="D54" s="208">
        <v>86392.051999999996</v>
      </c>
      <c r="E54" s="209">
        <f>(E49/D49)*D54</f>
        <v>1356.1300999621546</v>
      </c>
      <c r="F54" s="209">
        <f>(F49/D49)*D54</f>
        <v>54253.631627363517</v>
      </c>
      <c r="G54" s="209">
        <f>(G49/D49)*D54</f>
        <v>7165.6257332078258</v>
      </c>
      <c r="H54" s="209">
        <f>(H49/D49)*D54</f>
        <v>993.24696481171304</v>
      </c>
      <c r="I54" s="209">
        <f>(I49/D49)*D54</f>
        <v>387.70387363763973</v>
      </c>
      <c r="J54" s="209">
        <f>(J49/D49)*D54</f>
        <v>137.56759301125669</v>
      </c>
      <c r="K54" s="210">
        <f>(K49/D49)*D54</f>
        <v>22098.146108005891</v>
      </c>
      <c r="L54" s="170"/>
    </row>
    <row r="55" spans="1:12" ht="15">
      <c r="A55" s="211" t="s">
        <v>290</v>
      </c>
      <c r="B55" s="172"/>
      <c r="C55" s="172"/>
      <c r="D55" s="180">
        <f>SUM(D51:D54)</f>
        <v>213181.49099999998</v>
      </c>
      <c r="E55" s="180">
        <f t="shared" ref="E55:J55" si="4">SUM(E51:E54)</f>
        <v>3204.1976141296464</v>
      </c>
      <c r="F55" s="180">
        <f t="shared" si="4"/>
        <v>130153.35050190374</v>
      </c>
      <c r="G55" s="180">
        <f t="shared" si="4"/>
        <v>17241.393506858498</v>
      </c>
      <c r="H55" s="180">
        <f t="shared" si="4"/>
        <v>2349.5385893584889</v>
      </c>
      <c r="I55" s="180">
        <f t="shared" si="4"/>
        <v>888.16488261599102</v>
      </c>
      <c r="J55" s="180">
        <f t="shared" si="4"/>
        <v>352.04288092555271</v>
      </c>
      <c r="K55" s="181">
        <f>SUM(K51:K54)</f>
        <v>58992.803024208071</v>
      </c>
      <c r="L55" s="170"/>
    </row>
    <row r="56" spans="1:12" ht="15">
      <c r="A56" s="165" t="s">
        <v>262</v>
      </c>
      <c r="B56" s="172"/>
      <c r="C56" s="172"/>
      <c r="D56" s="180">
        <f t="shared" ref="D56:K56" si="5">D55+D49</f>
        <v>486372.87099999998</v>
      </c>
      <c r="E56" s="180">
        <f t="shared" si="5"/>
        <v>7492.5904105896607</v>
      </c>
      <c r="F56" s="180">
        <f t="shared" si="5"/>
        <v>301715.71244569786</v>
      </c>
      <c r="G56" s="180">
        <f t="shared" si="5"/>
        <v>39900.73701473765</v>
      </c>
      <c r="H56" s="180">
        <f t="shared" si="5"/>
        <v>5490.4121155217908</v>
      </c>
      <c r="I56" s="180">
        <f t="shared" si="5"/>
        <v>2114.1729912139026</v>
      </c>
      <c r="J56" s="180">
        <f t="shared" si="5"/>
        <v>787.06299803104264</v>
      </c>
      <c r="K56" s="181">
        <f t="shared" si="5"/>
        <v>128872.18302420806</v>
      </c>
      <c r="L56" s="170"/>
    </row>
    <row r="57" spans="1:12">
      <c r="A57" s="212" t="s">
        <v>177</v>
      </c>
      <c r="B57" s="172"/>
      <c r="C57" s="172"/>
      <c r="D57" s="97"/>
      <c r="E57" s="97"/>
      <c r="F57" s="97"/>
      <c r="G57" s="97"/>
      <c r="H57" s="97"/>
      <c r="I57" s="97"/>
      <c r="J57" s="97"/>
      <c r="K57" s="98"/>
    </row>
    <row r="58" spans="1:12">
      <c r="A58" s="185" t="s">
        <v>278</v>
      </c>
      <c r="B58" s="172"/>
      <c r="C58" s="172"/>
      <c r="D58" s="100"/>
      <c r="E58" s="97"/>
      <c r="F58" s="97"/>
      <c r="G58" s="97"/>
      <c r="H58" s="97"/>
      <c r="I58" s="97"/>
      <c r="J58" s="97"/>
      <c r="K58" s="98"/>
    </row>
    <row r="59" spans="1:12" ht="15">
      <c r="A59" s="185" t="s">
        <v>276</v>
      </c>
      <c r="B59" s="172"/>
      <c r="C59" s="172"/>
      <c r="D59" s="197">
        <v>8867</v>
      </c>
      <c r="E59" s="100"/>
      <c r="F59" s="213">
        <v>5533.6240694789076</v>
      </c>
      <c r="G59" s="100"/>
      <c r="H59" s="100"/>
      <c r="I59" s="213">
        <v>3333.375930521092</v>
      </c>
      <c r="J59" s="214"/>
      <c r="K59" s="98"/>
      <c r="L59" s="170"/>
    </row>
    <row r="60" spans="1:12">
      <c r="A60" s="185" t="s">
        <v>277</v>
      </c>
      <c r="B60" s="172"/>
      <c r="C60" s="172"/>
      <c r="D60" s="197">
        <v>589.23199999999997</v>
      </c>
      <c r="E60" s="100"/>
      <c r="F60" s="97"/>
      <c r="G60" s="182">
        <f>D60</f>
        <v>589.23199999999997</v>
      </c>
      <c r="H60" s="97"/>
      <c r="I60" s="97"/>
      <c r="J60" s="97"/>
      <c r="K60" s="98"/>
      <c r="L60" s="170"/>
    </row>
    <row r="61" spans="1:12">
      <c r="A61" s="185" t="s">
        <v>275</v>
      </c>
      <c r="B61" s="172"/>
      <c r="C61" s="172"/>
      <c r="D61" s="197">
        <v>225</v>
      </c>
      <c r="E61" s="100"/>
      <c r="F61" s="182">
        <f>D61</f>
        <v>225</v>
      </c>
      <c r="G61" s="97"/>
      <c r="H61" s="97"/>
      <c r="I61" s="97"/>
      <c r="J61" s="97"/>
      <c r="K61" s="98"/>
      <c r="L61" s="170"/>
    </row>
    <row r="62" spans="1:12" ht="15">
      <c r="A62" s="185" t="s">
        <v>469</v>
      </c>
      <c r="B62" s="172"/>
      <c r="C62" s="172"/>
      <c r="D62" s="197">
        <v>1272.635</v>
      </c>
      <c r="E62" s="100"/>
      <c r="F62" s="215">
        <v>682.99541258382635</v>
      </c>
      <c r="G62" s="215">
        <v>589.63958741617353</v>
      </c>
      <c r="H62" s="97"/>
      <c r="I62" s="97"/>
      <c r="J62" s="97"/>
      <c r="K62" s="98"/>
      <c r="L62" s="170"/>
    </row>
    <row r="63" spans="1:12">
      <c r="A63" s="185" t="s">
        <v>274</v>
      </c>
      <c r="B63" s="172"/>
      <c r="C63" s="172"/>
      <c r="D63" s="197">
        <v>1996.009</v>
      </c>
      <c r="E63" s="169">
        <f>(E38/D38)*D63</f>
        <v>50.196252563742313</v>
      </c>
      <c r="F63" s="169">
        <f>(F38/D38)*D63</f>
        <v>1630.5746435300114</v>
      </c>
      <c r="G63" s="169">
        <f>(G38/D38)*D63</f>
        <v>280.49743395685658</v>
      </c>
      <c r="H63" s="169">
        <f>(H38/D38)*D63</f>
        <v>11.895733434915378</v>
      </c>
      <c r="I63" s="169">
        <f>(I38/D38)*D63</f>
        <v>16.809745599851119</v>
      </c>
      <c r="J63" s="169">
        <f>(J38/D38)*D63</f>
        <v>6.0351909146231391</v>
      </c>
      <c r="K63" s="98"/>
      <c r="L63" s="170"/>
    </row>
    <row r="64" spans="1:12" ht="15">
      <c r="A64" s="185" t="s">
        <v>263</v>
      </c>
      <c r="B64" s="168"/>
      <c r="C64" s="172"/>
      <c r="D64" s="216">
        <f>K64</f>
        <v>95479.665827999997</v>
      </c>
      <c r="E64" s="120"/>
      <c r="F64" s="119"/>
      <c r="G64" s="119"/>
      <c r="H64" s="119"/>
      <c r="I64" s="119"/>
      <c r="J64" s="119"/>
      <c r="K64" s="205">
        <v>95479.665827999997</v>
      </c>
      <c r="L64" s="170"/>
    </row>
    <row r="65" spans="1:12" ht="15">
      <c r="A65" s="179" t="s">
        <v>288</v>
      </c>
      <c r="B65" s="172"/>
      <c r="C65" s="172"/>
      <c r="D65" s="217">
        <f>SUM(D59:D64)</f>
        <v>108429.541828</v>
      </c>
      <c r="E65" s="217">
        <f t="shared" ref="E65:K65" si="6">SUM(E59:E64)</f>
        <v>50.196252563742313</v>
      </c>
      <c r="F65" s="217">
        <f t="shared" si="6"/>
        <v>8072.1941255927459</v>
      </c>
      <c r="G65" s="217">
        <f t="shared" si="6"/>
        <v>1459.3690213730301</v>
      </c>
      <c r="H65" s="217">
        <f t="shared" si="6"/>
        <v>11.895733434915378</v>
      </c>
      <c r="I65" s="217">
        <f t="shared" si="6"/>
        <v>3350.1856761209433</v>
      </c>
      <c r="J65" s="217">
        <f t="shared" si="6"/>
        <v>6.0351909146231391</v>
      </c>
      <c r="K65" s="218">
        <f t="shared" si="6"/>
        <v>95479.665827999997</v>
      </c>
      <c r="L65" s="170"/>
    </row>
    <row r="66" spans="1:12">
      <c r="A66" s="185" t="s">
        <v>279</v>
      </c>
      <c r="B66" s="172"/>
      <c r="C66" s="172"/>
      <c r="D66" s="97"/>
      <c r="E66" s="100"/>
      <c r="F66" s="97"/>
      <c r="G66" s="97"/>
      <c r="H66" s="97"/>
      <c r="I66" s="97"/>
      <c r="J66" s="97"/>
      <c r="K66" s="98"/>
    </row>
    <row r="67" spans="1:12">
      <c r="A67" s="185" t="s">
        <v>42</v>
      </c>
      <c r="B67" s="172"/>
      <c r="C67" s="172"/>
      <c r="D67" s="169">
        <f>SUM(E67:K67)</f>
        <v>96.72</v>
      </c>
      <c r="E67" s="197">
        <v>1.6745885537912228</v>
      </c>
      <c r="F67" s="197">
        <v>78.478404697686102</v>
      </c>
      <c r="G67" s="197">
        <v>12.126542458272004</v>
      </c>
      <c r="H67" s="197">
        <v>1.485059714065095</v>
      </c>
      <c r="I67" s="197">
        <v>0.19539073597455744</v>
      </c>
      <c r="J67" s="197">
        <v>0.11183334650798096</v>
      </c>
      <c r="K67" s="198">
        <v>2.6481804937030349</v>
      </c>
      <c r="L67" s="170"/>
    </row>
    <row r="68" spans="1:12">
      <c r="A68" s="185" t="s">
        <v>43</v>
      </c>
      <c r="B68" s="172"/>
      <c r="C68" s="172"/>
      <c r="D68" s="197">
        <v>5746.0609999999997</v>
      </c>
      <c r="E68" s="100"/>
      <c r="F68" s="182">
        <f>D68</f>
        <v>5746.0609999999997</v>
      </c>
      <c r="G68" s="107"/>
      <c r="H68" s="107"/>
      <c r="I68" s="107"/>
      <c r="J68" s="107"/>
      <c r="K68" s="108"/>
      <c r="L68" s="170"/>
    </row>
    <row r="69" spans="1:12">
      <c r="A69" s="185" t="s">
        <v>44</v>
      </c>
      <c r="B69" s="172"/>
      <c r="C69" s="172"/>
      <c r="D69" s="197">
        <v>0</v>
      </c>
      <c r="E69" s="201">
        <f>(E49/D49)*D69</f>
        <v>0</v>
      </c>
      <c r="F69" s="169">
        <f>(F49/D49)*D69</f>
        <v>0</v>
      </c>
      <c r="G69" s="169">
        <f>(G49/D49)*D69</f>
        <v>0</v>
      </c>
      <c r="H69" s="169">
        <f>(H49/D49)*D69</f>
        <v>0</v>
      </c>
      <c r="I69" s="169">
        <f>(I49/D49)*D69</f>
        <v>0</v>
      </c>
      <c r="J69" s="169">
        <f>(J49/D49)*D69</f>
        <v>0</v>
      </c>
      <c r="K69" s="178">
        <f>(K49/D49)*D69</f>
        <v>0</v>
      </c>
      <c r="L69" s="170"/>
    </row>
    <row r="70" spans="1:12">
      <c r="A70" s="185" t="s">
        <v>45</v>
      </c>
      <c r="B70" s="172"/>
      <c r="C70" s="172"/>
      <c r="D70" s="208">
        <v>5187.7929999999997</v>
      </c>
      <c r="E70" s="120"/>
      <c r="F70" s="120"/>
      <c r="G70" s="120"/>
      <c r="H70" s="120"/>
      <c r="I70" s="120"/>
      <c r="J70" s="120"/>
      <c r="K70" s="210">
        <f>D70</f>
        <v>5187.7929999999997</v>
      </c>
      <c r="L70" s="170"/>
    </row>
    <row r="71" spans="1:12" ht="15">
      <c r="A71" s="179" t="s">
        <v>289</v>
      </c>
      <c r="B71" s="172"/>
      <c r="C71" s="172"/>
      <c r="D71" s="217">
        <f>SUM(D67:D70)</f>
        <v>11030.574000000001</v>
      </c>
      <c r="E71" s="217">
        <f t="shared" ref="E71:J71" si="7">SUM(E67:E70)</f>
        <v>1.6745885537912228</v>
      </c>
      <c r="F71" s="217">
        <f t="shared" si="7"/>
        <v>5824.5394046976862</v>
      </c>
      <c r="G71" s="217">
        <f t="shared" si="7"/>
        <v>12.126542458272004</v>
      </c>
      <c r="H71" s="217">
        <f t="shared" si="7"/>
        <v>1.485059714065095</v>
      </c>
      <c r="I71" s="217">
        <f t="shared" si="7"/>
        <v>0.19539073597455744</v>
      </c>
      <c r="J71" s="217">
        <f t="shared" si="7"/>
        <v>0.11183334650798096</v>
      </c>
      <c r="K71" s="218">
        <f>SUM(K67:K70)</f>
        <v>5190.4411804937026</v>
      </c>
      <c r="L71" s="170"/>
    </row>
    <row r="72" spans="1:12" ht="15.75" customHeight="1" thickBot="1">
      <c r="A72" s="219" t="s">
        <v>280</v>
      </c>
      <c r="B72" s="219"/>
      <c r="C72" s="219"/>
      <c r="D72" s="220">
        <f>SUM(E72:K72)</f>
        <v>119460.11582799999</v>
      </c>
      <c r="E72" s="220">
        <f>E71+E65</f>
        <v>51.870841117533537</v>
      </c>
      <c r="F72" s="220">
        <f t="shared" ref="F72:K72" si="8">F71+F65</f>
        <v>13896.733530290432</v>
      </c>
      <c r="G72" s="220">
        <f t="shared" si="8"/>
        <v>1471.4955638313022</v>
      </c>
      <c r="H72" s="220">
        <f t="shared" si="8"/>
        <v>13.380793148980473</v>
      </c>
      <c r="I72" s="220">
        <f t="shared" si="8"/>
        <v>3350.3810668569176</v>
      </c>
      <c r="J72" s="220">
        <f t="shared" si="8"/>
        <v>6.1470242611311203</v>
      </c>
      <c r="K72" s="221">
        <f t="shared" si="8"/>
        <v>100670.10700849369</v>
      </c>
      <c r="L72" s="170"/>
    </row>
  </sheetData>
  <mergeCells count="4">
    <mergeCell ref="A1:K1"/>
    <mergeCell ref="F9:I9"/>
    <mergeCell ref="A10:B10"/>
    <mergeCell ref="A12:C12"/>
  </mergeCells>
  <hyperlinks>
    <hyperlink ref="G4" r:id="rId1" xr:uid="{00000000-0004-0000-0D00-000000000000}"/>
    <hyperlink ref="I5" location="'Revenue Requirement'!A1" display="Revenue Requirement" xr:uid="{00000000-0004-0000-0D00-000001000000}"/>
    <hyperlink ref="I4" location="AFUDC!A1" display="AFUDC" xr:uid="{00000000-0004-0000-0D00-000002000000}"/>
    <hyperlink ref="I3" location="'Repayment Inputs'!A1" display="Repayment Inputs" xr:uid="{00000000-0004-0000-0D00-000003000000}"/>
    <hyperlink ref="G5" r:id="rId2" xr:uid="{00000000-0004-0000-0D00-000004000000}"/>
    <hyperlink ref="I6" location="'Expense Input File'!A1" display="Expense Input" xr:uid="{00000000-0004-0000-0D00-000005000000}"/>
    <hyperlink ref="G6" r:id="rId3" xr:uid="{00000000-0004-0000-0D00-000006000000}"/>
    <hyperlink ref="G7" r:id="rId4" xr:uid="{00000000-0004-0000-0D00-000007000000}"/>
  </hyperlinks>
  <pageMargins left="0.25" right="0.25" top="0.75" bottom="0.75" header="0.3" footer="0.3"/>
  <pageSetup scale="46" orientation="portrait" r:id="rId5"/>
  <legacyDrawing r:id="rId6"/>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4">
    <tabColor rgb="FFFF0000"/>
    <pageSetUpPr autoPageBreaks="0" fitToPage="1"/>
  </sheetPr>
  <dimension ref="A1:T72"/>
  <sheetViews>
    <sheetView workbookViewId="0">
      <selection sqref="A1:K1"/>
    </sheetView>
  </sheetViews>
  <sheetFormatPr defaultColWidth="9.140625" defaultRowHeight="14.25" outlineLevelRow="1"/>
  <cols>
    <col min="1" max="1" width="31.42578125" style="90" bestFit="1" customWidth="1"/>
    <col min="2" max="2" width="9.140625" style="90"/>
    <col min="3" max="3" width="29.28515625" style="90" customWidth="1"/>
    <col min="4" max="4" width="24.42578125" style="90" customWidth="1"/>
    <col min="5" max="11" width="15.7109375" style="90" customWidth="1"/>
    <col min="12" max="12" width="25.140625" style="90" bestFit="1" customWidth="1"/>
    <col min="13" max="13" width="11.5703125" style="90" bestFit="1" customWidth="1"/>
    <col min="14" max="14" width="9.140625" style="90"/>
    <col min="15" max="15" width="9.5703125" style="90" bestFit="1" customWidth="1"/>
    <col min="16" max="19" width="9.140625" style="90"/>
    <col min="20" max="20" width="10.5703125" style="90" bestFit="1" customWidth="1"/>
    <col min="21" max="16384" width="9.140625" style="90"/>
  </cols>
  <sheetData>
    <row r="1" spans="1:11" ht="18">
      <c r="A1" s="978" t="s">
        <v>294</v>
      </c>
      <c r="B1" s="979"/>
      <c r="C1" s="979"/>
      <c r="D1" s="979"/>
      <c r="E1" s="979"/>
      <c r="F1" s="979"/>
      <c r="G1" s="979"/>
      <c r="H1" s="979"/>
      <c r="I1" s="979"/>
      <c r="J1" s="979"/>
      <c r="K1" s="980"/>
    </row>
    <row r="2" spans="1:11" ht="18" hidden="1" outlineLevel="1">
      <c r="A2" s="118"/>
      <c r="B2" s="125" t="s">
        <v>547</v>
      </c>
      <c r="C2" s="91"/>
      <c r="D2" s="116"/>
      <c r="E2" s="94"/>
      <c r="F2" s="147" t="s">
        <v>397</v>
      </c>
      <c r="G2" s="148"/>
      <c r="H2" s="138"/>
      <c r="I2" s="147" t="s">
        <v>399</v>
      </c>
      <c r="J2" s="139"/>
      <c r="K2" s="149"/>
    </row>
    <row r="3" spans="1:11" ht="18" hidden="1" outlineLevel="1">
      <c r="A3" s="118"/>
      <c r="B3" s="125" t="s">
        <v>73</v>
      </c>
      <c r="C3" s="93"/>
      <c r="D3" s="116"/>
      <c r="E3" s="94"/>
      <c r="F3" s="150" t="s">
        <v>398</v>
      </c>
      <c r="G3" s="151" t="s">
        <v>235</v>
      </c>
      <c r="H3" s="138"/>
      <c r="I3" s="152" t="s">
        <v>238</v>
      </c>
      <c r="J3" s="138"/>
      <c r="K3" s="149"/>
    </row>
    <row r="4" spans="1:11" ht="18" hidden="1" customHeight="1" outlineLevel="1">
      <c r="A4" s="118"/>
      <c r="B4" s="125" t="s">
        <v>10</v>
      </c>
      <c r="C4" s="153"/>
      <c r="D4" s="116"/>
      <c r="E4" s="94"/>
      <c r="F4" s="144"/>
      <c r="G4" s="154" t="s">
        <v>389</v>
      </c>
      <c r="H4" s="138"/>
      <c r="I4" s="155" t="s">
        <v>87</v>
      </c>
      <c r="J4" s="116"/>
      <c r="K4" s="149"/>
    </row>
    <row r="5" spans="1:11" ht="18" hidden="1" customHeight="1" outlineLevel="1">
      <c r="A5" s="118"/>
      <c r="B5" s="126" t="s">
        <v>9</v>
      </c>
      <c r="C5" s="153"/>
      <c r="D5" s="94"/>
      <c r="F5" s="144"/>
      <c r="G5" s="156" t="s">
        <v>391</v>
      </c>
      <c r="H5" s="138"/>
      <c r="I5" s="141" t="s">
        <v>390</v>
      </c>
      <c r="J5" s="94"/>
      <c r="K5" s="149"/>
    </row>
    <row r="6" spans="1:11" ht="15" hidden="1" outlineLevel="1">
      <c r="A6" s="118"/>
      <c r="B6" s="126" t="s">
        <v>386</v>
      </c>
      <c r="C6" s="93"/>
      <c r="D6" s="94"/>
      <c r="E6" s="157"/>
      <c r="F6" s="144"/>
      <c r="G6" s="158" t="s">
        <v>465</v>
      </c>
      <c r="H6" s="138"/>
      <c r="I6" s="159" t="s">
        <v>387</v>
      </c>
      <c r="J6" s="94"/>
      <c r="K6" s="149"/>
    </row>
    <row r="7" spans="1:11" ht="15" hidden="1" outlineLevel="1">
      <c r="A7" s="118"/>
      <c r="B7" s="126" t="s">
        <v>385</v>
      </c>
      <c r="C7" s="93"/>
      <c r="D7" s="94"/>
      <c r="E7" s="157"/>
      <c r="F7" s="145"/>
      <c r="G7" s="96" t="s">
        <v>468</v>
      </c>
      <c r="H7" s="138"/>
      <c r="I7" s="140"/>
      <c r="J7" s="94"/>
      <c r="K7" s="112"/>
    </row>
    <row r="8" spans="1:11" ht="15" hidden="1" outlineLevel="1">
      <c r="A8" s="118"/>
      <c r="B8" s="126" t="s">
        <v>281</v>
      </c>
      <c r="C8" s="160">
        <v>2020</v>
      </c>
      <c r="D8" s="94"/>
      <c r="E8" s="140"/>
      <c r="F8" s="157"/>
      <c r="G8" s="138"/>
      <c r="H8" s="140"/>
      <c r="I8" s="140"/>
      <c r="J8" s="94"/>
      <c r="K8" s="112"/>
    </row>
    <row r="9" spans="1:11" ht="15" hidden="1" outlineLevel="1">
      <c r="A9" s="118"/>
      <c r="B9" s="126"/>
      <c r="C9" s="129"/>
      <c r="D9" s="94"/>
      <c r="E9" s="981"/>
      <c r="F9" s="981"/>
      <c r="G9" s="981"/>
      <c r="H9" s="981"/>
      <c r="I9" s="981"/>
      <c r="J9" s="981"/>
      <c r="K9" s="112"/>
    </row>
    <row r="10" spans="1:11" ht="15" hidden="1" outlineLevel="1">
      <c r="A10" s="982"/>
      <c r="B10" s="983"/>
      <c r="C10" s="142"/>
      <c r="D10" s="113"/>
      <c r="E10" s="113"/>
      <c r="F10" s="113"/>
      <c r="G10" s="113"/>
      <c r="H10" s="113"/>
      <c r="I10" s="113"/>
      <c r="J10" s="113"/>
      <c r="K10" s="114"/>
    </row>
    <row r="11" spans="1:11" ht="15" collapsed="1" thickBot="1">
      <c r="A11" s="94"/>
      <c r="B11" s="94"/>
      <c r="C11" s="94"/>
      <c r="D11" s="94"/>
      <c r="E11" s="94"/>
      <c r="F11" s="94"/>
      <c r="G11" s="94"/>
      <c r="H11" s="94"/>
      <c r="I11" s="94"/>
      <c r="J11" s="94"/>
      <c r="K11" s="94"/>
    </row>
    <row r="12" spans="1:11" ht="29.25" customHeight="1">
      <c r="A12" s="984">
        <f>C8</f>
        <v>2020</v>
      </c>
      <c r="B12" s="985"/>
      <c r="C12" s="985"/>
      <c r="D12" s="161" t="s">
        <v>170</v>
      </c>
      <c r="E12" s="162" t="s">
        <v>171</v>
      </c>
      <c r="F12" s="162" t="s">
        <v>172</v>
      </c>
      <c r="G12" s="162" t="s">
        <v>173</v>
      </c>
      <c r="H12" s="162" t="s">
        <v>174</v>
      </c>
      <c r="I12" s="162" t="s">
        <v>175</v>
      </c>
      <c r="J12" s="162" t="s">
        <v>176</v>
      </c>
      <c r="K12" s="163" t="s">
        <v>177</v>
      </c>
    </row>
    <row r="13" spans="1:11" ht="15">
      <c r="A13" s="165" t="s">
        <v>272</v>
      </c>
      <c r="B13" s="128"/>
      <c r="C13" s="128"/>
      <c r="D13" s="127"/>
      <c r="E13" s="298">
        <v>98494.796461981954</v>
      </c>
      <c r="F13" s="298">
        <v>4688539.9231773317</v>
      </c>
      <c r="G13" s="298">
        <v>727364.81275506062</v>
      </c>
      <c r="H13" s="298">
        <v>87284.570487335688</v>
      </c>
      <c r="I13" s="298">
        <v>11495.415647962285</v>
      </c>
      <c r="J13" s="298">
        <v>6579.6532853377457</v>
      </c>
      <c r="K13" s="299">
        <v>126861.01668584785</v>
      </c>
    </row>
    <row r="14" spans="1:11" ht="15">
      <c r="A14" s="167" t="s">
        <v>178</v>
      </c>
      <c r="B14" s="168"/>
      <c r="C14" s="168"/>
      <c r="D14" s="169">
        <f>SUM(E14:K14)</f>
        <v>6498164.9647066593</v>
      </c>
      <c r="E14" s="105">
        <v>111832.97555657024</v>
      </c>
      <c r="F14" s="105">
        <v>5358929.1313738758</v>
      </c>
      <c r="G14" s="105">
        <v>783818.20581348124</v>
      </c>
      <c r="H14" s="105">
        <v>91302.080532457563</v>
      </c>
      <c r="I14" s="105">
        <v>15472.342586654602</v>
      </c>
      <c r="J14" s="105">
        <v>6666.2580090138226</v>
      </c>
      <c r="K14" s="104">
        <v>130143.97083460679</v>
      </c>
    </row>
    <row r="15" spans="1:11">
      <c r="A15" s="171" t="s">
        <v>237</v>
      </c>
      <c r="B15" s="172"/>
      <c r="C15" s="172"/>
      <c r="D15" s="173">
        <f>SUM(E15:K15)</f>
        <v>1</v>
      </c>
      <c r="E15" s="174">
        <f>E14/D14</f>
        <v>1.7209931752112516E-2</v>
      </c>
      <c r="F15" s="174">
        <f>F14/D14</f>
        <v>0.82468345455674175</v>
      </c>
      <c r="G15" s="174">
        <f>G14/D14</f>
        <v>0.12062146930258248</v>
      </c>
      <c r="H15" s="174">
        <f>H14/D14</f>
        <v>1.4050440551808787E-2</v>
      </c>
      <c r="I15" s="174">
        <f>I14/D14</f>
        <v>2.3810325946923782E-3</v>
      </c>
      <c r="J15" s="174">
        <f>J14/D14</f>
        <v>1.0258677711661866E-3</v>
      </c>
      <c r="K15" s="175">
        <f>K14/D14</f>
        <v>2.0027803470895996E-2</v>
      </c>
    </row>
    <row r="16" spans="1:11">
      <c r="A16" s="176" t="s">
        <v>81</v>
      </c>
      <c r="B16" s="172"/>
      <c r="C16" s="172"/>
      <c r="D16" s="97"/>
      <c r="E16" s="97"/>
      <c r="F16" s="97"/>
      <c r="G16" s="97"/>
      <c r="H16" s="97"/>
      <c r="I16" s="97"/>
      <c r="J16" s="97"/>
      <c r="K16" s="98"/>
    </row>
    <row r="17" spans="1:11">
      <c r="A17" s="167"/>
      <c r="B17" s="172" t="s">
        <v>499</v>
      </c>
      <c r="C17" s="172"/>
      <c r="D17" s="169" t="e">
        <f>SUM(E17:K17)</f>
        <v>#N/A</v>
      </c>
      <c r="E17" s="100"/>
      <c r="F17" s="102" t="e">
        <f>HLOOKUP($A$12,'Repayment Inputs'!$B$2:$J$24,19,FALSE)</f>
        <v>#N/A</v>
      </c>
      <c r="G17" s="102"/>
      <c r="H17" s="100"/>
      <c r="I17" s="100"/>
      <c r="J17" s="100"/>
      <c r="K17" s="99"/>
    </row>
    <row r="18" spans="1:11">
      <c r="A18" s="167"/>
      <c r="B18" s="172" t="s">
        <v>500</v>
      </c>
      <c r="C18" s="172"/>
      <c r="D18" s="169">
        <f>SUM(E18:K18)</f>
        <v>-985.98041348400022</v>
      </c>
      <c r="E18" s="100"/>
      <c r="F18" s="101">
        <f>-(HLOOKUP($A$12,AFUDC!$I$13:$AJ$38,25,FALSE))</f>
        <v>-985.98041348400022</v>
      </c>
      <c r="G18" s="100"/>
      <c r="H18" s="100"/>
      <c r="I18" s="100"/>
      <c r="J18" s="100"/>
      <c r="K18" s="99"/>
    </row>
    <row r="19" spans="1:11">
      <c r="A19" s="167"/>
      <c r="B19" s="172" t="s">
        <v>496</v>
      </c>
      <c r="C19" s="172"/>
      <c r="D19" s="169" t="e">
        <f>SUM(E19:K19)</f>
        <v>#N/A</v>
      </c>
      <c r="E19" s="100"/>
      <c r="F19" s="169" t="e">
        <f>SUM(F17:F18)</f>
        <v>#N/A</v>
      </c>
      <c r="G19" s="169"/>
      <c r="H19" s="100"/>
      <c r="I19" s="100"/>
      <c r="J19" s="100"/>
      <c r="K19" s="99"/>
    </row>
    <row r="20" spans="1:11">
      <c r="A20" s="177" t="s">
        <v>179</v>
      </c>
      <c r="B20" s="172"/>
      <c r="C20" s="172"/>
      <c r="D20" s="103" t="e">
        <f>HLOOKUP($A$12,'Revenue Requirement'!$A$2:$I$36,25,FALSE)-$D$19</f>
        <v>#N/A</v>
      </c>
      <c r="E20" s="169" t="e">
        <f>D20*E15</f>
        <v>#N/A</v>
      </c>
      <c r="F20" s="169" t="e">
        <f>D20*F15</f>
        <v>#N/A</v>
      </c>
      <c r="G20" s="169" t="e">
        <f>D20*G15</f>
        <v>#N/A</v>
      </c>
      <c r="H20" s="169" t="e">
        <f>D20*H15</f>
        <v>#N/A</v>
      </c>
      <c r="I20" s="169" t="e">
        <f>D20*I15</f>
        <v>#N/A</v>
      </c>
      <c r="J20" s="169" t="e">
        <f>D20*J15</f>
        <v>#N/A</v>
      </c>
      <c r="K20" s="178" t="e">
        <f>D20*K15</f>
        <v>#N/A</v>
      </c>
    </row>
    <row r="21" spans="1:11" ht="15">
      <c r="A21" s="179" t="s">
        <v>180</v>
      </c>
      <c r="B21" s="168"/>
      <c r="C21" s="168"/>
      <c r="D21" s="180" t="e">
        <f>D20+D19</f>
        <v>#N/A</v>
      </c>
      <c r="E21" s="180" t="e">
        <f t="shared" ref="E21:K21" si="0">E20+E19</f>
        <v>#N/A</v>
      </c>
      <c r="F21" s="180" t="e">
        <f t="shared" si="0"/>
        <v>#N/A</v>
      </c>
      <c r="G21" s="180" t="e">
        <f>G20+G19</f>
        <v>#N/A</v>
      </c>
      <c r="H21" s="180" t="e">
        <f>H20+H19</f>
        <v>#N/A</v>
      </c>
      <c r="I21" s="180" t="e">
        <f t="shared" si="0"/>
        <v>#N/A</v>
      </c>
      <c r="J21" s="180" t="e">
        <f t="shared" si="0"/>
        <v>#N/A</v>
      </c>
      <c r="K21" s="181" t="e">
        <f t="shared" si="0"/>
        <v>#N/A</v>
      </c>
    </row>
    <row r="22" spans="1:11">
      <c r="A22" s="176" t="s">
        <v>184</v>
      </c>
      <c r="B22" s="172"/>
      <c r="C22" s="172"/>
      <c r="D22" s="97"/>
      <c r="E22" s="97"/>
      <c r="F22" s="97"/>
      <c r="G22" s="97"/>
      <c r="H22" s="97"/>
      <c r="I22" s="97"/>
      <c r="J22" s="97"/>
      <c r="K22" s="98"/>
    </row>
    <row r="23" spans="1:11">
      <c r="A23" s="167"/>
      <c r="B23" s="172" t="s">
        <v>495</v>
      </c>
      <c r="C23" s="172"/>
      <c r="D23" s="97"/>
      <c r="E23" s="97"/>
      <c r="F23" s="102" t="e">
        <f>HLOOKUP($A$12,'Repayment Inputs'!$A$2:$J$43,38,FALSE)</f>
        <v>#N/A</v>
      </c>
      <c r="G23" s="102"/>
      <c r="H23" s="97"/>
      <c r="I23" s="97"/>
      <c r="J23" s="97"/>
      <c r="K23" s="98"/>
    </row>
    <row r="24" spans="1:11">
      <c r="A24" s="167"/>
      <c r="B24" s="172" t="s">
        <v>496</v>
      </c>
      <c r="C24" s="172"/>
      <c r="D24" s="97"/>
      <c r="E24" s="97"/>
      <c r="F24" s="182" t="e">
        <f>F19</f>
        <v>#N/A</v>
      </c>
      <c r="G24" s="182"/>
      <c r="H24" s="97"/>
      <c r="I24" s="97"/>
      <c r="J24" s="97"/>
      <c r="K24" s="98"/>
    </row>
    <row r="25" spans="1:11">
      <c r="A25" s="167"/>
      <c r="B25" s="172" t="s">
        <v>497</v>
      </c>
      <c r="C25" s="172"/>
      <c r="D25" s="97"/>
      <c r="E25" s="97"/>
      <c r="F25" s="183">
        <v>462.81493870392671</v>
      </c>
      <c r="G25" s="184"/>
      <c r="H25" s="97"/>
      <c r="I25" s="97"/>
      <c r="J25" s="97"/>
      <c r="K25" s="98"/>
    </row>
    <row r="26" spans="1:11">
      <c r="A26" s="167"/>
      <c r="B26" s="172" t="s">
        <v>498</v>
      </c>
      <c r="C26" s="172"/>
      <c r="D26" s="182" t="e">
        <f>F26</f>
        <v>#N/A</v>
      </c>
      <c r="E26" s="97"/>
      <c r="F26" s="182" t="e">
        <f>F23-F24-F25</f>
        <v>#N/A</v>
      </c>
      <c r="G26" s="182"/>
      <c r="H26" s="97"/>
      <c r="I26" s="97"/>
      <c r="J26" s="97"/>
      <c r="K26" s="98"/>
    </row>
    <row r="27" spans="1:11">
      <c r="A27" s="185" t="s">
        <v>481</v>
      </c>
      <c r="B27" s="172"/>
      <c r="C27" s="172"/>
      <c r="D27" s="109"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1" ht="15">
      <c r="A28" s="179" t="s">
        <v>185</v>
      </c>
      <c r="B28" s="172"/>
      <c r="C28" s="172"/>
      <c r="D28" s="180" t="e">
        <f>D27+D26</f>
        <v>#N/A</v>
      </c>
      <c r="E28" s="180" t="e">
        <f t="shared" ref="E28:K28" si="1">E27+E26</f>
        <v>#N/A</v>
      </c>
      <c r="F28" s="180" t="e">
        <f t="shared" si="1"/>
        <v>#N/A</v>
      </c>
      <c r="G28" s="180" t="e">
        <f>G27+G26</f>
        <v>#N/A</v>
      </c>
      <c r="H28" s="180" t="e">
        <f t="shared" si="1"/>
        <v>#N/A</v>
      </c>
      <c r="I28" s="180" t="e">
        <f t="shared" si="1"/>
        <v>#N/A</v>
      </c>
      <c r="J28" s="180" t="e">
        <f t="shared" si="1"/>
        <v>#N/A</v>
      </c>
      <c r="K28" s="181" t="e">
        <f t="shared" si="1"/>
        <v>#N/A</v>
      </c>
    </row>
    <row r="29" spans="1:11" ht="15">
      <c r="A29" s="176" t="s">
        <v>189</v>
      </c>
      <c r="B29" s="172"/>
      <c r="C29" s="172"/>
      <c r="D29" s="122"/>
      <c r="E29" s="122"/>
      <c r="F29" s="122"/>
      <c r="G29" s="122"/>
      <c r="H29" s="122"/>
      <c r="I29" s="122"/>
      <c r="J29" s="122"/>
      <c r="K29" s="121"/>
    </row>
    <row r="30" spans="1:11">
      <c r="A30" s="186" t="s">
        <v>550</v>
      </c>
      <c r="B30" s="172"/>
      <c r="C30" s="172"/>
      <c r="D30" s="169">
        <f>SUM(E30:K30)</f>
        <v>28250.764196</v>
      </c>
      <c r="E30" s="183">
        <v>0</v>
      </c>
      <c r="F30" s="183">
        <v>28250.764196</v>
      </c>
      <c r="G30" s="183">
        <v>0</v>
      </c>
      <c r="H30" s="183">
        <v>0</v>
      </c>
      <c r="I30" s="183">
        <v>0</v>
      </c>
      <c r="J30" s="183">
        <v>0</v>
      </c>
      <c r="K30" s="187">
        <v>0</v>
      </c>
    </row>
    <row r="31" spans="1:11">
      <c r="A31" s="186" t="s">
        <v>186</v>
      </c>
      <c r="B31" s="172"/>
      <c r="C31" s="172"/>
      <c r="D31" s="188" t="e">
        <f>SUM(E31:K31)</f>
        <v>#N/A</v>
      </c>
      <c r="E31" s="189" t="e">
        <f>E49/D49</f>
        <v>#N/A</v>
      </c>
      <c r="F31" s="189" t="e">
        <f>F49/D49</f>
        <v>#N/A</v>
      </c>
      <c r="G31" s="189" t="e">
        <f>G49/D49</f>
        <v>#N/A</v>
      </c>
      <c r="H31" s="189" t="e">
        <f>H49/D49</f>
        <v>#N/A</v>
      </c>
      <c r="I31" s="189" t="e">
        <f>I49/D49</f>
        <v>#N/A</v>
      </c>
      <c r="J31" s="189" t="e">
        <f>J49/D49</f>
        <v>#N/A</v>
      </c>
      <c r="K31" s="190" t="e">
        <f>K49/D49</f>
        <v>#N/A</v>
      </c>
    </row>
    <row r="32" spans="1:11">
      <c r="A32" s="186" t="s">
        <v>187</v>
      </c>
      <c r="B32" s="172"/>
      <c r="C32" s="172"/>
      <c r="D32" s="105">
        <v>0</v>
      </c>
      <c r="E32" s="169" t="e">
        <f>D32*E31</f>
        <v>#N/A</v>
      </c>
      <c r="F32" s="169" t="e">
        <f>D32*F31</f>
        <v>#N/A</v>
      </c>
      <c r="G32" s="169" t="e">
        <f>D32*G31</f>
        <v>#N/A</v>
      </c>
      <c r="H32" s="169" t="e">
        <f>D32*H31</f>
        <v>#N/A</v>
      </c>
      <c r="I32" s="169" t="e">
        <f>D32*I31</f>
        <v>#N/A</v>
      </c>
      <c r="J32" s="169" t="e">
        <f>D32*J31</f>
        <v>#N/A</v>
      </c>
      <c r="K32" s="178" t="e">
        <f>D32*K31</f>
        <v>#N/A</v>
      </c>
    </row>
    <row r="33" spans="1:20" ht="15.75" thickBot="1">
      <c r="A33" s="296" t="s">
        <v>188</v>
      </c>
      <c r="B33" s="297"/>
      <c r="C33" s="297"/>
      <c r="D33" s="220" t="e">
        <f>SUM(E33:K33)</f>
        <v>#N/A</v>
      </c>
      <c r="E33" s="220" t="e">
        <f t="shared" ref="E33:K33" si="2">E32+E30</f>
        <v>#N/A</v>
      </c>
      <c r="F33" s="220" t="e">
        <f>F32+F30</f>
        <v>#N/A</v>
      </c>
      <c r="G33" s="220" t="e">
        <f>G32+G30</f>
        <v>#N/A</v>
      </c>
      <c r="H33" s="220" t="e">
        <f t="shared" si="2"/>
        <v>#N/A</v>
      </c>
      <c r="I33" s="220" t="e">
        <f t="shared" si="2"/>
        <v>#N/A</v>
      </c>
      <c r="J33" s="220" t="e">
        <f t="shared" si="2"/>
        <v>#N/A</v>
      </c>
      <c r="K33" s="221" t="e">
        <f t="shared" si="2"/>
        <v>#N/A</v>
      </c>
    </row>
    <row r="34" spans="1:20" ht="9" customHeight="1">
      <c r="A34" s="167"/>
      <c r="B34" s="172"/>
      <c r="C34" s="172"/>
      <c r="D34" s="97"/>
      <c r="E34" s="97"/>
      <c r="F34" s="97"/>
      <c r="G34" s="97"/>
      <c r="H34" s="97"/>
      <c r="I34" s="97"/>
      <c r="J34" s="97"/>
      <c r="K34" s="98"/>
    </row>
    <row r="35" spans="1:20" ht="15">
      <c r="A35" s="165" t="s">
        <v>236</v>
      </c>
      <c r="B35" s="172"/>
      <c r="C35" s="172"/>
      <c r="D35" s="97"/>
      <c r="E35" s="97"/>
      <c r="F35" s="97"/>
      <c r="G35" s="97"/>
      <c r="H35" s="97"/>
      <c r="I35" s="97"/>
      <c r="J35" s="97"/>
      <c r="K35" s="98"/>
    </row>
    <row r="36" spans="1:20">
      <c r="A36" s="191" t="s">
        <v>520</v>
      </c>
      <c r="B36" s="172"/>
      <c r="C36" s="172"/>
      <c r="D36" s="97"/>
      <c r="E36" s="97"/>
      <c r="F36" s="97"/>
      <c r="G36" s="97"/>
      <c r="H36" s="97"/>
      <c r="I36" s="97"/>
      <c r="J36" s="97"/>
      <c r="K36" s="98"/>
    </row>
    <row r="37" spans="1:20">
      <c r="A37" s="192" t="s">
        <v>299</v>
      </c>
      <c r="B37" s="172"/>
      <c r="C37" s="172"/>
      <c r="D37" s="193">
        <f>SUM(E37:J37)</f>
        <v>53823.005644218851</v>
      </c>
      <c r="E37" s="194">
        <v>618.34147943144103</v>
      </c>
      <c r="F37" s="194">
        <v>48832.749636183224</v>
      </c>
      <c r="G37" s="194">
        <v>2251.9919741894219</v>
      </c>
      <c r="H37" s="194">
        <v>2106.6816600118982</v>
      </c>
      <c r="I37" s="194">
        <v>13.240894402875242</v>
      </c>
      <c r="J37" s="194">
        <v>0</v>
      </c>
      <c r="K37" s="98"/>
    </row>
    <row r="38" spans="1:20">
      <c r="A38" s="192" t="s">
        <v>300</v>
      </c>
      <c r="B38" s="172"/>
      <c r="C38" s="172"/>
      <c r="D38" s="193">
        <f>SUM(E38:J38)</f>
        <v>132737.47345136068</v>
      </c>
      <c r="E38" s="194">
        <v>3338.1230956561526</v>
      </c>
      <c r="F38" s="194">
        <v>108435.56239276817</v>
      </c>
      <c r="G38" s="194">
        <v>18653.483372581512</v>
      </c>
      <c r="H38" s="194">
        <v>791.08340744031898</v>
      </c>
      <c r="I38" s="194">
        <v>1117.8722943054693</v>
      </c>
      <c r="J38" s="194">
        <v>401.34888860906045</v>
      </c>
      <c r="K38" s="98"/>
    </row>
    <row r="39" spans="1:20" ht="15">
      <c r="A39" s="195" t="s">
        <v>301</v>
      </c>
      <c r="B39" s="168"/>
      <c r="C39" s="168"/>
      <c r="D39" s="193">
        <f>SUM(D37:D38)</f>
        <v>186560.47909557953</v>
      </c>
      <c r="E39" s="97"/>
      <c r="F39" s="97"/>
      <c r="G39" s="97"/>
      <c r="H39" s="97"/>
      <c r="I39" s="97"/>
      <c r="J39" s="97"/>
      <c r="K39" s="98"/>
    </row>
    <row r="40" spans="1:20">
      <c r="A40" s="196" t="s">
        <v>239</v>
      </c>
      <c r="B40" s="172"/>
      <c r="C40" s="172"/>
      <c r="D40" s="97"/>
      <c r="E40" s="97"/>
      <c r="F40" s="97"/>
      <c r="G40" s="97"/>
      <c r="H40" s="97"/>
      <c r="I40" s="97"/>
      <c r="J40" s="97"/>
      <c r="K40" s="98"/>
    </row>
    <row r="41" spans="1:20">
      <c r="A41" s="185" t="s">
        <v>240</v>
      </c>
      <c r="B41" s="172"/>
      <c r="C41" s="172"/>
      <c r="D41" s="197" t="e">
        <f>SUM((HLOOKUP($A$12,'Expense Input File'!$B$27:$L$70,3,FALSE)),(HLOOKUP($A$12,'Expense Input File'!$B$27:$L$70,4,FALSE)),(HLOOKUP($A$12,'Expense Input File'!$B$27:$L$70,5,FALSE)), (HLOOKUP($A$12,'Expense Input File'!$B$27:$L$70,6,FALSE)),(HLOOKUP($A$12,'Expense Input File'!$B$27:$L$70,7,FALSE)))-$K$41</f>
        <v>#N/A</v>
      </c>
      <c r="E41" s="97"/>
      <c r="F41" s="197" t="e">
        <f>(HLOOKUP($A$12,'Expense Input File'!$A$27:$L$70,33,FALSE))</f>
        <v>#N/A</v>
      </c>
      <c r="G41" s="97"/>
      <c r="H41" s="97"/>
      <c r="I41" s="97"/>
      <c r="J41" s="97"/>
      <c r="K41" s="198" t="e">
        <f>SUM((HLOOKUP($A$12,'Expense Input File'!$B$27:$L$70,3,FALSE)),(HLOOKUP($A$12,'Expense Input File'!$B$27:$L$70,4,FALSE)),(HLOOKUP($A$12,'Expense Input File'!$B$27:$L$70,5,FALSE)), (HLOOKUP($A$12,'Expense Input File'!$B$27:$L$70,6,FALSE)))-(HLOOKUP($A$12,'Expense Input File'!$A$27:$L$70,8,FALSE))</f>
        <v>#N/A</v>
      </c>
      <c r="L41" s="143" t="s">
        <v>519</v>
      </c>
      <c r="M41" s="110"/>
      <c r="N41" s="110"/>
      <c r="O41" s="110"/>
      <c r="P41" s="110"/>
      <c r="Q41" s="110"/>
      <c r="R41" s="110"/>
      <c r="S41" s="110"/>
      <c r="T41" s="110"/>
    </row>
    <row r="42" spans="1:20">
      <c r="A42" s="185" t="s">
        <v>241</v>
      </c>
      <c r="B42" s="172"/>
      <c r="C42" s="172"/>
      <c r="D42" s="197" t="e">
        <f>HLOOKUP($A$12,'Expense Input File'!$B$14:$L$24,4,FALSE)</f>
        <v>#N/A</v>
      </c>
      <c r="E42" s="97"/>
      <c r="F42" s="97"/>
      <c r="G42" s="97"/>
      <c r="H42" s="97"/>
      <c r="I42" s="97"/>
      <c r="J42" s="97"/>
      <c r="K42" s="98"/>
      <c r="M42" s="110"/>
      <c r="N42" s="110"/>
      <c r="O42" s="110"/>
      <c r="P42" s="110"/>
      <c r="Q42" s="110"/>
      <c r="R42" s="110"/>
      <c r="S42" s="110"/>
      <c r="T42" s="110"/>
    </row>
    <row r="43" spans="1:20" ht="5.25" customHeight="1">
      <c r="A43" s="185"/>
      <c r="B43" s="172"/>
      <c r="C43" s="172"/>
      <c r="D43" s="100"/>
      <c r="E43" s="97"/>
      <c r="F43" s="97"/>
      <c r="G43" s="97"/>
      <c r="H43" s="97"/>
      <c r="I43" s="97"/>
      <c r="J43" s="97"/>
      <c r="K43" s="98"/>
    </row>
    <row r="44" spans="1:20">
      <c r="A44" s="199" t="s">
        <v>266</v>
      </c>
      <c r="B44" s="172"/>
      <c r="C44" s="172"/>
      <c r="D44" s="182" t="e">
        <f>SUM(D41:D42)</f>
        <v>#N/A</v>
      </c>
      <c r="E44" s="97"/>
      <c r="F44" s="97"/>
      <c r="G44" s="97"/>
      <c r="H44" s="97"/>
      <c r="I44" s="97"/>
      <c r="J44" s="97"/>
      <c r="K44" s="98"/>
    </row>
    <row r="45" spans="1:20">
      <c r="A45" s="200" t="s">
        <v>267</v>
      </c>
      <c r="B45" s="172"/>
      <c r="C45" s="172"/>
      <c r="D45" s="182" t="e">
        <f>D44-D46</f>
        <v>#N/A</v>
      </c>
      <c r="E45" s="169" t="e">
        <f>(E37/D37)*D45</f>
        <v>#N/A</v>
      </c>
      <c r="F45" s="182" t="e">
        <f>(F37/D37)*D45</f>
        <v>#N/A</v>
      </c>
      <c r="G45" s="182" t="e">
        <f>(G37/D37)*D45</f>
        <v>#N/A</v>
      </c>
      <c r="H45" s="182" t="e">
        <f>(H37/D37)*D45</f>
        <v>#N/A</v>
      </c>
      <c r="I45" s="182" t="e">
        <f>(I37/D37)*D45</f>
        <v>#N/A</v>
      </c>
      <c r="J45" s="182" t="e">
        <f>(J37/D37)*D45</f>
        <v>#N/A</v>
      </c>
      <c r="K45" s="98"/>
    </row>
    <row r="46" spans="1:20">
      <c r="A46" s="200" t="s">
        <v>269</v>
      </c>
      <c r="B46" s="172"/>
      <c r="C46" s="172"/>
      <c r="D46" s="169" t="e">
        <f>((D38/D39)*D44)</f>
        <v>#N/A</v>
      </c>
      <c r="E46" s="201" t="e">
        <f>(E38/D38)*D46</f>
        <v>#N/A</v>
      </c>
      <c r="F46" s="182" t="e">
        <f>(F38/D38)*D46</f>
        <v>#N/A</v>
      </c>
      <c r="G46" s="182" t="e">
        <f>(G38/D38)*D46</f>
        <v>#N/A</v>
      </c>
      <c r="H46" s="182" t="e">
        <f>(H38/D38)*D46</f>
        <v>#N/A</v>
      </c>
      <c r="I46" s="182" t="e">
        <f>(I38/D38)*D46</f>
        <v>#N/A</v>
      </c>
      <c r="J46" s="182" t="e">
        <f>(J38/D38)*D46</f>
        <v>#N/A</v>
      </c>
      <c r="K46" s="98"/>
    </row>
    <row r="47" spans="1:20" ht="15">
      <c r="A47" s="202" t="s">
        <v>268</v>
      </c>
      <c r="B47" s="168"/>
      <c r="C47" s="168"/>
      <c r="D47" s="182" t="e">
        <f>SUM(E47:J47)</f>
        <v>#N/A</v>
      </c>
      <c r="E47" s="182" t="e">
        <f t="shared" ref="E47:J47" si="3">SUM(E45:E46)</f>
        <v>#N/A</v>
      </c>
      <c r="F47" s="182" t="e">
        <f t="shared" si="3"/>
        <v>#N/A</v>
      </c>
      <c r="G47" s="182" t="e">
        <f t="shared" si="3"/>
        <v>#N/A</v>
      </c>
      <c r="H47" s="182" t="e">
        <f t="shared" si="3"/>
        <v>#N/A</v>
      </c>
      <c r="I47" s="182" t="e">
        <f t="shared" si="3"/>
        <v>#N/A</v>
      </c>
      <c r="J47" s="182" t="e">
        <f t="shared" si="3"/>
        <v>#N/A</v>
      </c>
      <c r="K47" s="98"/>
    </row>
    <row r="48" spans="1:20">
      <c r="A48" s="203" t="s">
        <v>25</v>
      </c>
      <c r="B48" s="172"/>
      <c r="C48" s="172"/>
      <c r="D48" s="204" t="e">
        <f>K48</f>
        <v>#N/A</v>
      </c>
      <c r="E48" s="119"/>
      <c r="F48" s="119"/>
      <c r="G48" s="119"/>
      <c r="H48" s="119"/>
      <c r="I48" s="119"/>
      <c r="J48" s="119"/>
      <c r="K48" s="205" t="e">
        <f>SUM((HLOOKUP($A$12,'Expense Input File'!$A$27:$L$70,24,FALSE)),(HLOOKUP($A$12,'Expense Input File'!$A$27:$L$70,25,FALSE)),(HLOOKUP($A$12,'Expense Input File'!$A$27:$L$70,26,FALSE)),(HLOOKUP($A$12,'Expense Input File'!$A$27:$L$70,27,FALSE)),(HLOOKUP($A$12,'Expense Input File'!$A$27:$L$70,28,FALSE)))</f>
        <v>#N/A</v>
      </c>
    </row>
    <row r="49" spans="1:12" ht="15">
      <c r="A49" s="206" t="s">
        <v>270</v>
      </c>
      <c r="B49" s="168"/>
      <c r="C49" s="168"/>
      <c r="D49" s="180" t="e">
        <f>SUM(E49:K49)</f>
        <v>#N/A</v>
      </c>
      <c r="E49" s="180" t="e">
        <f t="shared" ref="E49:J49" si="4">E47</f>
        <v>#N/A</v>
      </c>
      <c r="F49" s="180" t="e">
        <f>F47+F41</f>
        <v>#N/A</v>
      </c>
      <c r="G49" s="180" t="e">
        <f t="shared" si="4"/>
        <v>#N/A</v>
      </c>
      <c r="H49" s="180" t="e">
        <f t="shared" si="4"/>
        <v>#N/A</v>
      </c>
      <c r="I49" s="180" t="e">
        <f t="shared" si="4"/>
        <v>#N/A</v>
      </c>
      <c r="J49" s="180" t="e">
        <f t="shared" si="4"/>
        <v>#N/A</v>
      </c>
      <c r="K49" s="181" t="e">
        <f>K48+K41</f>
        <v>#N/A</v>
      </c>
    </row>
    <row r="50" spans="1:12">
      <c r="A50" s="196" t="s">
        <v>271</v>
      </c>
      <c r="B50" s="172"/>
      <c r="C50" s="172"/>
      <c r="D50" s="107"/>
      <c r="E50" s="97"/>
      <c r="F50" s="97"/>
      <c r="G50" s="97"/>
      <c r="H50" s="97"/>
      <c r="I50" s="97"/>
      <c r="J50" s="97"/>
      <c r="K50" s="98"/>
    </row>
    <row r="51" spans="1:12">
      <c r="A51" s="207" t="s">
        <v>46</v>
      </c>
      <c r="B51" s="172"/>
      <c r="C51" s="172"/>
      <c r="D51" s="197" t="e">
        <f>SUM((HLOOKUP($A$12,'Expense Input File'!$A$27:$L$70,10,FALSE)),(HLOOKUP($A$12,'Expense Input File'!$A$27:$L$70,11,FALSE)),(HLOOKUP($A$12,'Expense Input File'!$A$27:$L$70,12,FALSE)),(HLOOKUP($A$12,'Expense Input File'!$A$27:$L$70,13,FALSE)))</f>
        <v>#N/A</v>
      </c>
      <c r="E51" s="169" t="e">
        <f>(E49/D49)*D51</f>
        <v>#N/A</v>
      </c>
      <c r="F51" s="169" t="e">
        <f>(F49/D49)*D51</f>
        <v>#N/A</v>
      </c>
      <c r="G51" s="169" t="e">
        <f>(G49/D49)*D51</f>
        <v>#N/A</v>
      </c>
      <c r="H51" s="169" t="e">
        <f>(H49/D49)*D51</f>
        <v>#N/A</v>
      </c>
      <c r="I51" s="169" t="e">
        <f>(I49/D49)*D51</f>
        <v>#N/A</v>
      </c>
      <c r="J51" s="169" t="e">
        <f>(J49/D49)*D51</f>
        <v>#N/A</v>
      </c>
      <c r="K51" s="178" t="e">
        <f>(K49/D49)*D51</f>
        <v>#N/A</v>
      </c>
    </row>
    <row r="52" spans="1:12">
      <c r="A52" s="207" t="s">
        <v>47</v>
      </c>
      <c r="B52" s="172"/>
      <c r="C52" s="172"/>
      <c r="D52" s="197" t="e">
        <f>SUM((HLOOKUP($A$12,'Expense Input File'!$A$27:$L$70,14,FALSE)),(HLOOKUP($A$12,'Expense Input File'!$A$27:$L$70,16,FALSE)),(HLOOKUP($A$12,'Expense Input File'!$A$27:$L$70,17,FALSE)),(HLOOKUP($A$12,'Expense Input File'!$A$27:$L$70,18,FALSE)),(HLOOKUP($A$12,'Expense Input File'!$A$27:$L$70,19,FALSE)),(HLOOKUP($A$12,'Expense Input File'!$A$27:$L$70,20,FALSE)),(HLOOKUP($A$12,'Expense Input File'!$A$27:$L$70,21,FALSE)),(HLOOKUP($A$12,'Expense Input File'!$A$27:$L$70,30,FALSE)),(HLOOKUP($A$12,'Expense Input File'!$A$27:$L$70,31,FALSE)),(HLOOKUP($A$12,'Expense Input File'!$A$27:$L$70,32,FALSE)))</f>
        <v>#N/A</v>
      </c>
      <c r="E52" s="169" t="e">
        <f>(E49/D49)*D52</f>
        <v>#N/A</v>
      </c>
      <c r="F52" s="169" t="e">
        <f>(F49/D49)*D52</f>
        <v>#N/A</v>
      </c>
      <c r="G52" s="169" t="e">
        <f>(G49/D49)*D52</f>
        <v>#N/A</v>
      </c>
      <c r="H52" s="169" t="e">
        <f>(H49/D49)*D52</f>
        <v>#N/A</v>
      </c>
      <c r="I52" s="169" t="e">
        <f>(I49/D49)*D52</f>
        <v>#N/A</v>
      </c>
      <c r="J52" s="169" t="e">
        <f>(J49/D49)*D52</f>
        <v>#N/A</v>
      </c>
      <c r="K52" s="178" t="e">
        <f>(K49/D49)*D52</f>
        <v>#N/A</v>
      </c>
    </row>
    <row r="53" spans="1:12">
      <c r="A53" s="207" t="s">
        <v>273</v>
      </c>
      <c r="B53" s="172"/>
      <c r="C53" s="172"/>
      <c r="D53" s="197" t="e">
        <f>HLOOKUP($A$12,'Expense Input File'!$B$14:$L$24,3,FALSE)</f>
        <v>#N/A</v>
      </c>
      <c r="E53" s="197" t="e">
        <f>(E49/D49)*(D53-(HLOOKUP($A$12,'Expense Input File'!$A$14:$L$24,10,FALSE)))</f>
        <v>#N/A</v>
      </c>
      <c r="F53" s="105" t="e">
        <f>(F49/D49)*(D53-(HLOOKUP($A$12,'Expense Input File'!$A$14:$L$24,10,FALSE)))</f>
        <v>#N/A</v>
      </c>
      <c r="G53" s="197" t="e">
        <f>(G49/D49)*(D53-(HLOOKUP($A$12,'Expense Input File'!$A$14:$L$24,10,FALSE)))</f>
        <v>#N/A</v>
      </c>
      <c r="H53" s="197" t="e">
        <f>(H49/D49)*(D53-(HLOOKUP($A$12,'Expense Input File'!$A$14:$L$24,10,FALSE)))</f>
        <v>#N/A</v>
      </c>
      <c r="I53" s="197" t="e">
        <f>(I49/D49)*(D53-(HLOOKUP($A$12,'Expense Input File'!$A$14:$L$24,10,FALSE)))</f>
        <v>#N/A</v>
      </c>
      <c r="J53" s="197" t="e">
        <f>(J49/D49)*(D53-(HLOOKUP($A$12,'Expense Input File'!$A$14:$L$24,10,FALSE)))</f>
        <v>#N/A</v>
      </c>
      <c r="K53" s="198" t="e">
        <f>((K49/D49)*(D53-(HLOOKUP($A$12,'Expense Input File'!$A$14:$L$24,10,FALSE))))+(HLOOKUP($A$12,'Expense Input File'!$A$14:$L$24,10,FALSE))</f>
        <v>#N/A</v>
      </c>
    </row>
    <row r="54" spans="1:12">
      <c r="A54" s="207" t="s">
        <v>292</v>
      </c>
      <c r="B54" s="172"/>
      <c r="C54" s="172"/>
      <c r="D54" s="208" t="e">
        <f>SUM((HLOOKUP($A$12,'Expense Input File'!$A$14:$L$24,7,FALSE)),(HLOOKUP($A$12,'Expense Input File'!$A$14:$L$24,8,FALSE)))</f>
        <v>#N/A</v>
      </c>
      <c r="E54" s="209" t="e">
        <f>(E49/D49)*D54</f>
        <v>#N/A</v>
      </c>
      <c r="F54" s="209" t="e">
        <f>(F49/D49)*D54</f>
        <v>#N/A</v>
      </c>
      <c r="G54" s="209" t="e">
        <f>(G49/D49)*D54</f>
        <v>#N/A</v>
      </c>
      <c r="H54" s="209" t="e">
        <f>(H49/D49)*D54</f>
        <v>#N/A</v>
      </c>
      <c r="I54" s="209" t="e">
        <f>(I49/D49)*D54</f>
        <v>#N/A</v>
      </c>
      <c r="J54" s="209" t="e">
        <f>(J49/D49)*D54</f>
        <v>#N/A</v>
      </c>
      <c r="K54" s="210" t="e">
        <f>(K49/D49)*D54</f>
        <v>#N/A</v>
      </c>
    </row>
    <row r="55" spans="1:12" ht="15">
      <c r="A55" s="211" t="s">
        <v>290</v>
      </c>
      <c r="B55" s="172"/>
      <c r="C55" s="172"/>
      <c r="D55" s="180" t="e">
        <f>SUM(D51:D54)</f>
        <v>#N/A</v>
      </c>
      <c r="E55" s="180" t="e">
        <f t="shared" ref="E55:J55" si="5">SUM(E51:E54)</f>
        <v>#N/A</v>
      </c>
      <c r="F55" s="180" t="e">
        <f t="shared" si="5"/>
        <v>#N/A</v>
      </c>
      <c r="G55" s="180" t="e">
        <f t="shared" si="5"/>
        <v>#N/A</v>
      </c>
      <c r="H55" s="180" t="e">
        <f t="shared" si="5"/>
        <v>#N/A</v>
      </c>
      <c r="I55" s="180" t="e">
        <f t="shared" si="5"/>
        <v>#N/A</v>
      </c>
      <c r="J55" s="180" t="e">
        <f t="shared" si="5"/>
        <v>#N/A</v>
      </c>
      <c r="K55" s="181" t="e">
        <f>SUM(K51:K54)</f>
        <v>#N/A</v>
      </c>
      <c r="L55" s="222"/>
    </row>
    <row r="56" spans="1:12" ht="15">
      <c r="A56" s="165" t="s">
        <v>262</v>
      </c>
      <c r="B56" s="172"/>
      <c r="C56" s="172"/>
      <c r="D56" s="180" t="e">
        <f t="shared" ref="D56:K56" si="6">D55+D49</f>
        <v>#N/A</v>
      </c>
      <c r="E56" s="180" t="e">
        <f t="shared" si="6"/>
        <v>#N/A</v>
      </c>
      <c r="F56" s="180" t="e">
        <f t="shared" si="6"/>
        <v>#N/A</v>
      </c>
      <c r="G56" s="180" t="e">
        <f t="shared" si="6"/>
        <v>#N/A</v>
      </c>
      <c r="H56" s="180" t="e">
        <f t="shared" si="6"/>
        <v>#N/A</v>
      </c>
      <c r="I56" s="180" t="e">
        <f t="shared" si="6"/>
        <v>#N/A</v>
      </c>
      <c r="J56" s="180" t="e">
        <f t="shared" si="6"/>
        <v>#N/A</v>
      </c>
      <c r="K56" s="181" t="e">
        <f t="shared" si="6"/>
        <v>#N/A</v>
      </c>
      <c r="L56" s="222"/>
    </row>
    <row r="57" spans="1:12">
      <c r="A57" s="212" t="s">
        <v>177</v>
      </c>
      <c r="B57" s="172"/>
      <c r="C57" s="172"/>
      <c r="D57" s="97"/>
      <c r="E57" s="97"/>
      <c r="F57" s="97"/>
      <c r="G57" s="97"/>
      <c r="H57" s="97"/>
      <c r="I57" s="97"/>
      <c r="J57" s="97"/>
      <c r="K57" s="98"/>
    </row>
    <row r="58" spans="1:12">
      <c r="A58" s="185" t="s">
        <v>278</v>
      </c>
      <c r="B58" s="172"/>
      <c r="C58" s="172"/>
      <c r="D58" s="100"/>
      <c r="E58" s="97"/>
      <c r="F58" s="97"/>
      <c r="G58" s="97"/>
      <c r="H58" s="97"/>
      <c r="I58" s="97"/>
      <c r="J58" s="97"/>
      <c r="K58" s="98"/>
    </row>
    <row r="59" spans="1:12" ht="15">
      <c r="A59" s="185" t="s">
        <v>276</v>
      </c>
      <c r="B59" s="172"/>
      <c r="C59" s="172"/>
      <c r="D59" s="197" t="e">
        <f>(HLOOKUP($A$12,'Expense Input File'!$A$27:$L$91,37,FALSE))</f>
        <v>#N/A</v>
      </c>
      <c r="E59" s="100"/>
      <c r="F59" s="213" t="e">
        <v>#N/A</v>
      </c>
      <c r="G59" s="100"/>
      <c r="H59" s="100"/>
      <c r="I59" s="213" t="e">
        <v>#N/A</v>
      </c>
      <c r="J59" s="214"/>
      <c r="K59" s="98"/>
    </row>
    <row r="60" spans="1:12">
      <c r="A60" s="185" t="s">
        <v>277</v>
      </c>
      <c r="B60" s="172"/>
      <c r="C60" s="172"/>
      <c r="D60" s="197" t="e">
        <f>(HLOOKUP($A$12,'Expense Input File'!$A$27:$L$91,38,FALSE))</f>
        <v>#N/A</v>
      </c>
      <c r="E60" s="100"/>
      <c r="F60" s="97"/>
      <c r="G60" s="182" t="e">
        <f>D60</f>
        <v>#N/A</v>
      </c>
      <c r="H60" s="97"/>
      <c r="I60" s="97"/>
      <c r="J60" s="97"/>
      <c r="K60" s="98"/>
    </row>
    <row r="61" spans="1:12">
      <c r="A61" s="185" t="s">
        <v>275</v>
      </c>
      <c r="B61" s="172"/>
      <c r="C61" s="172"/>
      <c r="D61" s="197" t="e">
        <f>(HLOOKUP($A$12,'Expense Input File'!$A$27:$L$91,41,FALSE))</f>
        <v>#N/A</v>
      </c>
      <c r="E61" s="100"/>
      <c r="F61" s="182" t="e">
        <f>D61</f>
        <v>#N/A</v>
      </c>
      <c r="G61" s="97"/>
      <c r="H61" s="97"/>
      <c r="I61" s="97"/>
      <c r="J61" s="97"/>
      <c r="K61" s="98"/>
    </row>
    <row r="62" spans="1:12" ht="15">
      <c r="A62" s="185" t="s">
        <v>469</v>
      </c>
      <c r="B62" s="172"/>
      <c r="C62" s="172"/>
      <c r="D62" s="197" t="e">
        <f>(HLOOKUP($A$12,'Expense Input File'!$A$27:$L$91,39,FALSE))</f>
        <v>#N/A</v>
      </c>
      <c r="E62" s="100"/>
      <c r="F62" s="215" t="e">
        <v>#N/A</v>
      </c>
      <c r="G62" s="215" t="e">
        <v>#N/A</v>
      </c>
      <c r="H62" s="97"/>
      <c r="I62" s="97"/>
      <c r="J62" s="97"/>
      <c r="K62" s="98"/>
    </row>
    <row r="63" spans="1:12">
      <c r="A63" s="185" t="s">
        <v>274</v>
      </c>
      <c r="B63" s="172"/>
      <c r="C63" s="172"/>
      <c r="D63" s="197" t="e">
        <f>HLOOKUP($A$12,'Expense Input File'!$B$27:$L$91,42,FALSE)</f>
        <v>#N/A</v>
      </c>
      <c r="E63" s="169" t="e">
        <f>(E38/D38)*D63</f>
        <v>#N/A</v>
      </c>
      <c r="F63" s="169" t="e">
        <f>(F38/D38)*D63</f>
        <v>#N/A</v>
      </c>
      <c r="G63" s="169" t="e">
        <f>(G38/D38)*D63</f>
        <v>#N/A</v>
      </c>
      <c r="H63" s="169" t="e">
        <f>(H38/D38)*D63</f>
        <v>#N/A</v>
      </c>
      <c r="I63" s="169" t="e">
        <f>(I38/D38)*D63</f>
        <v>#N/A</v>
      </c>
      <c r="J63" s="169" t="e">
        <f>(J38/D38)*D63</f>
        <v>#N/A</v>
      </c>
      <c r="K63" s="98"/>
    </row>
    <row r="64" spans="1:12" ht="15">
      <c r="A64" s="185" t="s">
        <v>263</v>
      </c>
      <c r="B64" s="168"/>
      <c r="C64" s="172"/>
      <c r="D64" s="216" t="e">
        <f>K64</f>
        <v>#N/A</v>
      </c>
      <c r="E64" s="120"/>
      <c r="F64" s="119"/>
      <c r="G64" s="119"/>
      <c r="H64" s="119"/>
      <c r="I64" s="119"/>
      <c r="J64" s="119"/>
      <c r="K64" s="205" t="e">
        <f>HLOOKUP($A$12,'Expense Input File'!$A$27:$L$91,35,FALSE)</f>
        <v>#N/A</v>
      </c>
      <c r="L64" s="111"/>
    </row>
    <row r="65" spans="1:12" ht="15">
      <c r="A65" s="179" t="s">
        <v>288</v>
      </c>
      <c r="B65" s="172"/>
      <c r="C65" s="172"/>
      <c r="D65" s="217" t="e">
        <f>SUM(D59:D64)</f>
        <v>#N/A</v>
      </c>
      <c r="E65" s="217" t="e">
        <f t="shared" ref="E65:K65" si="7">SUM(E59:E64)</f>
        <v>#N/A</v>
      </c>
      <c r="F65" s="217" t="e">
        <f t="shared" si="7"/>
        <v>#N/A</v>
      </c>
      <c r="G65" s="217" t="e">
        <f t="shared" si="7"/>
        <v>#N/A</v>
      </c>
      <c r="H65" s="217" t="e">
        <f t="shared" si="7"/>
        <v>#N/A</v>
      </c>
      <c r="I65" s="217" t="e">
        <f t="shared" si="7"/>
        <v>#N/A</v>
      </c>
      <c r="J65" s="217" t="e">
        <f t="shared" si="7"/>
        <v>#N/A</v>
      </c>
      <c r="K65" s="218" t="e">
        <f t="shared" si="7"/>
        <v>#N/A</v>
      </c>
    </row>
    <row r="66" spans="1:12">
      <c r="A66" s="185" t="s">
        <v>279</v>
      </c>
      <c r="B66" s="172"/>
      <c r="C66" s="172"/>
      <c r="D66" s="97"/>
      <c r="E66" s="100"/>
      <c r="F66" s="97"/>
      <c r="G66" s="97"/>
      <c r="H66" s="97"/>
      <c r="I66" s="97"/>
      <c r="J66" s="97"/>
      <c r="K66" s="98"/>
    </row>
    <row r="67" spans="1:12">
      <c r="A67" s="185" t="s">
        <v>42</v>
      </c>
      <c r="B67" s="172"/>
      <c r="C67" s="172"/>
      <c r="D67" s="169" t="e">
        <f>SUM(E67:K67)</f>
        <v>#N/A</v>
      </c>
      <c r="E67" s="197" t="e">
        <f>(HLOOKUP($A$12,'Expense Input File'!$B$71:$L$93,22,FALSE))*E15</f>
        <v>#N/A</v>
      </c>
      <c r="F67" s="197" t="e">
        <f>(HLOOKUP($A$12,'Expense Input File'!$B$71:$L$93,22,FALSE))*F15</f>
        <v>#N/A</v>
      </c>
      <c r="G67" s="197" t="e">
        <f>(HLOOKUP($A$12,'Expense Input File'!$B$71:$L$93,22,FALSE))*G15</f>
        <v>#N/A</v>
      </c>
      <c r="H67" s="197" t="e">
        <f>(HLOOKUP($A$12,'Expense Input File'!$B$71:$L$93,22,FALSE))*H15</f>
        <v>#N/A</v>
      </c>
      <c r="I67" s="197" t="e">
        <f>(HLOOKUP($A$12,'Expense Input File'!$B$71:$L$93,22,FALSE))*I15</f>
        <v>#N/A</v>
      </c>
      <c r="J67" s="197" t="e">
        <f>(HLOOKUP($A$12,'Expense Input File'!$B$71:$L$93,22,FALSE))*J15</f>
        <v>#N/A</v>
      </c>
      <c r="K67" s="198" t="e">
        <f>((HLOOKUP($A$12,'Expense Input File'!$B$71:$L$93,22,FALSE))*K15)+(HLOOKUP($A$12,'Expense Input File'!$B$71:$L$93,23,FALSE))</f>
        <v>#N/A</v>
      </c>
    </row>
    <row r="68" spans="1:12">
      <c r="A68" s="185" t="s">
        <v>43</v>
      </c>
      <c r="B68" s="172"/>
      <c r="C68" s="172"/>
      <c r="D68" s="197" t="e">
        <f>HLOOKUP($A$12,'Expense Input File'!$A$27:$L$91,46,FALSE)</f>
        <v>#N/A</v>
      </c>
      <c r="E68" s="100"/>
      <c r="F68" s="182" t="e">
        <f>D68</f>
        <v>#N/A</v>
      </c>
      <c r="G68" s="107"/>
      <c r="H68" s="107"/>
      <c r="I68" s="107"/>
      <c r="J68" s="107"/>
      <c r="K68" s="108"/>
    </row>
    <row r="69" spans="1:12">
      <c r="A69" s="185" t="s">
        <v>44</v>
      </c>
      <c r="B69" s="172"/>
      <c r="C69" s="172"/>
      <c r="D69" s="197" t="e">
        <f>HLOOKUP($A$12,'Expense Input File'!$A$27:$L$91,47,FALSE)</f>
        <v>#N/A</v>
      </c>
      <c r="E69" s="201" t="e">
        <f>(E49/D49)*D69</f>
        <v>#N/A</v>
      </c>
      <c r="F69" s="169" t="e">
        <f>(F49/D49)*D69</f>
        <v>#N/A</v>
      </c>
      <c r="G69" s="169" t="e">
        <f>(G49/D49)*D69</f>
        <v>#N/A</v>
      </c>
      <c r="H69" s="169" t="e">
        <f>(H49/D49)*D69</f>
        <v>#N/A</v>
      </c>
      <c r="I69" s="169" t="e">
        <f>(I49/D49)*D69</f>
        <v>#N/A</v>
      </c>
      <c r="J69" s="169" t="e">
        <f>(J49/D49)*D69</f>
        <v>#N/A</v>
      </c>
      <c r="K69" s="178" t="e">
        <f>(K49/D49)*D69</f>
        <v>#N/A</v>
      </c>
    </row>
    <row r="70" spans="1:12">
      <c r="A70" s="185" t="s">
        <v>45</v>
      </c>
      <c r="B70" s="172"/>
      <c r="C70" s="172"/>
      <c r="D70" s="208" t="e">
        <f>HLOOKUP($A$12,'Expense Input File'!$A$27:$L$91,48,FALSE)</f>
        <v>#N/A</v>
      </c>
      <c r="E70" s="120"/>
      <c r="F70" s="120"/>
      <c r="G70" s="120"/>
      <c r="H70" s="120"/>
      <c r="I70" s="120"/>
      <c r="J70" s="120"/>
      <c r="K70" s="210" t="e">
        <f>D70</f>
        <v>#N/A</v>
      </c>
      <c r="L70" s="111"/>
    </row>
    <row r="71" spans="1:12" ht="15">
      <c r="A71" s="179" t="s">
        <v>289</v>
      </c>
      <c r="B71" s="172"/>
      <c r="C71" s="172"/>
      <c r="D71" s="217" t="e">
        <f>SUM(D67:D70)</f>
        <v>#N/A</v>
      </c>
      <c r="E71" s="217" t="e">
        <f t="shared" ref="E71:J71" si="8">SUM(E67:E70)</f>
        <v>#N/A</v>
      </c>
      <c r="F71" s="217" t="e">
        <f t="shared" si="8"/>
        <v>#N/A</v>
      </c>
      <c r="G71" s="217" t="e">
        <f t="shared" si="8"/>
        <v>#N/A</v>
      </c>
      <c r="H71" s="217" t="e">
        <f t="shared" si="8"/>
        <v>#N/A</v>
      </c>
      <c r="I71" s="217" t="e">
        <f t="shared" si="8"/>
        <v>#N/A</v>
      </c>
      <c r="J71" s="217" t="e">
        <f t="shared" si="8"/>
        <v>#N/A</v>
      </c>
      <c r="K71" s="218" t="e">
        <f>SUM(K67:K70)</f>
        <v>#N/A</v>
      </c>
    </row>
    <row r="72" spans="1:12" ht="15.75" customHeight="1" thickBot="1">
      <c r="A72" s="219" t="s">
        <v>280</v>
      </c>
      <c r="B72" s="219"/>
      <c r="C72" s="219"/>
      <c r="D72" s="220" t="e">
        <f>SUM(E72:K72)</f>
        <v>#N/A</v>
      </c>
      <c r="E72" s="220" t="e">
        <f>E71+E65</f>
        <v>#N/A</v>
      </c>
      <c r="F72" s="220" t="e">
        <f t="shared" ref="F72:K72" si="9">F71+F65</f>
        <v>#N/A</v>
      </c>
      <c r="G72" s="220" t="e">
        <f t="shared" si="9"/>
        <v>#N/A</v>
      </c>
      <c r="H72" s="220" t="e">
        <f t="shared" si="9"/>
        <v>#N/A</v>
      </c>
      <c r="I72" s="220" t="e">
        <f t="shared" si="9"/>
        <v>#N/A</v>
      </c>
      <c r="J72" s="220" t="e">
        <f t="shared" si="9"/>
        <v>#N/A</v>
      </c>
      <c r="K72" s="221" t="e">
        <f t="shared" si="9"/>
        <v>#N/A</v>
      </c>
    </row>
  </sheetData>
  <mergeCells count="4">
    <mergeCell ref="A1:K1"/>
    <mergeCell ref="E9:J9"/>
    <mergeCell ref="A10:B10"/>
    <mergeCell ref="A12:C12"/>
  </mergeCells>
  <hyperlinks>
    <hyperlink ref="I5" location="'Revenue Requirement'!A1" display="Revenue Requirement" xr:uid="{00000000-0004-0000-0E00-000000000000}"/>
    <hyperlink ref="I4" location="AFUDC!A1" display="AFUDC" xr:uid="{00000000-0004-0000-0E00-000001000000}"/>
    <hyperlink ref="I3" location="'Repayment Inputs'!A1" display="Repayment Inputs" xr:uid="{00000000-0004-0000-0E00-000002000000}"/>
    <hyperlink ref="I6" location="'Expense Input File'!A1" display="Expense Input" xr:uid="{00000000-0004-0000-0E00-000003000000}"/>
    <hyperlink ref="G4" r:id="rId1" xr:uid="{00000000-0004-0000-0E00-000004000000}"/>
    <hyperlink ref="G5" r:id="rId2" xr:uid="{00000000-0004-0000-0E00-000005000000}"/>
    <hyperlink ref="G6" r:id="rId3" xr:uid="{00000000-0004-0000-0E00-000006000000}"/>
    <hyperlink ref="G7" r:id="rId4" xr:uid="{00000000-0004-0000-0E00-000007000000}"/>
  </hyperlinks>
  <pageMargins left="0.25" right="0.25" top="0.75" bottom="0.75" header="0.3" footer="0.3"/>
  <pageSetup scale="51" orientation="portrait" r:id="rId5"/>
  <legacyDrawing r:id="rId6"/>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codeName="Sheet15">
    <tabColor rgb="FFFF0000"/>
    <pageSetUpPr autoPageBreaks="0" fitToPage="1"/>
  </sheetPr>
  <dimension ref="A1:L75"/>
  <sheetViews>
    <sheetView topLeftCell="A12" workbookViewId="0">
      <selection sqref="A1:K1"/>
    </sheetView>
  </sheetViews>
  <sheetFormatPr defaultColWidth="9.140625" defaultRowHeight="14.25" outlineLevelRow="1"/>
  <cols>
    <col min="1" max="2" width="9.140625" style="90"/>
    <col min="3" max="3" width="29.28515625" style="90" customWidth="1"/>
    <col min="4" max="11" width="15.7109375" style="90" customWidth="1"/>
    <col min="12" max="16384" width="9.140625" style="90"/>
  </cols>
  <sheetData>
    <row r="1" spans="1:11" ht="18" hidden="1" outlineLevel="1">
      <c r="A1" s="986" t="s">
        <v>295</v>
      </c>
      <c r="B1" s="987"/>
      <c r="C1" s="987"/>
      <c r="D1" s="987"/>
      <c r="E1" s="987"/>
      <c r="F1" s="987"/>
      <c r="G1" s="987"/>
      <c r="H1" s="987"/>
      <c r="I1" s="987"/>
      <c r="J1" s="987"/>
      <c r="K1" s="988"/>
    </row>
    <row r="2" spans="1:11" ht="18" hidden="1" outlineLevel="1">
      <c r="A2" s="118"/>
      <c r="B2" s="125" t="s">
        <v>115</v>
      </c>
      <c r="C2" s="91"/>
      <c r="D2" s="3"/>
      <c r="E2" s="94"/>
      <c r="F2" s="147" t="s">
        <v>397</v>
      </c>
      <c r="G2" s="148"/>
      <c r="H2" s="138"/>
      <c r="I2" s="147" t="s">
        <v>399</v>
      </c>
      <c r="J2" s="139"/>
      <c r="K2" s="149"/>
    </row>
    <row r="3" spans="1:11" ht="18" hidden="1" outlineLevel="1">
      <c r="A3" s="118"/>
      <c r="B3" s="125" t="s">
        <v>73</v>
      </c>
      <c r="C3" s="93" t="e">
        <f>'Revenue Requirement'!#REF!</f>
        <v>#REF!</v>
      </c>
      <c r="D3" s="3"/>
      <c r="E3" s="94"/>
      <c r="F3" s="150" t="s">
        <v>398</v>
      </c>
      <c r="G3" s="151" t="s">
        <v>235</v>
      </c>
      <c r="H3" s="138"/>
      <c r="I3" s="152" t="s">
        <v>238</v>
      </c>
      <c r="J3" s="138"/>
      <c r="K3" s="149"/>
    </row>
    <row r="4" spans="1:11" ht="18" hidden="1" customHeight="1" outlineLevel="1">
      <c r="A4" s="118"/>
      <c r="B4" s="125" t="s">
        <v>10</v>
      </c>
      <c r="C4" s="153"/>
      <c r="D4" s="3"/>
      <c r="E4" s="94"/>
      <c r="F4" s="144" t="str">
        <f>IF('20 Seg Dev'!F4=0," ",'20 Seg Dev'!F4)</f>
        <v xml:space="preserve"> </v>
      </c>
      <c r="G4" s="154" t="s">
        <v>389</v>
      </c>
      <c r="H4" s="138"/>
      <c r="I4" s="155" t="s">
        <v>87</v>
      </c>
      <c r="J4" s="3"/>
      <c r="K4" s="149"/>
    </row>
    <row r="5" spans="1:11" ht="18" hidden="1" customHeight="1" outlineLevel="1">
      <c r="A5" s="118"/>
      <c r="B5" s="126" t="s">
        <v>9</v>
      </c>
      <c r="C5" s="153"/>
      <c r="D5" s="94"/>
      <c r="F5" s="144" t="str">
        <f>IF('20 Seg Dev'!F5=0," ",'20 Seg Dev'!F5)</f>
        <v xml:space="preserve"> </v>
      </c>
      <c r="G5" s="156" t="s">
        <v>391</v>
      </c>
      <c r="H5" s="138"/>
      <c r="I5" s="141" t="s">
        <v>390</v>
      </c>
      <c r="J5" s="94"/>
      <c r="K5" s="149"/>
    </row>
    <row r="6" spans="1:11" ht="15" hidden="1" outlineLevel="1">
      <c r="A6" s="118"/>
      <c r="B6" s="126" t="s">
        <v>386</v>
      </c>
      <c r="C6" s="93"/>
      <c r="D6" s="94"/>
      <c r="E6" s="157"/>
      <c r="F6" s="144" t="str">
        <f>IF('20 Seg Dev'!F6=0," ",'20 Seg Dev'!F6)</f>
        <v xml:space="preserve"> </v>
      </c>
      <c r="G6" s="158" t="s">
        <v>465</v>
      </c>
      <c r="H6" s="138"/>
      <c r="I6" s="159" t="s">
        <v>387</v>
      </c>
      <c r="J6" s="94"/>
      <c r="K6" s="149"/>
    </row>
    <row r="7" spans="1:11" ht="15" hidden="1" outlineLevel="1">
      <c r="A7" s="118"/>
      <c r="B7" s="126" t="s">
        <v>385</v>
      </c>
      <c r="C7" s="93"/>
      <c r="D7" s="94"/>
      <c r="E7" s="157"/>
      <c r="F7" s="144" t="str">
        <f>IF('20 Seg Dev'!F7=0," ",'20 Seg Dev'!F7)</f>
        <v xml:space="preserve"> </v>
      </c>
      <c r="G7" s="96" t="s">
        <v>468</v>
      </c>
      <c r="H7" s="138"/>
      <c r="I7" s="140"/>
      <c r="J7" s="94"/>
      <c r="K7" s="149"/>
    </row>
    <row r="8" spans="1:11" ht="15" hidden="1" outlineLevel="1">
      <c r="A8" s="118"/>
      <c r="B8" s="126" t="s">
        <v>281</v>
      </c>
      <c r="C8" s="160">
        <v>2021</v>
      </c>
      <c r="D8" s="94"/>
      <c r="E8" s="92"/>
      <c r="F8" s="92"/>
      <c r="G8" s="157"/>
      <c r="H8" s="223"/>
      <c r="I8" s="92"/>
      <c r="J8" s="92"/>
      <c r="K8" s="149"/>
    </row>
    <row r="9" spans="1:11" ht="15" hidden="1" outlineLevel="1">
      <c r="A9" s="118"/>
      <c r="B9" s="126"/>
      <c r="C9" s="129"/>
      <c r="D9" s="94"/>
      <c r="E9" s="92"/>
      <c r="F9" s="92"/>
      <c r="G9" s="92"/>
      <c r="H9" s="92"/>
      <c r="I9" s="92"/>
      <c r="J9" s="92"/>
      <c r="K9" s="149"/>
    </row>
    <row r="10" spans="1:11" ht="15" hidden="1" outlineLevel="1">
      <c r="A10" s="982"/>
      <c r="B10" s="983"/>
      <c r="C10" s="142"/>
      <c r="D10" s="113"/>
      <c r="E10" s="113"/>
      <c r="F10" s="113"/>
      <c r="G10" s="94"/>
      <c r="H10" s="94"/>
      <c r="I10" s="94"/>
      <c r="J10" s="94"/>
      <c r="K10" s="114"/>
    </row>
    <row r="11" spans="1:11" ht="15" hidden="1" outlineLevel="1" thickBot="1">
      <c r="A11" s="94"/>
      <c r="B11" s="94"/>
      <c r="C11" s="94"/>
      <c r="D11" s="94"/>
      <c r="E11" s="94"/>
      <c r="F11" s="94"/>
      <c r="G11" s="94"/>
      <c r="H11" s="94"/>
      <c r="I11" s="94"/>
      <c r="J11" s="94"/>
      <c r="K11" s="94"/>
    </row>
    <row r="12" spans="1:11" ht="29.25" customHeight="1" collapsed="1">
      <c r="A12" s="984">
        <f>C8</f>
        <v>2021</v>
      </c>
      <c r="B12" s="985"/>
      <c r="C12" s="985"/>
      <c r="D12" s="161" t="s">
        <v>170</v>
      </c>
      <c r="E12" s="162" t="s">
        <v>171</v>
      </c>
      <c r="F12" s="162" t="s">
        <v>172</v>
      </c>
      <c r="G12" s="162" t="s">
        <v>173</v>
      </c>
      <c r="H12" s="162" t="s">
        <v>174</v>
      </c>
      <c r="I12" s="162" t="s">
        <v>175</v>
      </c>
      <c r="J12" s="162" t="s">
        <v>176</v>
      </c>
      <c r="K12" s="163" t="s">
        <v>177</v>
      </c>
    </row>
    <row r="13" spans="1:11" ht="15">
      <c r="A13" s="165" t="s">
        <v>272</v>
      </c>
      <c r="B13" s="128"/>
      <c r="C13" s="128"/>
      <c r="D13" s="127"/>
      <c r="E13" s="127"/>
      <c r="F13" s="127"/>
      <c r="G13" s="127"/>
      <c r="H13" s="127"/>
      <c r="I13" s="127"/>
      <c r="J13" s="127"/>
      <c r="K13" s="166"/>
    </row>
    <row r="14" spans="1:11" ht="15">
      <c r="A14" s="167" t="s">
        <v>178</v>
      </c>
      <c r="B14" s="168"/>
      <c r="C14" s="168"/>
      <c r="D14" s="169">
        <f>SUM(E14:K14)</f>
        <v>6487209.056644232</v>
      </c>
      <c r="E14" s="105">
        <v>109747.07933715553</v>
      </c>
      <c r="F14" s="105">
        <v>5349326.2731750607</v>
      </c>
      <c r="G14" s="105">
        <v>768438.16023990524</v>
      </c>
      <c r="H14" s="105">
        <v>89282.273638310784</v>
      </c>
      <c r="I14" s="105">
        <v>15201.936098261242</v>
      </c>
      <c r="J14" s="105">
        <v>6550.4749186543831</v>
      </c>
      <c r="K14" s="104">
        <v>148662.85923688443</v>
      </c>
    </row>
    <row r="15" spans="1:11">
      <c r="A15" s="171" t="s">
        <v>237</v>
      </c>
      <c r="B15" s="172"/>
      <c r="C15" s="172"/>
      <c r="D15" s="173">
        <f>SUM(E15:K15)</f>
        <v>1</v>
      </c>
      <c r="E15" s="174">
        <f>E14/D14</f>
        <v>1.6917456856851566E-2</v>
      </c>
      <c r="F15" s="174">
        <f>F14/D14</f>
        <v>0.8245959435662481</v>
      </c>
      <c r="G15" s="174">
        <f>G14/D14</f>
        <v>0.11845435433483788</v>
      </c>
      <c r="H15" s="174">
        <f>H14/D14</f>
        <v>1.376281739323129E-2</v>
      </c>
      <c r="I15" s="174">
        <f>I14/D14</f>
        <v>2.343370772472847E-3</v>
      </c>
      <c r="J15" s="174">
        <f>J14/D14</f>
        <v>1.0097524006792034E-3</v>
      </c>
      <c r="K15" s="175">
        <f>K14/D14</f>
        <v>2.2916304675679164E-2</v>
      </c>
    </row>
    <row r="16" spans="1:11">
      <c r="A16" s="176" t="s">
        <v>81</v>
      </c>
      <c r="B16" s="172"/>
      <c r="C16" s="172"/>
      <c r="D16" s="97"/>
      <c r="E16" s="97"/>
      <c r="F16" s="97"/>
      <c r="G16" s="97"/>
      <c r="H16" s="97"/>
      <c r="I16" s="97"/>
      <c r="J16" s="97"/>
      <c r="K16" s="98"/>
    </row>
    <row r="17" spans="1:11">
      <c r="A17" s="167"/>
      <c r="B17" s="172" t="s">
        <v>499</v>
      </c>
      <c r="C17" s="172"/>
      <c r="D17" s="169" t="e">
        <f>SUM(E17:K17)</f>
        <v>#N/A</v>
      </c>
      <c r="E17" s="100"/>
      <c r="F17" s="102" t="e">
        <f>HLOOKUP($A$12,'Repayment Inputs'!$B$2:$J$24,19,FALSE)</f>
        <v>#N/A</v>
      </c>
      <c r="G17" s="224"/>
      <c r="H17" s="100"/>
      <c r="I17" s="100"/>
      <c r="J17" s="100"/>
      <c r="K17" s="99"/>
    </row>
    <row r="18" spans="1:11">
      <c r="A18" s="167"/>
      <c r="B18" s="172" t="s">
        <v>500</v>
      </c>
      <c r="C18" s="172"/>
      <c r="D18" s="169">
        <f>SUM(E18:K18)</f>
        <v>-985.98041348400022</v>
      </c>
      <c r="E18" s="100"/>
      <c r="F18" s="101">
        <f>-(HLOOKUP($A$12,AFUDC!$I$13:$AJ$38,25,FALSE))</f>
        <v>-985.98041348400022</v>
      </c>
      <c r="G18" s="100"/>
      <c r="H18" s="100"/>
      <c r="I18" s="100"/>
      <c r="J18" s="100"/>
      <c r="K18" s="99"/>
    </row>
    <row r="19" spans="1:11">
      <c r="A19" s="167"/>
      <c r="B19" s="172" t="s">
        <v>496</v>
      </c>
      <c r="C19" s="172"/>
      <c r="D19" s="169" t="e">
        <f>SUM(E19:K19)</f>
        <v>#N/A</v>
      </c>
      <c r="E19" s="100"/>
      <c r="F19" s="169" t="e">
        <f>SUM(F17:F18)</f>
        <v>#N/A</v>
      </c>
      <c r="G19" s="100"/>
      <c r="H19" s="100"/>
      <c r="I19" s="100"/>
      <c r="J19" s="100"/>
      <c r="K19" s="99"/>
    </row>
    <row r="20" spans="1:11">
      <c r="A20" s="177" t="s">
        <v>179</v>
      </c>
      <c r="B20" s="172"/>
      <c r="C20" s="172"/>
      <c r="D20" s="103" t="e">
        <f>HLOOKUP($A$12,'Revenue Requirement'!$A$2:$I$36,25,FALSE)-$D$19</f>
        <v>#N/A</v>
      </c>
      <c r="E20" s="169" t="e">
        <f>D20*E15</f>
        <v>#N/A</v>
      </c>
      <c r="F20" s="169" t="e">
        <f>D20*F15</f>
        <v>#N/A</v>
      </c>
      <c r="G20" s="169" t="e">
        <f>D20*G15</f>
        <v>#N/A</v>
      </c>
      <c r="H20" s="169" t="e">
        <f>D20*H15</f>
        <v>#N/A</v>
      </c>
      <c r="I20" s="169" t="e">
        <f>D20*I15</f>
        <v>#N/A</v>
      </c>
      <c r="J20" s="169" t="e">
        <f>D20*J15</f>
        <v>#N/A</v>
      </c>
      <c r="K20" s="178" t="e">
        <f>D20*K15</f>
        <v>#N/A</v>
      </c>
    </row>
    <row r="21" spans="1:11" ht="15">
      <c r="A21" s="179" t="s">
        <v>180</v>
      </c>
      <c r="B21" s="168"/>
      <c r="C21" s="168"/>
      <c r="D21" s="180" t="e">
        <f>D20+D19</f>
        <v>#N/A</v>
      </c>
      <c r="E21" s="180" t="e">
        <f t="shared" ref="E21:K21" si="0">E20+E19</f>
        <v>#N/A</v>
      </c>
      <c r="F21" s="180" t="e">
        <f t="shared" si="0"/>
        <v>#N/A</v>
      </c>
      <c r="G21" s="180" t="e">
        <f>G20+G19</f>
        <v>#N/A</v>
      </c>
      <c r="H21" s="180" t="e">
        <f>H20+H19</f>
        <v>#N/A</v>
      </c>
      <c r="I21" s="180" t="e">
        <f t="shared" si="0"/>
        <v>#N/A</v>
      </c>
      <c r="J21" s="180" t="e">
        <f t="shared" si="0"/>
        <v>#N/A</v>
      </c>
      <c r="K21" s="181" t="e">
        <f t="shared" si="0"/>
        <v>#N/A</v>
      </c>
    </row>
    <row r="22" spans="1:11">
      <c r="A22" s="176" t="s">
        <v>184</v>
      </c>
      <c r="B22" s="172"/>
      <c r="C22" s="172"/>
      <c r="D22" s="97"/>
      <c r="E22" s="97"/>
      <c r="F22" s="97"/>
      <c r="G22" s="97"/>
      <c r="H22" s="97"/>
      <c r="I22" s="97"/>
      <c r="J22" s="97"/>
      <c r="K22" s="98"/>
    </row>
    <row r="23" spans="1:11">
      <c r="A23" s="167"/>
      <c r="B23" s="172" t="s">
        <v>495</v>
      </c>
      <c r="C23" s="172"/>
      <c r="D23" s="97"/>
      <c r="E23" s="97"/>
      <c r="F23" s="102" t="e">
        <f>HLOOKUP($A$12,'Repayment Inputs'!$A$2:$J$43,38,FALSE)</f>
        <v>#N/A</v>
      </c>
      <c r="G23" s="224"/>
      <c r="H23" s="97"/>
      <c r="I23" s="97"/>
      <c r="J23" s="97"/>
      <c r="K23" s="98"/>
    </row>
    <row r="24" spans="1:11">
      <c r="A24" s="167"/>
      <c r="B24" s="172" t="s">
        <v>496</v>
      </c>
      <c r="C24" s="172"/>
      <c r="D24" s="97"/>
      <c r="E24" s="97"/>
      <c r="F24" s="182" t="e">
        <f>F19</f>
        <v>#N/A</v>
      </c>
      <c r="G24" s="107"/>
      <c r="H24" s="97"/>
      <c r="I24" s="97"/>
      <c r="J24" s="97"/>
      <c r="K24" s="98"/>
    </row>
    <row r="25" spans="1:11">
      <c r="A25" s="167"/>
      <c r="B25" s="172" t="s">
        <v>497</v>
      </c>
      <c r="C25" s="172"/>
      <c r="D25" s="97"/>
      <c r="E25" s="97"/>
      <c r="F25" s="183">
        <v>1045.7406715264881</v>
      </c>
      <c r="G25" s="225"/>
      <c r="H25" s="97"/>
      <c r="I25" s="97"/>
      <c r="J25" s="97"/>
      <c r="K25" s="98"/>
    </row>
    <row r="26" spans="1:11">
      <c r="A26" s="167"/>
      <c r="B26" s="172" t="s">
        <v>498</v>
      </c>
      <c r="C26" s="172"/>
      <c r="D26" s="182" t="e">
        <f>F26</f>
        <v>#N/A</v>
      </c>
      <c r="E26" s="97"/>
      <c r="F26" s="182" t="e">
        <f>F23-F24-F25</f>
        <v>#N/A</v>
      </c>
      <c r="G26" s="107"/>
      <c r="H26" s="97"/>
      <c r="I26" s="97"/>
      <c r="J26" s="97"/>
      <c r="K26" s="98"/>
    </row>
    <row r="27" spans="1:11">
      <c r="A27" s="185" t="s">
        <v>481</v>
      </c>
      <c r="B27" s="172"/>
      <c r="C27" s="172"/>
      <c r="D27" s="109"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1" ht="15">
      <c r="A28" s="179" t="s">
        <v>185</v>
      </c>
      <c r="B28" s="172"/>
      <c r="C28" s="172"/>
      <c r="D28" s="180" t="e">
        <f>D27+D26</f>
        <v>#N/A</v>
      </c>
      <c r="E28" s="180" t="e">
        <f t="shared" ref="E28:K28" si="1">E27+E26</f>
        <v>#N/A</v>
      </c>
      <c r="F28" s="180" t="e">
        <f t="shared" si="1"/>
        <v>#N/A</v>
      </c>
      <c r="G28" s="180" t="e">
        <f>G27+G26</f>
        <v>#N/A</v>
      </c>
      <c r="H28" s="180" t="e">
        <f t="shared" si="1"/>
        <v>#N/A</v>
      </c>
      <c r="I28" s="180" t="e">
        <f t="shared" si="1"/>
        <v>#N/A</v>
      </c>
      <c r="J28" s="180" t="e">
        <f t="shared" si="1"/>
        <v>#N/A</v>
      </c>
      <c r="K28" s="181" t="e">
        <f t="shared" si="1"/>
        <v>#N/A</v>
      </c>
    </row>
    <row r="29" spans="1:11" ht="15">
      <c r="A29" s="176" t="s">
        <v>189</v>
      </c>
      <c r="B29" s="172"/>
      <c r="C29" s="172"/>
      <c r="D29" s="122"/>
      <c r="E29" s="122"/>
      <c r="F29" s="122"/>
      <c r="G29" s="122"/>
      <c r="H29" s="122"/>
      <c r="I29" s="122"/>
      <c r="J29" s="122"/>
      <c r="K29" s="121"/>
    </row>
    <row r="30" spans="1:11">
      <c r="A30" s="186" t="s">
        <v>550</v>
      </c>
      <c r="B30" s="172"/>
      <c r="C30" s="172"/>
      <c r="D30" s="169">
        <f>SUM(E30:K30)</f>
        <v>264975.87042559421</v>
      </c>
      <c r="E30" s="183">
        <v>3392</v>
      </c>
      <c r="F30" s="183">
        <v>214541.28419599999</v>
      </c>
      <c r="G30" s="183">
        <v>27535</v>
      </c>
      <c r="H30" s="183">
        <v>3332</v>
      </c>
      <c r="I30" s="183">
        <v>437</v>
      </c>
      <c r="J30" s="183">
        <v>187</v>
      </c>
      <c r="K30" s="187">
        <v>15551.586229594199</v>
      </c>
    </row>
    <row r="31" spans="1:11">
      <c r="A31" s="186" t="s">
        <v>186</v>
      </c>
      <c r="B31" s="172"/>
      <c r="C31" s="172"/>
      <c r="D31" s="188" t="e">
        <f>SUM(E31:K31)</f>
        <v>#N/A</v>
      </c>
      <c r="E31" s="189" t="e">
        <f>E49/D49</f>
        <v>#N/A</v>
      </c>
      <c r="F31" s="189" t="e">
        <f>F49/D49</f>
        <v>#N/A</v>
      </c>
      <c r="G31" s="189" t="e">
        <f>G49/D49</f>
        <v>#N/A</v>
      </c>
      <c r="H31" s="189" t="e">
        <f>H49/D49</f>
        <v>#N/A</v>
      </c>
      <c r="I31" s="189" t="e">
        <f>I49/D49</f>
        <v>#N/A</v>
      </c>
      <c r="J31" s="189" t="e">
        <f>J49/D49</f>
        <v>#N/A</v>
      </c>
      <c r="K31" s="190" t="e">
        <f>K49/D49</f>
        <v>#N/A</v>
      </c>
    </row>
    <row r="32" spans="1:11">
      <c r="A32" s="186" t="s">
        <v>187</v>
      </c>
      <c r="B32" s="172"/>
      <c r="C32" s="172"/>
      <c r="D32" s="105">
        <v>76266.376369405814</v>
      </c>
      <c r="E32" s="169" t="e">
        <f>D32*E31</f>
        <v>#N/A</v>
      </c>
      <c r="F32" s="169" t="e">
        <f>D32*F31</f>
        <v>#N/A</v>
      </c>
      <c r="G32" s="169" t="e">
        <f>D32*G31</f>
        <v>#N/A</v>
      </c>
      <c r="H32" s="169" t="e">
        <f>D32*H31</f>
        <v>#N/A</v>
      </c>
      <c r="I32" s="169" t="e">
        <f>D32*I31</f>
        <v>#N/A</v>
      </c>
      <c r="J32" s="169" t="e">
        <f>D32*J31</f>
        <v>#N/A</v>
      </c>
      <c r="K32" s="178" t="e">
        <f>D32*K31</f>
        <v>#N/A</v>
      </c>
    </row>
    <row r="33" spans="1:11" ht="15">
      <c r="A33" s="179" t="s">
        <v>188</v>
      </c>
      <c r="B33" s="172"/>
      <c r="C33" s="172"/>
      <c r="D33" s="180" t="e">
        <f>SUM(E33:K33)</f>
        <v>#N/A</v>
      </c>
      <c r="E33" s="180" t="e">
        <f t="shared" ref="E33:K33" si="2">E32+E30</f>
        <v>#N/A</v>
      </c>
      <c r="F33" s="180" t="e">
        <f>F32+F30</f>
        <v>#N/A</v>
      </c>
      <c r="G33" s="180" t="e">
        <f>G32+G30</f>
        <v>#N/A</v>
      </c>
      <c r="H33" s="180" t="e">
        <f t="shared" si="2"/>
        <v>#N/A</v>
      </c>
      <c r="I33" s="180" t="e">
        <f t="shared" si="2"/>
        <v>#N/A</v>
      </c>
      <c r="J33" s="180" t="e">
        <f t="shared" si="2"/>
        <v>#N/A</v>
      </c>
      <c r="K33" s="181" t="e">
        <f t="shared" si="2"/>
        <v>#N/A</v>
      </c>
    </row>
    <row r="34" spans="1:11" ht="9" customHeight="1">
      <c r="A34" s="167"/>
      <c r="B34" s="172"/>
      <c r="C34" s="172"/>
      <c r="D34" s="97"/>
      <c r="E34" s="97"/>
      <c r="F34" s="97"/>
      <c r="G34" s="97"/>
      <c r="H34" s="97"/>
      <c r="I34" s="97"/>
      <c r="J34" s="97"/>
      <c r="K34" s="98"/>
    </row>
    <row r="35" spans="1:11" ht="15">
      <c r="A35" s="165" t="s">
        <v>236</v>
      </c>
      <c r="B35" s="172"/>
      <c r="C35" s="172"/>
      <c r="D35" s="97"/>
      <c r="E35" s="97"/>
      <c r="F35" s="97"/>
      <c r="G35" s="97"/>
      <c r="H35" s="97"/>
      <c r="I35" s="97"/>
      <c r="J35" s="97"/>
      <c r="K35" s="98"/>
    </row>
    <row r="36" spans="1:11">
      <c r="A36" s="191" t="s">
        <v>520</v>
      </c>
      <c r="B36" s="172"/>
      <c r="C36" s="172"/>
      <c r="D36" s="97"/>
      <c r="E36" s="97"/>
      <c r="F36" s="97"/>
      <c r="G36" s="97"/>
      <c r="H36" s="97"/>
      <c r="I36" s="97"/>
      <c r="J36" s="97"/>
      <c r="K36" s="98"/>
    </row>
    <row r="37" spans="1:11">
      <c r="A37" s="192" t="s">
        <v>299</v>
      </c>
      <c r="B37" s="172"/>
      <c r="C37" s="172"/>
      <c r="D37" s="193">
        <f>SUM(E37:J37)</f>
        <v>53823.005644218851</v>
      </c>
      <c r="E37" s="194">
        <v>618.34147943144103</v>
      </c>
      <c r="F37" s="194">
        <v>48832.749636183224</v>
      </c>
      <c r="G37" s="194">
        <v>2251.9919741894219</v>
      </c>
      <c r="H37" s="194">
        <v>2106.6816600118982</v>
      </c>
      <c r="I37" s="194">
        <v>13.240894402875242</v>
      </c>
      <c r="J37" s="194">
        <v>0</v>
      </c>
      <c r="K37" s="98"/>
    </row>
    <row r="38" spans="1:11">
      <c r="A38" s="192" t="s">
        <v>300</v>
      </c>
      <c r="B38" s="172"/>
      <c r="C38" s="172"/>
      <c r="D38" s="193">
        <f>SUM(E38:J38)</f>
        <v>132737.47345136068</v>
      </c>
      <c r="E38" s="194">
        <v>3338.1230956561526</v>
      </c>
      <c r="F38" s="194">
        <v>108435.56239276817</v>
      </c>
      <c r="G38" s="194">
        <v>18653.483372581512</v>
      </c>
      <c r="H38" s="194">
        <v>791.08340744031898</v>
      </c>
      <c r="I38" s="194">
        <v>1117.8722943054693</v>
      </c>
      <c r="J38" s="194">
        <v>401.34888860906045</v>
      </c>
      <c r="K38" s="98"/>
    </row>
    <row r="39" spans="1:11" ht="15">
      <c r="A39" s="195" t="s">
        <v>301</v>
      </c>
      <c r="B39" s="168"/>
      <c r="C39" s="168"/>
      <c r="D39" s="193">
        <f>SUM(D37:D38)</f>
        <v>186560.47909557953</v>
      </c>
      <c r="E39" s="97"/>
      <c r="F39" s="97"/>
      <c r="G39" s="97"/>
      <c r="H39" s="97"/>
      <c r="I39" s="97"/>
      <c r="J39" s="97"/>
      <c r="K39" s="98"/>
    </row>
    <row r="40" spans="1:11">
      <c r="A40" s="196" t="s">
        <v>239</v>
      </c>
      <c r="B40" s="172"/>
      <c r="C40" s="172"/>
      <c r="D40" s="97"/>
      <c r="E40" s="97"/>
      <c r="F40" s="97"/>
      <c r="G40" s="97"/>
      <c r="H40" s="97"/>
      <c r="I40" s="97"/>
      <c r="J40" s="97"/>
      <c r="K40" s="98"/>
    </row>
    <row r="41" spans="1:11">
      <c r="A41" s="185" t="s">
        <v>240</v>
      </c>
      <c r="B41" s="172"/>
      <c r="C41" s="172"/>
      <c r="D41" s="197" t="e">
        <f>SUM((HLOOKUP($A$12,'Expense Input File'!$B$27:$L$70,3,FALSE)),(HLOOKUP($A$12,'Expense Input File'!$B$27:$L$70,4,FALSE)),(HLOOKUP($A$12,'Expense Input File'!$B$27:$L$70,5,FALSE)), (HLOOKUP($A$12,'Expense Input File'!$B$27:$L$70,6,FALSE)),(HLOOKUP($A$12,'Expense Input File'!$B$27:$L$70,7,FALSE)))-$K$41</f>
        <v>#N/A</v>
      </c>
      <c r="E41" s="97"/>
      <c r="F41" s="197" t="e">
        <f>(HLOOKUP($A$12,'Expense Input File'!$A$27:$L$70,33,FALSE))</f>
        <v>#N/A</v>
      </c>
      <c r="G41" s="97"/>
      <c r="H41" s="97"/>
      <c r="I41" s="97"/>
      <c r="J41" s="97"/>
      <c r="K41" s="198" t="e">
        <f>SUM((HLOOKUP($A$12,'Expense Input File'!$B$27:$L$70,3,FALSE)),(HLOOKUP($A$12,'Expense Input File'!$B$27:$L$70,4,FALSE)),(HLOOKUP($A$12,'Expense Input File'!$B$27:$L$70,5,FALSE)), (HLOOKUP($A$12,'Expense Input File'!$B$27:$L$70,6,FALSE)))-(HLOOKUP($A$12,'Expense Input File'!$A$27:$L$70,8,FALSE))</f>
        <v>#N/A</v>
      </c>
    </row>
    <row r="42" spans="1:11">
      <c r="A42" s="185" t="s">
        <v>241</v>
      </c>
      <c r="B42" s="172"/>
      <c r="C42" s="172"/>
      <c r="D42" s="197" t="e">
        <f>HLOOKUP($A$12,'Expense Input File'!$B$14:$L$24,4,FALSE)</f>
        <v>#N/A</v>
      </c>
      <c r="E42" s="97"/>
      <c r="F42" s="97"/>
      <c r="G42" s="97"/>
      <c r="H42" s="97"/>
      <c r="I42" s="97"/>
      <c r="J42" s="97"/>
      <c r="K42" s="98"/>
    </row>
    <row r="43" spans="1:11" ht="5.25" customHeight="1">
      <c r="A43" s="185"/>
      <c r="B43" s="172"/>
      <c r="C43" s="172"/>
      <c r="D43" s="100"/>
      <c r="E43" s="97"/>
      <c r="F43" s="97"/>
      <c r="G43" s="97"/>
      <c r="H43" s="97"/>
      <c r="I43" s="97"/>
      <c r="J43" s="97"/>
      <c r="K43" s="98"/>
    </row>
    <row r="44" spans="1:11">
      <c r="A44" s="199" t="s">
        <v>266</v>
      </c>
      <c r="B44" s="172"/>
      <c r="C44" s="172"/>
      <c r="D44" s="182" t="e">
        <f>SUM(D41:D42)</f>
        <v>#N/A</v>
      </c>
      <c r="E44" s="97"/>
      <c r="F44" s="97"/>
      <c r="G44" s="97"/>
      <c r="H44" s="97"/>
      <c r="I44" s="97"/>
      <c r="J44" s="97"/>
      <c r="K44" s="98"/>
    </row>
    <row r="45" spans="1:11">
      <c r="A45" s="200" t="s">
        <v>267</v>
      </c>
      <c r="B45" s="172"/>
      <c r="C45" s="172"/>
      <c r="D45" s="182" t="e">
        <f>D44-D46</f>
        <v>#N/A</v>
      </c>
      <c r="E45" s="226" t="e">
        <f>(E37/D37)*D45</f>
        <v>#N/A</v>
      </c>
      <c r="F45" s="182" t="e">
        <f>(F37/D37)*D45</f>
        <v>#N/A</v>
      </c>
      <c r="G45" s="182" t="e">
        <f>(G37/D37)*D45</f>
        <v>#N/A</v>
      </c>
      <c r="H45" s="182" t="e">
        <f>(H37/D37)*D45</f>
        <v>#N/A</v>
      </c>
      <c r="I45" s="182" t="e">
        <f>(I37/D37)*D45</f>
        <v>#N/A</v>
      </c>
      <c r="J45" s="182" t="e">
        <f>(J37/D37)*D45</f>
        <v>#N/A</v>
      </c>
      <c r="K45" s="98"/>
    </row>
    <row r="46" spans="1:11">
      <c r="A46" s="200" t="s">
        <v>269</v>
      </c>
      <c r="B46" s="172"/>
      <c r="C46" s="172"/>
      <c r="D46" s="169" t="e">
        <f>((D38/D39)*D44)</f>
        <v>#N/A</v>
      </c>
      <c r="E46" s="226" t="e">
        <f>(E38/D38)*D46</f>
        <v>#N/A</v>
      </c>
      <c r="F46" s="182" t="e">
        <f>(F38/D38)*D46</f>
        <v>#N/A</v>
      </c>
      <c r="G46" s="182" t="e">
        <f>(G38/D38)*D46</f>
        <v>#N/A</v>
      </c>
      <c r="H46" s="182" t="e">
        <f>(H38/D38)*D46</f>
        <v>#N/A</v>
      </c>
      <c r="I46" s="182" t="e">
        <f>(I38/D38)*D46</f>
        <v>#N/A</v>
      </c>
      <c r="J46" s="182" t="e">
        <f>(J38/D38)*D46</f>
        <v>#N/A</v>
      </c>
      <c r="K46" s="98"/>
    </row>
    <row r="47" spans="1:11" ht="15">
      <c r="A47" s="202" t="s">
        <v>268</v>
      </c>
      <c r="B47" s="168"/>
      <c r="C47" s="168"/>
      <c r="D47" s="182" t="e">
        <f>SUM(E47:J47)</f>
        <v>#N/A</v>
      </c>
      <c r="E47" s="182" t="e">
        <f t="shared" ref="E47:J47" si="3">SUM(E45:E46)</f>
        <v>#N/A</v>
      </c>
      <c r="F47" s="182" t="e">
        <f t="shared" si="3"/>
        <v>#N/A</v>
      </c>
      <c r="G47" s="182" t="e">
        <f t="shared" si="3"/>
        <v>#N/A</v>
      </c>
      <c r="H47" s="182" t="e">
        <f t="shared" si="3"/>
        <v>#N/A</v>
      </c>
      <c r="I47" s="182" t="e">
        <f t="shared" si="3"/>
        <v>#N/A</v>
      </c>
      <c r="J47" s="182" t="e">
        <f t="shared" si="3"/>
        <v>#N/A</v>
      </c>
      <c r="K47" s="98"/>
    </row>
    <row r="48" spans="1:11">
      <c r="A48" s="203" t="s">
        <v>25</v>
      </c>
      <c r="B48" s="172"/>
      <c r="C48" s="172"/>
      <c r="D48" s="204" t="e">
        <f>K48</f>
        <v>#N/A</v>
      </c>
      <c r="E48" s="119"/>
      <c r="F48" s="119"/>
      <c r="G48" s="119"/>
      <c r="H48" s="119"/>
      <c r="I48" s="119"/>
      <c r="J48" s="119"/>
      <c r="K48" s="205" t="e">
        <f>SUM((HLOOKUP($A$12,'Expense Input File'!$A$27:$L$70,24,FALSE)),(HLOOKUP($A$12,'Expense Input File'!$A$27:$L$70,25,FALSE)),(HLOOKUP($A$12,'Expense Input File'!$A$27:$L$70,26,FALSE)),(HLOOKUP($A$12,'Expense Input File'!$A$27:$L$70,27,FALSE)),(HLOOKUP($A$12,'Expense Input File'!$A$27:$L$70,28,FALSE)))</f>
        <v>#N/A</v>
      </c>
    </row>
    <row r="49" spans="1:12" ht="15">
      <c r="A49" s="206" t="s">
        <v>270</v>
      </c>
      <c r="B49" s="168"/>
      <c r="C49" s="168"/>
      <c r="D49" s="180" t="e">
        <f>SUM(E49:K49)</f>
        <v>#N/A</v>
      </c>
      <c r="E49" s="180" t="e">
        <f t="shared" ref="E49:J49" si="4">E47</f>
        <v>#N/A</v>
      </c>
      <c r="F49" s="180" t="e">
        <f>F47+F41</f>
        <v>#N/A</v>
      </c>
      <c r="G49" s="180" t="e">
        <f t="shared" si="4"/>
        <v>#N/A</v>
      </c>
      <c r="H49" s="180" t="e">
        <f t="shared" si="4"/>
        <v>#N/A</v>
      </c>
      <c r="I49" s="180" t="e">
        <f t="shared" si="4"/>
        <v>#N/A</v>
      </c>
      <c r="J49" s="180" t="e">
        <f t="shared" si="4"/>
        <v>#N/A</v>
      </c>
      <c r="K49" s="181" t="e">
        <f>K48+K41</f>
        <v>#N/A</v>
      </c>
    </row>
    <row r="50" spans="1:12">
      <c r="A50" s="196" t="s">
        <v>271</v>
      </c>
      <c r="B50" s="172"/>
      <c r="C50" s="172"/>
      <c r="D50" s="97"/>
      <c r="E50" s="97"/>
      <c r="F50" s="97"/>
      <c r="G50" s="97"/>
      <c r="H50" s="97"/>
      <c r="I50" s="97"/>
      <c r="J50" s="97"/>
      <c r="K50" s="98"/>
    </row>
    <row r="51" spans="1:12">
      <c r="A51" s="207" t="s">
        <v>46</v>
      </c>
      <c r="B51" s="172"/>
      <c r="C51" s="172"/>
      <c r="D51" s="197" t="e">
        <f>SUM((HLOOKUP($A$12,'Expense Input File'!$A$27:$L$70,10,FALSE)),(HLOOKUP($A$12,'Expense Input File'!$A$27:$L$70,11,FALSE)),(HLOOKUP($A$12,'Expense Input File'!$A$27:$L$70,12,FALSE)),(HLOOKUP($A$12,'Expense Input File'!$A$27:$L$70,13,FALSE)))</f>
        <v>#N/A</v>
      </c>
      <c r="E51" s="169" t="e">
        <f>(E49/D49)*D51</f>
        <v>#N/A</v>
      </c>
      <c r="F51" s="169" t="e">
        <f>(F49/D49)*D51</f>
        <v>#N/A</v>
      </c>
      <c r="G51" s="169" t="e">
        <f>(G49/D49)*D51</f>
        <v>#N/A</v>
      </c>
      <c r="H51" s="169" t="e">
        <f>(H49/D49)*D51</f>
        <v>#N/A</v>
      </c>
      <c r="I51" s="169" t="e">
        <f>(I49/D49)*D51</f>
        <v>#N/A</v>
      </c>
      <c r="J51" s="169" t="e">
        <f>(J49/D49)*D51</f>
        <v>#N/A</v>
      </c>
      <c r="K51" s="178" t="e">
        <f>(K49/D49)*D51</f>
        <v>#N/A</v>
      </c>
    </row>
    <row r="52" spans="1:12">
      <c r="A52" s="207" t="s">
        <v>47</v>
      </c>
      <c r="B52" s="172"/>
      <c r="C52" s="172"/>
      <c r="D52" s="197" t="e">
        <f>SUM((HLOOKUP($A$12,'Expense Input File'!$A$27:$L$70,14,FALSE)),(HLOOKUP($A$12,'Expense Input File'!$A$27:$L$70,16,FALSE)),(HLOOKUP($A$12,'Expense Input File'!$A$27:$L$70,17,FALSE)),(HLOOKUP($A$12,'Expense Input File'!$A$27:$L$70,18,FALSE)),(HLOOKUP($A$12,'Expense Input File'!$A$27:$L$70,19,FALSE)),(HLOOKUP($A$12,'Expense Input File'!$A$27:$L$70,20,FALSE)),(HLOOKUP($A$12,'Expense Input File'!$A$27:$L$70,21,FALSE)),(HLOOKUP($A$12,'Expense Input File'!$A$27:$L$70,30,FALSE)),(HLOOKUP($A$12,'Expense Input File'!$A$27:$L$70,31,FALSE)),(HLOOKUP($A$12,'Expense Input File'!$A$27:$L$70,32,FALSE)))</f>
        <v>#N/A</v>
      </c>
      <c r="E52" s="169" t="e">
        <f>(E49/D49)*D52</f>
        <v>#N/A</v>
      </c>
      <c r="F52" s="169" t="e">
        <f>(F49/D49)*D52</f>
        <v>#N/A</v>
      </c>
      <c r="G52" s="169" t="e">
        <f>(G49/D49)*D52</f>
        <v>#N/A</v>
      </c>
      <c r="H52" s="169" t="e">
        <f>(H49/D49)*D52</f>
        <v>#N/A</v>
      </c>
      <c r="I52" s="169" t="e">
        <f>(I49/D49)*D52</f>
        <v>#N/A</v>
      </c>
      <c r="J52" s="169" t="e">
        <f>(J49/D49)*D52</f>
        <v>#N/A</v>
      </c>
      <c r="K52" s="178" t="e">
        <f>(K49/D49)*D52</f>
        <v>#N/A</v>
      </c>
    </row>
    <row r="53" spans="1:12">
      <c r="A53" s="207" t="s">
        <v>273</v>
      </c>
      <c r="B53" s="172"/>
      <c r="C53" s="172"/>
      <c r="D53" s="197" t="e">
        <f>HLOOKUP($A$12,'Expense Input File'!$B$14:$L$24,3,FALSE)</f>
        <v>#N/A</v>
      </c>
      <c r="E53" s="197" t="e">
        <f>(E49/D49)*(D53-(HLOOKUP($A$12,'Expense Input File'!$A$14:$L$24,10,FALSE)))</f>
        <v>#N/A</v>
      </c>
      <c r="F53" s="105" t="e">
        <f>(F49/D49)*(D53-(HLOOKUP($A$12,'Expense Input File'!$A$14:$L$24,10,FALSE)))</f>
        <v>#N/A</v>
      </c>
      <c r="G53" s="197" t="e">
        <f>(G49/D49)*(D53-(HLOOKUP($A$12,'Expense Input File'!$A$14:$L$24,10,FALSE)))</f>
        <v>#N/A</v>
      </c>
      <c r="H53" s="197" t="e">
        <f>(H49/D49)*(D53-(HLOOKUP($A$12,'Expense Input File'!$A$14:$L$24,10,FALSE)))</f>
        <v>#N/A</v>
      </c>
      <c r="I53" s="197" t="e">
        <f>(I49/D49)*(D53-(HLOOKUP($A$12,'Expense Input File'!$A$14:$L$24,10,FALSE)))</f>
        <v>#N/A</v>
      </c>
      <c r="J53" s="197" t="e">
        <f>(J49/D49)*(D53-(HLOOKUP($A$12,'Expense Input File'!$A$14:$L$24,10,FALSE)))</f>
        <v>#N/A</v>
      </c>
      <c r="K53" s="198" t="e">
        <f>((K49/D49)*(D53-(HLOOKUP($A$12,'Expense Input File'!$A$14:$L$24,10,FALSE))))+(HLOOKUP($A$12,'Expense Input File'!$A$14:$L$24,10,FALSE))</f>
        <v>#N/A</v>
      </c>
    </row>
    <row r="54" spans="1:12">
      <c r="A54" s="207" t="s">
        <v>292</v>
      </c>
      <c r="B54" s="172"/>
      <c r="C54" s="172"/>
      <c r="D54" s="208" t="e">
        <f>SUM((HLOOKUP($A$12,'Expense Input File'!$A$14:$L$24,7,FALSE)),(HLOOKUP($A$12,'Expense Input File'!$A$14:$L$24,8,FALSE)))</f>
        <v>#N/A</v>
      </c>
      <c r="E54" s="209" t="e">
        <f>(E49/D49)*D54</f>
        <v>#N/A</v>
      </c>
      <c r="F54" s="209" t="e">
        <f>(F49/D49)*D54</f>
        <v>#N/A</v>
      </c>
      <c r="G54" s="209" t="e">
        <f>(G49/D49)*D54</f>
        <v>#N/A</v>
      </c>
      <c r="H54" s="209" t="e">
        <f>(H49/D49)*D54</f>
        <v>#N/A</v>
      </c>
      <c r="I54" s="209" t="e">
        <f>(I49/D49)*D54</f>
        <v>#N/A</v>
      </c>
      <c r="J54" s="209" t="e">
        <f>(J49/D49)*D54</f>
        <v>#N/A</v>
      </c>
      <c r="K54" s="210" t="e">
        <f>(K49/D49)*D54</f>
        <v>#N/A</v>
      </c>
    </row>
    <row r="55" spans="1:12" ht="15">
      <c r="A55" s="211" t="s">
        <v>290</v>
      </c>
      <c r="B55" s="172"/>
      <c r="C55" s="172"/>
      <c r="D55" s="180" t="e">
        <f>SUM(D51:D54)</f>
        <v>#N/A</v>
      </c>
      <c r="E55" s="180" t="e">
        <f t="shared" ref="E55:J55" si="5">SUM(E51:E54)</f>
        <v>#N/A</v>
      </c>
      <c r="F55" s="180" t="e">
        <f t="shared" si="5"/>
        <v>#N/A</v>
      </c>
      <c r="G55" s="180" t="e">
        <f t="shared" si="5"/>
        <v>#N/A</v>
      </c>
      <c r="H55" s="180" t="e">
        <f t="shared" si="5"/>
        <v>#N/A</v>
      </c>
      <c r="I55" s="180" t="e">
        <f t="shared" si="5"/>
        <v>#N/A</v>
      </c>
      <c r="J55" s="180" t="e">
        <f t="shared" si="5"/>
        <v>#N/A</v>
      </c>
      <c r="K55" s="181" t="e">
        <f>SUM(K51:K54)</f>
        <v>#N/A</v>
      </c>
      <c r="L55" s="222"/>
    </row>
    <row r="56" spans="1:12" ht="15">
      <c r="A56" s="165" t="s">
        <v>262</v>
      </c>
      <c r="B56" s="172"/>
      <c r="C56" s="172"/>
      <c r="D56" s="180" t="e">
        <f t="shared" ref="D56:K56" si="6">D55+D49</f>
        <v>#N/A</v>
      </c>
      <c r="E56" s="180" t="e">
        <f t="shared" si="6"/>
        <v>#N/A</v>
      </c>
      <c r="F56" s="180" t="e">
        <f t="shared" si="6"/>
        <v>#N/A</v>
      </c>
      <c r="G56" s="180" t="e">
        <f t="shared" si="6"/>
        <v>#N/A</v>
      </c>
      <c r="H56" s="180" t="e">
        <f t="shared" si="6"/>
        <v>#N/A</v>
      </c>
      <c r="I56" s="180" t="e">
        <f t="shared" si="6"/>
        <v>#N/A</v>
      </c>
      <c r="J56" s="180" t="e">
        <f t="shared" si="6"/>
        <v>#N/A</v>
      </c>
      <c r="K56" s="181" t="e">
        <f t="shared" si="6"/>
        <v>#N/A</v>
      </c>
    </row>
    <row r="57" spans="1:12">
      <c r="A57" s="212" t="s">
        <v>177</v>
      </c>
      <c r="B57" s="172"/>
      <c r="C57" s="172"/>
      <c r="D57" s="97"/>
      <c r="E57" s="97"/>
      <c r="F57" s="97"/>
      <c r="G57" s="97"/>
      <c r="H57" s="97"/>
      <c r="I57" s="97"/>
      <c r="J57" s="97"/>
      <c r="K57" s="98"/>
    </row>
    <row r="58" spans="1:12">
      <c r="A58" s="185" t="s">
        <v>278</v>
      </c>
      <c r="B58" s="172"/>
      <c r="C58" s="172"/>
      <c r="D58" s="100"/>
      <c r="E58" s="97"/>
      <c r="F58" s="97"/>
      <c r="G58" s="97"/>
      <c r="H58" s="97"/>
      <c r="I58" s="97"/>
      <c r="J58" s="97"/>
      <c r="K58" s="98"/>
    </row>
    <row r="59" spans="1:12" ht="15">
      <c r="A59" s="185" t="s">
        <v>276</v>
      </c>
      <c r="B59" s="172"/>
      <c r="C59" s="172"/>
      <c r="D59" s="197" t="e">
        <f>(HLOOKUP($A$12,'Expense Input File'!$A$27:$L$91,37,FALSE))</f>
        <v>#N/A</v>
      </c>
      <c r="E59" s="100"/>
      <c r="F59" s="213" t="e">
        <v>#N/A</v>
      </c>
      <c r="G59" s="100"/>
      <c r="H59" s="100"/>
      <c r="I59" s="213" t="e">
        <v>#N/A</v>
      </c>
      <c r="J59" s="100"/>
      <c r="K59" s="98"/>
    </row>
    <row r="60" spans="1:12">
      <c r="A60" s="185" t="s">
        <v>277</v>
      </c>
      <c r="B60" s="172"/>
      <c r="C60" s="172"/>
      <c r="D60" s="197" t="e">
        <f>(HLOOKUP($A$12,'Expense Input File'!$A$27:$L$91,38,FALSE))</f>
        <v>#N/A</v>
      </c>
      <c r="E60" s="100"/>
      <c r="F60" s="97"/>
      <c r="G60" s="182" t="e">
        <f>D60</f>
        <v>#N/A</v>
      </c>
      <c r="H60" s="97"/>
      <c r="I60" s="97"/>
      <c r="J60" s="97"/>
      <c r="K60" s="98"/>
    </row>
    <row r="61" spans="1:12">
      <c r="A61" s="185" t="s">
        <v>275</v>
      </c>
      <c r="B61" s="172"/>
      <c r="C61" s="172"/>
      <c r="D61" s="197" t="e">
        <f>(HLOOKUP($A$12,'Expense Input File'!$A$27:$L$91,41,FALSE))</f>
        <v>#N/A</v>
      </c>
      <c r="E61" s="100"/>
      <c r="F61" s="182" t="e">
        <f>D61</f>
        <v>#N/A</v>
      </c>
      <c r="G61" s="97"/>
      <c r="H61" s="97"/>
      <c r="I61" s="97"/>
      <c r="J61" s="97"/>
      <c r="K61" s="98"/>
    </row>
    <row r="62" spans="1:12" ht="15">
      <c r="A62" s="185" t="s">
        <v>469</v>
      </c>
      <c r="B62" s="172"/>
      <c r="C62" s="172"/>
      <c r="D62" s="197" t="e">
        <f>(HLOOKUP($A$12,'Expense Input File'!$A$27:$L$91,39,FALSE))</f>
        <v>#N/A</v>
      </c>
      <c r="E62" s="100"/>
      <c r="F62" s="215" t="e">
        <v>#N/A</v>
      </c>
      <c r="G62" s="215" t="e">
        <v>#N/A</v>
      </c>
      <c r="H62" s="97"/>
      <c r="I62" s="97"/>
      <c r="J62" s="97"/>
      <c r="K62" s="98"/>
    </row>
    <row r="63" spans="1:12">
      <c r="A63" s="185" t="s">
        <v>274</v>
      </c>
      <c r="B63" s="172"/>
      <c r="C63" s="172"/>
      <c r="D63" s="197" t="e">
        <f>HLOOKUP($A$12,'Expense Input File'!$B$27:$L$91,42,FALSE)</f>
        <v>#N/A</v>
      </c>
      <c r="E63" s="169" t="e">
        <f>(E38/D38)*D63</f>
        <v>#N/A</v>
      </c>
      <c r="F63" s="169" t="e">
        <f>(F38/D38)*D63</f>
        <v>#N/A</v>
      </c>
      <c r="G63" s="169" t="e">
        <f>(G38/D38)*D63</f>
        <v>#N/A</v>
      </c>
      <c r="H63" s="169" t="e">
        <f>(H38/D38)*D63</f>
        <v>#N/A</v>
      </c>
      <c r="I63" s="169" t="e">
        <f>(I38/D38)*D63</f>
        <v>#N/A</v>
      </c>
      <c r="J63" s="169" t="e">
        <f>(J38/D38)*D63</f>
        <v>#N/A</v>
      </c>
      <c r="K63" s="98"/>
    </row>
    <row r="64" spans="1:12" ht="15">
      <c r="A64" s="185" t="s">
        <v>263</v>
      </c>
      <c r="B64" s="168"/>
      <c r="C64" s="172"/>
      <c r="D64" s="216" t="e">
        <f>K64</f>
        <v>#N/A</v>
      </c>
      <c r="E64" s="120"/>
      <c r="F64" s="119"/>
      <c r="G64" s="119"/>
      <c r="H64" s="119"/>
      <c r="I64" s="119"/>
      <c r="J64" s="119"/>
      <c r="K64" s="205" t="e">
        <f>HLOOKUP($A$12,'Expense Input File'!$A$27:$L$91,35,FALSE)</f>
        <v>#N/A</v>
      </c>
    </row>
    <row r="65" spans="1:11" ht="15">
      <c r="A65" s="179" t="s">
        <v>288</v>
      </c>
      <c r="B65" s="172"/>
      <c r="C65" s="172"/>
      <c r="D65" s="217" t="e">
        <f>SUM(D59:D64)</f>
        <v>#N/A</v>
      </c>
      <c r="E65" s="217" t="e">
        <f t="shared" ref="E65:K65" si="7">SUM(E59:E64)</f>
        <v>#N/A</v>
      </c>
      <c r="F65" s="217" t="e">
        <f t="shared" si="7"/>
        <v>#N/A</v>
      </c>
      <c r="G65" s="217" t="e">
        <f t="shared" si="7"/>
        <v>#N/A</v>
      </c>
      <c r="H65" s="217" t="e">
        <f t="shared" si="7"/>
        <v>#N/A</v>
      </c>
      <c r="I65" s="217" t="e">
        <f t="shared" si="7"/>
        <v>#N/A</v>
      </c>
      <c r="J65" s="217" t="e">
        <f t="shared" si="7"/>
        <v>#N/A</v>
      </c>
      <c r="K65" s="218" t="e">
        <f t="shared" si="7"/>
        <v>#N/A</v>
      </c>
    </row>
    <row r="66" spans="1:11">
      <c r="A66" s="185" t="s">
        <v>279</v>
      </c>
      <c r="B66" s="172"/>
      <c r="C66" s="172"/>
      <c r="D66" s="97"/>
      <c r="E66" s="100"/>
      <c r="F66" s="97"/>
      <c r="G66" s="97"/>
      <c r="H66" s="97"/>
      <c r="I66" s="97"/>
      <c r="J66" s="97"/>
      <c r="K66" s="98"/>
    </row>
    <row r="67" spans="1:11">
      <c r="A67" s="185" t="s">
        <v>42</v>
      </c>
      <c r="B67" s="172"/>
      <c r="C67" s="172"/>
      <c r="D67" s="169" t="e">
        <f>SUM(E67:K67)</f>
        <v>#N/A</v>
      </c>
      <c r="E67" s="197" t="e">
        <f>(HLOOKUP($A$12,'Expense Input File'!$B$71:$L$93,22,FALSE))*E15</f>
        <v>#N/A</v>
      </c>
      <c r="F67" s="197" t="e">
        <f>(HLOOKUP($A$12,'Expense Input File'!$B$71:$L$93,22,FALSE))*F15</f>
        <v>#N/A</v>
      </c>
      <c r="G67" s="197" t="e">
        <f>(HLOOKUP($A$12,'Expense Input File'!$B$71:$L$93,22,FALSE))*G15</f>
        <v>#N/A</v>
      </c>
      <c r="H67" s="197" t="e">
        <f>(HLOOKUP($A$12,'Expense Input File'!$B$71:$L$93,22,FALSE))*H15</f>
        <v>#N/A</v>
      </c>
      <c r="I67" s="197" t="e">
        <f>(HLOOKUP($A$12,'Expense Input File'!$B$71:$L$93,22,FALSE))*I15</f>
        <v>#N/A</v>
      </c>
      <c r="J67" s="197" t="e">
        <f>(HLOOKUP($A$12,'Expense Input File'!$B$71:$L$93,22,FALSE))*J15</f>
        <v>#N/A</v>
      </c>
      <c r="K67" s="198" t="e">
        <f>((HLOOKUP($A$12,'Expense Input File'!$B$71:$L$93,22,FALSE))*K15)+(HLOOKUP($A$12,'Expense Input File'!$B$71:$L$93,23,FALSE))</f>
        <v>#N/A</v>
      </c>
    </row>
    <row r="68" spans="1:11">
      <c r="A68" s="185" t="s">
        <v>43</v>
      </c>
      <c r="B68" s="172"/>
      <c r="C68" s="172"/>
      <c r="D68" s="197" t="e">
        <f>HLOOKUP($A$12,'Expense Input File'!$A$27:$L$91,46,FALSE)</f>
        <v>#N/A</v>
      </c>
      <c r="E68" s="100"/>
      <c r="F68" s="182" t="e">
        <f>D68</f>
        <v>#N/A</v>
      </c>
      <c r="G68" s="107"/>
      <c r="H68" s="107"/>
      <c r="I68" s="107"/>
      <c r="J68" s="107"/>
      <c r="K68" s="108"/>
    </row>
    <row r="69" spans="1:11">
      <c r="A69" s="185" t="s">
        <v>44</v>
      </c>
      <c r="B69" s="172"/>
      <c r="C69" s="172"/>
      <c r="D69" s="197" t="e">
        <f>HLOOKUP($A$12,'Expense Input File'!$A$27:$L$91,47,FALSE)</f>
        <v>#N/A</v>
      </c>
      <c r="E69" s="201" t="e">
        <f>(E49/D49)*D69</f>
        <v>#N/A</v>
      </c>
      <c r="F69" s="169" t="e">
        <f>(F49/D49)*D69</f>
        <v>#N/A</v>
      </c>
      <c r="G69" s="169" t="e">
        <f>(G49/D49)*D69</f>
        <v>#N/A</v>
      </c>
      <c r="H69" s="169" t="e">
        <f>(H49/D49)*D69</f>
        <v>#N/A</v>
      </c>
      <c r="I69" s="169" t="e">
        <f>(I49/D49)*D69</f>
        <v>#N/A</v>
      </c>
      <c r="J69" s="169" t="e">
        <f>(J49/D49)*D69</f>
        <v>#N/A</v>
      </c>
      <c r="K69" s="178" t="e">
        <f>(K49/D49)*D69</f>
        <v>#N/A</v>
      </c>
    </row>
    <row r="70" spans="1:11">
      <c r="A70" s="185" t="s">
        <v>45</v>
      </c>
      <c r="B70" s="172"/>
      <c r="C70" s="172"/>
      <c r="D70" s="208" t="e">
        <f>HLOOKUP($A$12,'Expense Input File'!$A$27:$L$91,48,FALSE)</f>
        <v>#N/A</v>
      </c>
      <c r="E70" s="120"/>
      <c r="F70" s="119"/>
      <c r="G70" s="119"/>
      <c r="H70" s="119"/>
      <c r="I70" s="119"/>
      <c r="J70" s="119"/>
      <c r="K70" s="227" t="e">
        <f>D70</f>
        <v>#N/A</v>
      </c>
    </row>
    <row r="71" spans="1:11" ht="15">
      <c r="A71" s="179" t="s">
        <v>289</v>
      </c>
      <c r="B71" s="172"/>
      <c r="C71" s="172"/>
      <c r="D71" s="217" t="e">
        <f>SUM(D67:D70)</f>
        <v>#N/A</v>
      </c>
      <c r="E71" s="217" t="e">
        <f t="shared" ref="E71:J71" si="8">SUM(E67:E70)</f>
        <v>#N/A</v>
      </c>
      <c r="F71" s="217" t="e">
        <f t="shared" si="8"/>
        <v>#N/A</v>
      </c>
      <c r="G71" s="217" t="e">
        <f t="shared" si="8"/>
        <v>#N/A</v>
      </c>
      <c r="H71" s="217" t="e">
        <f t="shared" si="8"/>
        <v>#N/A</v>
      </c>
      <c r="I71" s="217" t="e">
        <f t="shared" si="8"/>
        <v>#N/A</v>
      </c>
      <c r="J71" s="217" t="e">
        <f t="shared" si="8"/>
        <v>#N/A</v>
      </c>
      <c r="K71" s="218" t="e">
        <f>SUM(K67:K70)</f>
        <v>#N/A</v>
      </c>
    </row>
    <row r="72" spans="1:11" ht="15.75" thickBot="1">
      <c r="A72" s="219" t="s">
        <v>280</v>
      </c>
      <c r="B72" s="219"/>
      <c r="C72" s="219"/>
      <c r="D72" s="220" t="e">
        <f>SUM(E72:K72)</f>
        <v>#N/A</v>
      </c>
      <c r="E72" s="220" t="e">
        <f>E71+E65</f>
        <v>#N/A</v>
      </c>
      <c r="F72" s="220" t="e">
        <f t="shared" ref="F72:K72" si="9">F71+F65</f>
        <v>#N/A</v>
      </c>
      <c r="G72" s="220" t="e">
        <f t="shared" si="9"/>
        <v>#N/A</v>
      </c>
      <c r="H72" s="220" t="e">
        <f t="shared" si="9"/>
        <v>#N/A</v>
      </c>
      <c r="I72" s="220" t="e">
        <f t="shared" si="9"/>
        <v>#N/A</v>
      </c>
      <c r="J72" s="220" t="e">
        <f t="shared" si="9"/>
        <v>#N/A</v>
      </c>
      <c r="K72" s="221" t="e">
        <f t="shared" si="9"/>
        <v>#N/A</v>
      </c>
    </row>
    <row r="74" spans="1:11">
      <c r="D74" s="228"/>
    </row>
    <row r="75" spans="1:11">
      <c r="D75" s="228"/>
    </row>
  </sheetData>
  <customSheetViews>
    <customSheetView guid="{2226E858-00AE-4A92-8CF6-5B54D2FA62D4}" showPageBreaks="1" fitToPage="1" topLeftCell="A25">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0F00-000000000000}"/>
    <hyperlink ref="I4" location="AFUDC!A1" display="AFUDC" xr:uid="{00000000-0004-0000-0F00-000001000000}"/>
    <hyperlink ref="I3" location="'Repayment Inputs'!A1" display="Repayment Inputs" xr:uid="{00000000-0004-0000-0F00-000002000000}"/>
    <hyperlink ref="I6" location="'Expense Input File'!A1" display="Expense Input" xr:uid="{00000000-0004-0000-0F00-000003000000}"/>
    <hyperlink ref="G4" r:id="rId2" xr:uid="{00000000-0004-0000-0F00-000004000000}"/>
    <hyperlink ref="G5" r:id="rId3" xr:uid="{00000000-0004-0000-0F00-000005000000}"/>
    <hyperlink ref="G6" r:id="rId4" xr:uid="{00000000-0004-0000-0F00-000006000000}"/>
    <hyperlink ref="G7" r:id="rId5" xr:uid="{00000000-0004-0000-0F00-000007000000}"/>
  </hyperlinks>
  <pageMargins left="0.25" right="0.25" top="0.75" bottom="0.75" header="0.3" footer="0.3"/>
  <pageSetup scale="56" orientation="portrait" r:id="rId6"/>
  <legacyDrawing r:id="rId7"/>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codeName="Sheet7">
    <tabColor rgb="FF92D050"/>
    <pageSetUpPr autoPageBreaks="0" fitToPage="1"/>
  </sheetPr>
  <dimension ref="A1:N112"/>
  <sheetViews>
    <sheetView topLeftCell="A80" zoomScale="85" zoomScaleNormal="85" workbookViewId="0">
      <selection activeCell="B103" sqref="B103:N112"/>
    </sheetView>
  </sheetViews>
  <sheetFormatPr defaultColWidth="9.140625" defaultRowHeight="14.25" outlineLevelRow="1"/>
  <cols>
    <col min="1" max="1" width="21.140625" style="746" customWidth="1"/>
    <col min="2" max="2" width="39" style="746" customWidth="1"/>
    <col min="3" max="3" width="3" style="746" customWidth="1"/>
    <col min="4" max="4" width="9.7109375" style="746" customWidth="1"/>
    <col min="5" max="5" width="1.5703125" style="746" customWidth="1"/>
    <col min="6" max="6" width="12.5703125" style="746" hidden="1" customWidth="1"/>
    <col min="7" max="7" width="12.140625" style="746" hidden="1" customWidth="1"/>
    <col min="8" max="8" width="20.42578125" style="746" hidden="1" customWidth="1"/>
    <col min="9" max="9" width="9.85546875" style="746" hidden="1" customWidth="1"/>
    <col min="10" max="10" width="13.5703125" style="746" bestFit="1" customWidth="1"/>
    <col min="11" max="11" width="12.5703125" style="746" bestFit="1" customWidth="1"/>
    <col min="12" max="12" width="13.140625" style="746" bestFit="1" customWidth="1"/>
    <col min="13" max="16384" width="9.140625" style="746"/>
  </cols>
  <sheetData>
    <row r="1" spans="1:13" ht="18">
      <c r="A1" s="989"/>
      <c r="B1" s="989"/>
      <c r="C1" s="989"/>
      <c r="D1" s="989"/>
      <c r="E1" s="989"/>
      <c r="F1" s="989"/>
      <c r="G1" s="989"/>
      <c r="H1" s="989"/>
      <c r="I1" s="989"/>
      <c r="J1" s="989"/>
      <c r="K1" s="989"/>
      <c r="L1" s="989"/>
    </row>
    <row r="2" spans="1:13" ht="18" customHeight="1" outlineLevel="1">
      <c r="A2" s="747"/>
      <c r="B2" s="748"/>
      <c r="C2" s="738"/>
      <c r="D2" s="738"/>
      <c r="E2" s="738"/>
      <c r="F2" s="738"/>
      <c r="G2" s="827"/>
      <c r="H2" s="749"/>
      <c r="I2" s="749"/>
      <c r="J2" s="738"/>
      <c r="K2" s="738"/>
      <c r="L2" s="738"/>
    </row>
    <row r="3" spans="1:13" ht="15" customHeight="1" outlineLevel="1">
      <c r="A3" s="747"/>
      <c r="B3" s="740"/>
      <c r="E3" s="418"/>
      <c r="G3" s="749"/>
      <c r="H3" s="828"/>
      <c r="I3" s="751"/>
      <c r="J3" s="769"/>
    </row>
    <row r="4" spans="1:13" ht="15" customHeight="1" outlineLevel="1">
      <c r="A4" s="747"/>
      <c r="B4" s="418"/>
      <c r="E4" s="418"/>
      <c r="G4" s="829"/>
      <c r="H4" s="830"/>
      <c r="I4" s="751"/>
      <c r="J4" s="831"/>
    </row>
    <row r="5" spans="1:13" ht="15" customHeight="1" outlineLevel="1">
      <c r="A5" s="761"/>
      <c r="B5" s="418"/>
      <c r="E5" s="418"/>
      <c r="G5" s="829"/>
      <c r="H5" s="832"/>
    </row>
    <row r="6" spans="1:13" ht="15" customHeight="1" outlineLevel="1">
      <c r="A6" s="761"/>
      <c r="B6" s="418"/>
      <c r="E6" s="418"/>
      <c r="G6" s="829"/>
      <c r="H6" s="832"/>
    </row>
    <row r="7" spans="1:13" ht="15" customHeight="1" outlineLevel="1">
      <c r="A7" s="761"/>
      <c r="B7" s="418"/>
      <c r="D7" s="758"/>
      <c r="E7" s="758"/>
      <c r="F7" s="758"/>
      <c r="G7" s="829"/>
      <c r="I7" s="758"/>
      <c r="J7" s="758"/>
      <c r="K7" s="758"/>
      <c r="M7" s="741"/>
    </row>
    <row r="8" spans="1:13" ht="15" customHeight="1" outlineLevel="1">
      <c r="A8" s="761"/>
      <c r="C8" s="951"/>
      <c r="D8" s="951"/>
      <c r="E8" s="951"/>
      <c r="F8" s="951"/>
      <c r="G8" s="951"/>
      <c r="H8" s="951"/>
      <c r="I8" s="951"/>
      <c r="J8" s="951"/>
      <c r="K8" s="951"/>
    </row>
    <row r="9" spans="1:13" ht="15" customHeight="1" outlineLevel="1">
      <c r="A9" s="761"/>
      <c r="B9" s="418"/>
      <c r="C9" s="951"/>
      <c r="D9" s="951"/>
      <c r="E9" s="951"/>
      <c r="F9" s="951"/>
      <c r="G9" s="951"/>
      <c r="H9" s="951"/>
      <c r="I9" s="951"/>
      <c r="J9" s="951"/>
      <c r="K9" s="951"/>
    </row>
    <row r="10" spans="1:13" ht="15" customHeight="1" outlineLevel="1">
      <c r="A10" s="761"/>
      <c r="B10" s="418"/>
      <c r="C10" s="951"/>
      <c r="D10" s="951"/>
      <c r="E10" s="951"/>
      <c r="F10" s="951"/>
      <c r="G10" s="951"/>
      <c r="H10" s="951"/>
      <c r="I10" s="951"/>
      <c r="J10" s="951"/>
      <c r="K10" s="951"/>
    </row>
    <row r="11" spans="1:13" ht="15" customHeight="1" outlineLevel="1">
      <c r="J11" s="745"/>
      <c r="K11" s="745"/>
      <c r="L11" s="745"/>
    </row>
    <row r="12" spans="1:13" ht="15">
      <c r="A12" s="761"/>
      <c r="F12" s="759"/>
      <c r="G12" s="285"/>
      <c r="H12" s="285"/>
      <c r="I12" s="285"/>
      <c r="J12" s="285"/>
      <c r="K12" s="285"/>
      <c r="L12" s="285"/>
    </row>
    <row r="13" spans="1:13" ht="15">
      <c r="A13" s="769" t="s">
        <v>36</v>
      </c>
      <c r="B13" s="769"/>
      <c r="C13" s="769"/>
      <c r="D13" s="769"/>
      <c r="E13" s="769"/>
      <c r="F13" s="967" t="s">
        <v>718</v>
      </c>
      <c r="G13" s="967"/>
      <c r="H13" s="967"/>
      <c r="I13" s="967"/>
      <c r="J13" s="967"/>
      <c r="K13" s="967"/>
      <c r="L13" s="967"/>
    </row>
    <row r="14" spans="1:13" ht="15">
      <c r="A14" s="805" t="s">
        <v>11</v>
      </c>
      <c r="B14" s="806" t="s">
        <v>12</v>
      </c>
      <c r="C14" s="806"/>
      <c r="D14" s="833"/>
      <c r="E14" s="833"/>
      <c r="F14" s="833">
        <v>2022</v>
      </c>
      <c r="G14" s="833">
        <f>F14+1</f>
        <v>2023</v>
      </c>
      <c r="H14" s="833">
        <f>G14+1</f>
        <v>2024</v>
      </c>
      <c r="I14" s="833">
        <f>H14+1</f>
        <v>2025</v>
      </c>
      <c r="J14" s="833">
        <f t="shared" ref="J14:L14" si="0">I14+1</f>
        <v>2026</v>
      </c>
      <c r="K14" s="833">
        <f t="shared" si="0"/>
        <v>2027</v>
      </c>
      <c r="L14" s="833">
        <f t="shared" si="0"/>
        <v>2028</v>
      </c>
    </row>
    <row r="15" spans="1:13">
      <c r="A15" s="418">
        <v>4785</v>
      </c>
      <c r="B15" s="746" t="s">
        <v>601</v>
      </c>
      <c r="C15" s="285"/>
      <c r="D15" s="487"/>
      <c r="E15" s="487"/>
      <c r="F15" s="825">
        <v>168710.52734000003</v>
      </c>
      <c r="G15" s="825">
        <v>171594.52619000003</v>
      </c>
      <c r="H15" s="825">
        <v>194646.81275799999</v>
      </c>
      <c r="I15" s="825">
        <v>201486.86721100003</v>
      </c>
      <c r="J15" s="825">
        <v>220399.58391999995</v>
      </c>
      <c r="K15" s="825">
        <v>237767.37309000001</v>
      </c>
      <c r="L15" s="825">
        <v>253776.55501000001</v>
      </c>
    </row>
    <row r="16" spans="1:13">
      <c r="A16" s="418">
        <v>4786</v>
      </c>
      <c r="B16" s="746" t="s">
        <v>602</v>
      </c>
      <c r="C16" s="285"/>
      <c r="D16" s="487"/>
      <c r="E16" s="487"/>
      <c r="F16" s="825">
        <v>56569.629559999987</v>
      </c>
      <c r="G16" s="825">
        <v>57094.455739999998</v>
      </c>
      <c r="H16" s="825">
        <v>58098.645994000006</v>
      </c>
      <c r="I16" s="825">
        <v>59061.537682999995</v>
      </c>
      <c r="J16" s="825">
        <v>73816.910199999984</v>
      </c>
      <c r="K16" s="825">
        <v>77372.536950000009</v>
      </c>
      <c r="L16" s="825">
        <v>80792.517080000005</v>
      </c>
    </row>
    <row r="17" spans="1:12">
      <c r="A17" s="418">
        <v>4787</v>
      </c>
      <c r="B17" s="746" t="s">
        <v>605</v>
      </c>
      <c r="C17" s="487" t="s">
        <v>606</v>
      </c>
      <c r="E17" s="487"/>
      <c r="F17" s="825">
        <v>177560.31468000001</v>
      </c>
      <c r="G17" s="825">
        <v>179860.30659999995</v>
      </c>
      <c r="H17" s="825">
        <v>193858.08862600001</v>
      </c>
      <c r="I17" s="825">
        <v>199815.823378</v>
      </c>
      <c r="J17" s="825">
        <v>224667.20569000003</v>
      </c>
      <c r="K17" s="825">
        <v>239518.35303999999</v>
      </c>
      <c r="L17" s="825">
        <v>252997.98772000003</v>
      </c>
    </row>
    <row r="18" spans="1:12">
      <c r="A18" s="418">
        <v>4879</v>
      </c>
      <c r="B18" s="746" t="s">
        <v>603</v>
      </c>
      <c r="C18" s="285"/>
      <c r="D18" s="487"/>
      <c r="E18" s="487"/>
      <c r="F18" s="825">
        <v>9721.4180500000002</v>
      </c>
      <c r="G18" s="825">
        <v>9757.9000099999994</v>
      </c>
      <c r="H18" s="825">
        <v>9509.597733999999</v>
      </c>
      <c r="I18" s="825">
        <v>9658.9858619999995</v>
      </c>
      <c r="J18" s="825">
        <v>17028.326570000001</v>
      </c>
      <c r="K18" s="825">
        <v>17464.815039999998</v>
      </c>
      <c r="L18" s="825">
        <v>17913.206979999999</v>
      </c>
    </row>
    <row r="19" spans="1:12">
      <c r="A19" s="418">
        <v>4784</v>
      </c>
      <c r="B19" s="746" t="s">
        <v>22</v>
      </c>
      <c r="C19" s="285"/>
      <c r="D19" s="487"/>
      <c r="E19" s="487"/>
      <c r="F19" s="825">
        <v>108921.63737083001</v>
      </c>
      <c r="G19" s="825">
        <v>108928.04732083</v>
      </c>
      <c r="H19" s="825">
        <v>116615.06237100001</v>
      </c>
      <c r="I19" s="825">
        <v>116616.27265299998</v>
      </c>
      <c r="J19" s="825">
        <v>197209.72393000001</v>
      </c>
      <c r="K19" s="825">
        <v>197209.72393000001</v>
      </c>
      <c r="L19" s="825">
        <v>197209.72393000001</v>
      </c>
    </row>
    <row r="20" spans="1:12">
      <c r="A20" s="418">
        <v>4788</v>
      </c>
      <c r="B20" s="746" t="s">
        <v>604</v>
      </c>
      <c r="C20" s="285"/>
      <c r="D20" s="487"/>
      <c r="E20" s="487"/>
      <c r="F20" s="825">
        <v>103195.49569999998</v>
      </c>
      <c r="G20" s="825">
        <v>104681.43609999996</v>
      </c>
      <c r="H20" s="825">
        <v>136027.42654299998</v>
      </c>
      <c r="I20" s="825">
        <v>139935.24331299998</v>
      </c>
      <c r="J20" s="825">
        <v>202978.68783000001</v>
      </c>
      <c r="K20" s="825">
        <v>219690.97290999998</v>
      </c>
      <c r="L20" s="825">
        <v>230576.46523000003</v>
      </c>
    </row>
    <row r="21" spans="1:12">
      <c r="A21" s="418" t="s">
        <v>98</v>
      </c>
      <c r="B21" s="746" t="s">
        <v>635</v>
      </c>
      <c r="C21" s="285"/>
      <c r="D21" s="487"/>
      <c r="E21" s="487"/>
      <c r="F21" s="419">
        <v>0</v>
      </c>
      <c r="G21" s="419">
        <v>0</v>
      </c>
      <c r="H21" s="834">
        <v>0</v>
      </c>
      <c r="I21" s="834">
        <v>0</v>
      </c>
      <c r="J21" s="834">
        <v>0</v>
      </c>
      <c r="K21" s="834">
        <v>0</v>
      </c>
      <c r="L21" s="834">
        <v>0</v>
      </c>
    </row>
    <row r="22" spans="1:12">
      <c r="A22" s="418" t="s">
        <v>24</v>
      </c>
      <c r="C22" s="285"/>
      <c r="D22" s="487"/>
      <c r="E22" s="487"/>
      <c r="F22" s="825"/>
      <c r="G22" s="825"/>
      <c r="H22" s="825"/>
      <c r="I22" s="825"/>
      <c r="J22" s="825"/>
      <c r="K22" s="825"/>
      <c r="L22" s="825"/>
    </row>
    <row r="23" spans="1:12">
      <c r="A23" s="418" t="s">
        <v>24</v>
      </c>
      <c r="B23" s="746" t="s">
        <v>789</v>
      </c>
      <c r="C23" s="285"/>
      <c r="D23" s="487"/>
      <c r="E23" s="487" t="s">
        <v>614</v>
      </c>
      <c r="F23" s="825">
        <v>2300.0000399999999</v>
      </c>
      <c r="G23" s="825">
        <v>2300.0000399999999</v>
      </c>
      <c r="H23" s="825">
        <v>2300.0000399999999</v>
      </c>
      <c r="I23" s="825">
        <v>2299.9999900000003</v>
      </c>
      <c r="J23" s="825">
        <v>2748.0047400000003</v>
      </c>
      <c r="K23" s="825">
        <v>2748.0047400000003</v>
      </c>
      <c r="L23" s="825">
        <v>2748.0047400000003</v>
      </c>
    </row>
    <row r="24" spans="1:12">
      <c r="A24" s="418" t="s">
        <v>24</v>
      </c>
      <c r="B24" s="746" t="s">
        <v>615</v>
      </c>
      <c r="C24" s="285"/>
      <c r="D24" s="285"/>
      <c r="E24" s="285"/>
      <c r="F24" s="285"/>
      <c r="G24" s="285"/>
      <c r="H24" s="285"/>
      <c r="I24" s="285"/>
      <c r="J24" s="285"/>
      <c r="K24" s="285"/>
      <c r="L24" s="285"/>
    </row>
    <row r="25" spans="1:12">
      <c r="A25" s="776" t="s">
        <v>517</v>
      </c>
      <c r="C25" s="776"/>
      <c r="D25" s="776"/>
      <c r="E25" s="776"/>
      <c r="F25" s="789">
        <f>(SUM(F29:F33,F36:F40,F42:F47,F61:F65,F67:F70))-F15</f>
        <v>0</v>
      </c>
      <c r="G25" s="789">
        <f>(SUM(G29:G33,G36:G40,G42:G47,G61:G65,G67:G70))-G15</f>
        <v>0</v>
      </c>
      <c r="H25" s="789">
        <f>(SUM(H29:H33,H36:H40,H42:H58,H61:H65,H67:H70))-H15+H94</f>
        <v>1.1368683772161603E-11</v>
      </c>
      <c r="I25" s="789">
        <f>(SUM(I29:I33,I36:I40,I42:I58,I61:I65,I67:I70))-I15+I94</f>
        <v>-4.6838977141305804E-11</v>
      </c>
      <c r="J25" s="789">
        <f>(SUM(J29:J33,J36:J40,J42:J58,J61:J65,J67:J70))-J15+J94</f>
        <v>2.7057467377744615E-11</v>
      </c>
      <c r="K25" s="789">
        <f t="shared" ref="K25:L25" si="1">(SUM(K29:K33,K36:K40,K42:K58,K61:K65,K67:K70))-K15+K94</f>
        <v>2.7057467377744615E-11</v>
      </c>
      <c r="L25" s="789">
        <f t="shared" si="1"/>
        <v>-3.1150193535722792E-11</v>
      </c>
    </row>
    <row r="26" spans="1:12" ht="15">
      <c r="A26" s="769" t="s">
        <v>37</v>
      </c>
      <c r="B26" s="769"/>
      <c r="C26" s="769"/>
      <c r="D26" s="769"/>
      <c r="E26" s="769"/>
      <c r="F26" s="769"/>
      <c r="G26" s="769"/>
      <c r="H26" s="769"/>
      <c r="I26" s="769"/>
      <c r="J26" s="769"/>
      <c r="K26" s="769"/>
      <c r="L26" s="835"/>
    </row>
    <row r="27" spans="1:12" ht="15">
      <c r="A27" s="805" t="s">
        <v>15</v>
      </c>
      <c r="B27" s="806" t="s">
        <v>12</v>
      </c>
      <c r="C27" s="806"/>
      <c r="D27" s="833"/>
      <c r="E27" s="833"/>
      <c r="F27" s="806">
        <f t="shared" ref="F27:L27" si="2">F$14</f>
        <v>2022</v>
      </c>
      <c r="G27" s="806">
        <f t="shared" si="2"/>
        <v>2023</v>
      </c>
      <c r="H27" s="806">
        <f t="shared" si="2"/>
        <v>2024</v>
      </c>
      <c r="I27" s="806">
        <f t="shared" si="2"/>
        <v>2025</v>
      </c>
      <c r="J27" s="806">
        <f t="shared" si="2"/>
        <v>2026</v>
      </c>
      <c r="K27" s="806">
        <f t="shared" si="2"/>
        <v>2027</v>
      </c>
      <c r="L27" s="806">
        <f t="shared" si="2"/>
        <v>2028</v>
      </c>
    </row>
    <row r="28" spans="1:12" ht="15">
      <c r="A28" s="805"/>
      <c r="B28" s="836" t="s">
        <v>23</v>
      </c>
      <c r="C28" s="806"/>
      <c r="D28" s="806"/>
      <c r="E28" s="837"/>
      <c r="F28" s="826"/>
      <c r="G28" s="826"/>
      <c r="H28" s="826"/>
      <c r="I28" s="826"/>
      <c r="J28" s="826"/>
      <c r="K28" s="826"/>
      <c r="L28" s="826"/>
    </row>
    <row r="29" spans="1:12">
      <c r="A29" s="418" t="s">
        <v>16</v>
      </c>
      <c r="B29" s="746" t="s">
        <v>2</v>
      </c>
      <c r="C29" s="285"/>
      <c r="D29" s="822"/>
      <c r="E29" s="823"/>
      <c r="F29" s="825">
        <v>16272.73827</v>
      </c>
      <c r="G29" s="285">
        <v>16590.131299999997</v>
      </c>
      <c r="H29" s="285">
        <v>21241.534199000002</v>
      </c>
      <c r="I29" s="285">
        <v>22352.463753</v>
      </c>
      <c r="J29" s="285">
        <v>20906.960579999999</v>
      </c>
      <c r="K29" s="285">
        <v>21897.726449999998</v>
      </c>
      <c r="L29" s="285">
        <v>23274.597719999998</v>
      </c>
    </row>
    <row r="30" spans="1:12">
      <c r="A30" s="418" t="s">
        <v>17</v>
      </c>
      <c r="B30" s="746" t="s">
        <v>1</v>
      </c>
      <c r="C30" s="285"/>
      <c r="D30" s="789"/>
      <c r="E30" s="837"/>
      <c r="F30" s="825">
        <v>3971.8409100000013</v>
      </c>
      <c r="G30" s="759">
        <v>4036.9666799999991</v>
      </c>
      <c r="H30" s="759">
        <v>14807.718528000001</v>
      </c>
      <c r="I30" s="759">
        <v>15218.567000999999</v>
      </c>
      <c r="J30" s="759">
        <v>10276.975960000002</v>
      </c>
      <c r="K30" s="759">
        <v>11945.77003</v>
      </c>
      <c r="L30" s="759">
        <v>13227.780699999999</v>
      </c>
    </row>
    <row r="31" spans="1:12">
      <c r="A31" s="418" t="s">
        <v>18</v>
      </c>
      <c r="B31" s="746" t="s">
        <v>0</v>
      </c>
      <c r="C31" s="285"/>
      <c r="D31" s="822"/>
      <c r="E31" s="823"/>
      <c r="F31" s="825">
        <v>34587.910969999997</v>
      </c>
      <c r="G31" s="285">
        <v>34881.880580000012</v>
      </c>
      <c r="H31" s="285">
        <v>33567.925387000003</v>
      </c>
      <c r="I31" s="285">
        <v>34142.956742000002</v>
      </c>
      <c r="J31" s="285">
        <v>39327.77403</v>
      </c>
      <c r="K31" s="285">
        <v>40415.937330000001</v>
      </c>
      <c r="L31" s="285">
        <v>41828.753100000002</v>
      </c>
    </row>
    <row r="32" spans="1:12">
      <c r="A32" s="418" t="s">
        <v>19</v>
      </c>
      <c r="B32" s="746" t="s">
        <v>518</v>
      </c>
      <c r="C32" s="285"/>
      <c r="D32" s="822"/>
      <c r="E32" s="837"/>
      <c r="F32" s="825">
        <v>7400.9287599999998</v>
      </c>
      <c r="G32" s="285">
        <v>7547.4847399999981</v>
      </c>
      <c r="H32" s="285">
        <v>9502.0402449999983</v>
      </c>
      <c r="I32" s="285">
        <v>9843.2181239999991</v>
      </c>
      <c r="J32" s="285">
        <v>8509.2124600000006</v>
      </c>
      <c r="K32" s="285">
        <v>8715.5171300000002</v>
      </c>
      <c r="L32" s="285">
        <v>9053.2731199999998</v>
      </c>
    </row>
    <row r="33" spans="1:12">
      <c r="A33" s="418">
        <v>1206</v>
      </c>
      <c r="B33" s="746" t="s">
        <v>58</v>
      </c>
      <c r="C33" s="285"/>
      <c r="D33" s="822"/>
      <c r="E33" s="823"/>
      <c r="F33" s="825">
        <v>25917.434659999988</v>
      </c>
      <c r="G33" s="285">
        <v>26444.974669999989</v>
      </c>
      <c r="H33" s="285">
        <v>30861.493921000001</v>
      </c>
      <c r="I33" s="285">
        <v>32447.227325</v>
      </c>
      <c r="J33" s="285">
        <v>31428.926809999997</v>
      </c>
      <c r="K33" s="285">
        <v>32837.68909</v>
      </c>
      <c r="L33" s="285">
        <v>34304.47262</v>
      </c>
    </row>
    <row r="34" spans="1:12">
      <c r="A34" s="418">
        <v>6060</v>
      </c>
      <c r="B34" s="746" t="s">
        <v>372</v>
      </c>
      <c r="C34" s="285"/>
      <c r="D34" s="487"/>
      <c r="E34" s="487" t="s">
        <v>614</v>
      </c>
      <c r="F34" s="825">
        <v>180</v>
      </c>
      <c r="G34" s="285">
        <v>180</v>
      </c>
      <c r="H34" s="285">
        <v>180</v>
      </c>
      <c r="I34" s="285">
        <v>180</v>
      </c>
      <c r="J34" s="285">
        <v>0</v>
      </c>
      <c r="K34" s="285">
        <v>0</v>
      </c>
      <c r="L34" s="285">
        <v>0</v>
      </c>
    </row>
    <row r="35" spans="1:12">
      <c r="A35" s="418"/>
      <c r="B35" s="836" t="s">
        <v>46</v>
      </c>
      <c r="E35" s="823"/>
      <c r="F35" s="285"/>
      <c r="G35" s="285"/>
      <c r="H35" s="285"/>
      <c r="I35" s="285"/>
      <c r="J35" s="285"/>
      <c r="K35" s="285"/>
      <c r="L35" s="285"/>
    </row>
    <row r="36" spans="1:12">
      <c r="A36" s="418" t="s">
        <v>48</v>
      </c>
      <c r="B36" s="746" t="s">
        <v>49</v>
      </c>
      <c r="C36" s="285"/>
      <c r="D36" s="822"/>
      <c r="E36" s="837"/>
      <c r="F36" s="825">
        <v>3402.1580400000007</v>
      </c>
      <c r="G36" s="285">
        <v>3483.4420700000005</v>
      </c>
      <c r="H36" s="285">
        <v>3695.7818040000002</v>
      </c>
      <c r="I36" s="285">
        <v>3844.0802230000004</v>
      </c>
      <c r="J36" s="285">
        <v>3346.7759500000002</v>
      </c>
      <c r="K36" s="285">
        <v>3416.8308700000002</v>
      </c>
      <c r="L36" s="285">
        <v>3572.2487500000002</v>
      </c>
    </row>
    <row r="37" spans="1:12">
      <c r="A37" s="418" t="s">
        <v>50</v>
      </c>
      <c r="B37" s="746" t="s">
        <v>51</v>
      </c>
      <c r="C37" s="285"/>
      <c r="D37" s="822"/>
      <c r="E37" s="823"/>
      <c r="F37" s="825">
        <v>2138.9639700000002</v>
      </c>
      <c r="G37" s="285">
        <v>2182.1046899999997</v>
      </c>
      <c r="H37" s="285">
        <v>2653.717373</v>
      </c>
      <c r="I37" s="285">
        <v>2754.8299430000002</v>
      </c>
      <c r="J37" s="285">
        <v>1851.91788</v>
      </c>
      <c r="K37" s="285">
        <v>1908.03478</v>
      </c>
      <c r="L37" s="285">
        <v>1963.5485800000001</v>
      </c>
    </row>
    <row r="38" spans="1:12">
      <c r="A38" s="418" t="s">
        <v>52</v>
      </c>
      <c r="B38" s="746" t="s">
        <v>53</v>
      </c>
      <c r="C38" s="285"/>
      <c r="D38" s="822"/>
      <c r="E38" s="837"/>
      <c r="F38" s="825">
        <v>907.03598</v>
      </c>
      <c r="G38" s="285">
        <v>938.95650000000001</v>
      </c>
      <c r="H38" s="285">
        <v>0</v>
      </c>
      <c r="I38" s="285">
        <v>0</v>
      </c>
      <c r="J38" s="285">
        <v>0</v>
      </c>
      <c r="K38" s="285">
        <v>0</v>
      </c>
      <c r="L38" s="285">
        <v>0</v>
      </c>
    </row>
    <row r="39" spans="1:12">
      <c r="A39" s="418" t="s">
        <v>54</v>
      </c>
      <c r="B39" s="746" t="s">
        <v>55</v>
      </c>
      <c r="C39" s="285"/>
      <c r="D39" s="822"/>
      <c r="E39" s="823"/>
      <c r="F39" s="825">
        <v>8042.6218400000034</v>
      </c>
      <c r="G39" s="285">
        <v>8175.2029300000049</v>
      </c>
      <c r="H39" s="285">
        <v>8361.82906</v>
      </c>
      <c r="I39" s="285">
        <v>8649.2550350000001</v>
      </c>
      <c r="J39" s="285">
        <v>6921.9794599999996</v>
      </c>
      <c r="K39" s="285">
        <v>7103.4379000000008</v>
      </c>
      <c r="L39" s="285">
        <v>7372.0436200000004</v>
      </c>
    </row>
    <row r="40" spans="1:12">
      <c r="A40" s="418">
        <v>6023</v>
      </c>
      <c r="B40" s="746" t="s">
        <v>594</v>
      </c>
      <c r="C40" s="746" t="s">
        <v>595</v>
      </c>
      <c r="D40" s="824"/>
      <c r="E40" s="837"/>
      <c r="F40" s="825">
        <v>1340.3794800000001</v>
      </c>
      <c r="G40" s="825">
        <v>1352.03998</v>
      </c>
      <c r="H40" s="285">
        <v>0</v>
      </c>
      <c r="I40" s="285">
        <v>0</v>
      </c>
      <c r="J40" s="285">
        <v>0</v>
      </c>
      <c r="K40" s="285">
        <v>0</v>
      </c>
      <c r="L40" s="285">
        <v>0</v>
      </c>
    </row>
    <row r="41" spans="1:12">
      <c r="A41" s="418"/>
      <c r="B41" s="836" t="s">
        <v>47</v>
      </c>
      <c r="E41" s="823"/>
      <c r="F41" s="285"/>
      <c r="G41" s="285"/>
      <c r="H41" s="285"/>
      <c r="I41" s="285"/>
      <c r="J41" s="285"/>
      <c r="K41" s="285"/>
      <c r="L41" s="285"/>
    </row>
    <row r="42" spans="1:12">
      <c r="A42" s="418">
        <v>1089</v>
      </c>
      <c r="B42" s="746" t="s">
        <v>57</v>
      </c>
      <c r="C42" s="285"/>
      <c r="D42" s="822"/>
      <c r="E42" s="837"/>
      <c r="F42" s="825">
        <v>16069.371200000016</v>
      </c>
      <c r="G42" s="285">
        <v>16313.839940000018</v>
      </c>
      <c r="H42" s="285">
        <v>0</v>
      </c>
      <c r="I42" s="285">
        <v>0</v>
      </c>
      <c r="J42" s="285">
        <v>0</v>
      </c>
      <c r="K42" s="285">
        <v>0</v>
      </c>
      <c r="L42" s="285">
        <v>0</v>
      </c>
    </row>
    <row r="43" spans="1:12">
      <c r="A43" s="418">
        <v>1074</v>
      </c>
      <c r="B43" s="746" t="s">
        <v>59</v>
      </c>
      <c r="C43" s="285"/>
      <c r="D43" s="822"/>
      <c r="E43" s="823"/>
      <c r="F43" s="825">
        <v>947.65460999999948</v>
      </c>
      <c r="G43" s="285">
        <v>961.77314999999999</v>
      </c>
      <c r="H43" s="285">
        <v>773.93606499999999</v>
      </c>
      <c r="I43" s="285">
        <v>792.26851699999997</v>
      </c>
      <c r="J43" s="285">
        <v>748.49471999999992</v>
      </c>
      <c r="K43" s="285">
        <v>779.85246999999993</v>
      </c>
      <c r="L43" s="285">
        <v>825.30732</v>
      </c>
    </row>
    <row r="44" spans="1:12">
      <c r="A44" s="418">
        <v>1090</v>
      </c>
      <c r="B44" s="746" t="s">
        <v>408</v>
      </c>
      <c r="C44" s="285"/>
      <c r="D44" s="822"/>
      <c r="E44" s="837"/>
      <c r="F44" s="825">
        <v>23326.617350000004</v>
      </c>
      <c r="G44" s="285">
        <v>23822.894990000001</v>
      </c>
      <c r="H44" s="285">
        <v>13550.284845</v>
      </c>
      <c r="I44" s="285">
        <v>14027.592273</v>
      </c>
      <c r="J44" s="285">
        <v>16089.78297</v>
      </c>
      <c r="K44" s="285">
        <v>17046.119019999998</v>
      </c>
      <c r="L44" s="285">
        <v>17794.740089999999</v>
      </c>
    </row>
    <row r="45" spans="1:12">
      <c r="A45" s="418">
        <v>1076</v>
      </c>
      <c r="B45" s="746" t="s">
        <v>60</v>
      </c>
      <c r="C45" s="285"/>
      <c r="D45" s="822"/>
      <c r="E45" s="823"/>
      <c r="F45" s="825">
        <v>5847.1817499999979</v>
      </c>
      <c r="G45" s="285">
        <v>5901.5967200000005</v>
      </c>
      <c r="H45" s="285">
        <v>5262.1052470000004</v>
      </c>
      <c r="I45" s="285">
        <v>5823.3043129999996</v>
      </c>
      <c r="J45" s="285">
        <v>2353.0567099999998</v>
      </c>
      <c r="K45" s="285">
        <v>3033.5364599999998</v>
      </c>
      <c r="L45" s="285">
        <v>3777.2232799999997</v>
      </c>
    </row>
    <row r="46" spans="1:12">
      <c r="A46" s="418">
        <v>4146</v>
      </c>
      <c r="B46" s="746" t="s">
        <v>61</v>
      </c>
      <c r="C46" s="285"/>
      <c r="D46" s="822"/>
      <c r="E46" s="837"/>
      <c r="F46" s="825">
        <v>3031.29504</v>
      </c>
      <c r="G46" s="285">
        <v>3031.29504</v>
      </c>
      <c r="H46" s="285">
        <v>2170.5283089999998</v>
      </c>
      <c r="I46" s="285">
        <v>2179.9960150000002</v>
      </c>
      <c r="J46" s="285">
        <v>1667.9595400000001</v>
      </c>
      <c r="K46" s="285">
        <v>1883.61618</v>
      </c>
      <c r="L46" s="285">
        <v>2140.65931</v>
      </c>
    </row>
    <row r="47" spans="1:12">
      <c r="A47" s="418">
        <v>1093</v>
      </c>
      <c r="B47" s="746" t="s">
        <v>62</v>
      </c>
      <c r="C47" s="285"/>
      <c r="D47" s="822"/>
      <c r="E47" s="823"/>
      <c r="F47" s="825">
        <v>2638.1579900000002</v>
      </c>
      <c r="G47" s="285">
        <v>2783.0110200000004</v>
      </c>
      <c r="H47" s="285">
        <v>2797.218914</v>
      </c>
      <c r="I47" s="285">
        <v>2912.5152880000001</v>
      </c>
      <c r="J47" s="285">
        <v>3936.6952799999999</v>
      </c>
      <c r="K47" s="285">
        <v>4109.0419199999997</v>
      </c>
      <c r="L47" s="285">
        <v>4295.81592</v>
      </c>
    </row>
    <row r="48" spans="1:12">
      <c r="A48" s="418">
        <v>6888</v>
      </c>
      <c r="B48" s="746" t="s">
        <v>783</v>
      </c>
      <c r="C48" s="285"/>
      <c r="D48" s="822"/>
      <c r="E48" s="823"/>
      <c r="F48" s="825"/>
      <c r="G48" s="285"/>
      <c r="H48" s="285">
        <v>0</v>
      </c>
      <c r="I48" s="285">
        <v>0</v>
      </c>
      <c r="J48" s="285">
        <v>1591.1727599999999</v>
      </c>
      <c r="K48" s="285">
        <v>1639.8866399999999</v>
      </c>
      <c r="L48" s="285">
        <v>1689.4902</v>
      </c>
    </row>
    <row r="49" spans="1:12">
      <c r="A49" s="418">
        <v>6506</v>
      </c>
      <c r="B49" s="746" t="s">
        <v>774</v>
      </c>
      <c r="C49" s="285"/>
      <c r="D49" s="822"/>
      <c r="E49" s="823"/>
      <c r="F49" s="825"/>
      <c r="G49" s="285"/>
      <c r="H49" s="285">
        <v>3.7069679999999998</v>
      </c>
      <c r="I49" s="285">
        <v>3.7069709999999998</v>
      </c>
      <c r="J49" s="285">
        <v>2802.2723900000001</v>
      </c>
      <c r="K49" s="285">
        <v>2889.3258900000001</v>
      </c>
      <c r="L49" s="285">
        <v>2978.8203900000003</v>
      </c>
    </row>
    <row r="50" spans="1:12">
      <c r="A50" s="418">
        <v>6542</v>
      </c>
      <c r="B50" s="746" t="s">
        <v>775</v>
      </c>
      <c r="C50" s="285"/>
      <c r="D50" s="822"/>
      <c r="E50" s="823"/>
      <c r="F50" s="825"/>
      <c r="G50" s="285"/>
      <c r="H50" s="285">
        <v>24483.526792000001</v>
      </c>
      <c r="I50" s="285">
        <v>24922.627692000002</v>
      </c>
      <c r="J50" s="285">
        <v>22651.489239999999</v>
      </c>
      <c r="K50" s="285">
        <v>23606.331859999998</v>
      </c>
      <c r="L50" s="285">
        <v>24733.688839999999</v>
      </c>
    </row>
    <row r="51" spans="1:12">
      <c r="A51" s="418">
        <v>6510</v>
      </c>
      <c r="B51" s="746" t="s">
        <v>776</v>
      </c>
      <c r="C51" s="285"/>
      <c r="D51" s="822"/>
      <c r="E51" s="823"/>
      <c r="F51" s="825"/>
      <c r="G51" s="285"/>
      <c r="H51" s="285">
        <v>2686.1395120000002</v>
      </c>
      <c r="I51" s="285">
        <v>2789.272739</v>
      </c>
      <c r="J51" s="285">
        <v>5750.8333899999998</v>
      </c>
      <c r="K51" s="285">
        <v>6310.2396799999997</v>
      </c>
      <c r="L51" s="285">
        <v>6914.1299900000004</v>
      </c>
    </row>
    <row r="52" spans="1:12">
      <c r="A52" s="418">
        <v>6579</v>
      </c>
      <c r="B52" s="746" t="s">
        <v>777</v>
      </c>
      <c r="C52" s="285"/>
      <c r="D52" s="822"/>
      <c r="E52" s="823"/>
      <c r="F52" s="825"/>
      <c r="G52" s="285"/>
      <c r="H52" s="285">
        <v>3015.883198</v>
      </c>
      <c r="I52" s="285">
        <v>3127.6963890000002</v>
      </c>
      <c r="J52" s="285">
        <v>13695.59814</v>
      </c>
      <c r="K52" s="285">
        <v>15225.210230000001</v>
      </c>
      <c r="L52" s="285">
        <v>17290.412579999997</v>
      </c>
    </row>
    <row r="53" spans="1:12">
      <c r="A53" s="418">
        <v>6507</v>
      </c>
      <c r="B53" s="746" t="s">
        <v>778</v>
      </c>
      <c r="C53" s="285"/>
      <c r="D53" s="822"/>
      <c r="E53" s="823"/>
      <c r="F53" s="825"/>
      <c r="G53" s="285"/>
      <c r="H53" s="285">
        <v>579.53265499999998</v>
      </c>
      <c r="I53" s="285">
        <v>605.16611</v>
      </c>
      <c r="J53" s="285">
        <v>1433.6378400000001</v>
      </c>
      <c r="K53" s="285">
        <v>1482.09708</v>
      </c>
      <c r="L53" s="285">
        <v>1531.4413200000001</v>
      </c>
    </row>
    <row r="54" spans="1:12">
      <c r="A54" s="418">
        <v>6578</v>
      </c>
      <c r="B54" s="746" t="s">
        <v>779</v>
      </c>
      <c r="C54" s="285"/>
      <c r="D54" s="822"/>
      <c r="E54" s="823"/>
      <c r="F54" s="825"/>
      <c r="G54" s="285"/>
      <c r="H54" s="285">
        <v>0</v>
      </c>
      <c r="I54" s="285">
        <v>0</v>
      </c>
      <c r="J54" s="285">
        <v>604.36656000000005</v>
      </c>
      <c r="K54" s="285">
        <v>647.53883999999994</v>
      </c>
      <c r="L54" s="285">
        <v>689.85527999999999</v>
      </c>
    </row>
    <row r="55" spans="1:12">
      <c r="A55" s="418">
        <v>6587</v>
      </c>
      <c r="B55" s="746" t="s">
        <v>780</v>
      </c>
      <c r="C55" s="285"/>
      <c r="D55" s="822"/>
      <c r="E55" s="823"/>
      <c r="F55" s="825"/>
      <c r="G55" s="285"/>
      <c r="H55" s="285">
        <v>2421.2029259999999</v>
      </c>
      <c r="I55" s="285">
        <v>2464.4477059999999</v>
      </c>
      <c r="J55" s="285">
        <v>7917.0199000000002</v>
      </c>
      <c r="K55" s="285">
        <v>8213.4745999999996</v>
      </c>
      <c r="L55" s="285">
        <v>8573.2606999999989</v>
      </c>
    </row>
    <row r="56" spans="1:12">
      <c r="A56" s="418">
        <v>7181</v>
      </c>
      <c r="B56" s="746" t="s">
        <v>766</v>
      </c>
      <c r="C56" s="285"/>
      <c r="D56" s="822"/>
      <c r="E56" s="823"/>
      <c r="F56" s="825"/>
      <c r="G56" s="285"/>
      <c r="H56" s="285">
        <v>0</v>
      </c>
      <c r="I56" s="285">
        <v>0</v>
      </c>
      <c r="J56" s="285">
        <v>2418.7144800000001</v>
      </c>
      <c r="K56" s="285">
        <v>3391.1029199999998</v>
      </c>
      <c r="L56" s="285">
        <v>4333.38</v>
      </c>
    </row>
    <row r="57" spans="1:12">
      <c r="A57" s="418">
        <v>7182</v>
      </c>
      <c r="B57" s="746" t="s">
        <v>767</v>
      </c>
      <c r="C57" s="285"/>
      <c r="D57" s="822"/>
      <c r="E57" s="823"/>
      <c r="F57" s="825"/>
      <c r="G57" s="285"/>
      <c r="H57" s="285">
        <v>0</v>
      </c>
      <c r="I57" s="285">
        <v>0</v>
      </c>
      <c r="J57" s="285">
        <v>1102.4022</v>
      </c>
      <c r="K57" s="285">
        <v>5333.4241199999997</v>
      </c>
      <c r="L57" s="285">
        <v>6762.5701200000003</v>
      </c>
    </row>
    <row r="58" spans="1:12">
      <c r="A58" s="418">
        <v>7184</v>
      </c>
      <c r="B58" s="746" t="s">
        <v>768</v>
      </c>
      <c r="C58" s="285"/>
      <c r="D58" s="822"/>
      <c r="E58" s="823"/>
      <c r="F58" s="825"/>
      <c r="G58" s="285"/>
      <c r="H58" s="285">
        <v>0</v>
      </c>
      <c r="I58" s="285">
        <v>0</v>
      </c>
      <c r="J58" s="285">
        <v>1712.3209199999999</v>
      </c>
      <c r="K58" s="285">
        <v>2300.6847599999996</v>
      </c>
      <c r="L58" s="285">
        <v>2877.9436800000003</v>
      </c>
    </row>
    <row r="59" spans="1:12">
      <c r="B59" s="836"/>
      <c r="E59" s="837"/>
    </row>
    <row r="60" spans="1:12">
      <c r="B60" s="836" t="s">
        <v>25</v>
      </c>
      <c r="E60" s="823"/>
      <c r="F60" s="285"/>
      <c r="G60" s="285"/>
      <c r="H60" s="285"/>
      <c r="I60" s="285"/>
      <c r="J60" s="285"/>
      <c r="K60" s="285"/>
      <c r="L60" s="285"/>
    </row>
    <row r="61" spans="1:12">
      <c r="A61" s="418" t="s">
        <v>26</v>
      </c>
      <c r="B61" s="746" t="s">
        <v>3</v>
      </c>
      <c r="C61" s="285"/>
      <c r="D61" s="822"/>
      <c r="E61" s="837"/>
      <c r="F61" s="825">
        <v>934.31557999999995</v>
      </c>
      <c r="G61" s="285">
        <v>953.86953000000005</v>
      </c>
      <c r="H61" s="285">
        <v>764.076953</v>
      </c>
      <c r="I61" s="285">
        <v>786.119778</v>
      </c>
      <c r="J61" s="285">
        <v>753.96</v>
      </c>
      <c r="K61" s="285">
        <v>779.44488000000001</v>
      </c>
      <c r="L61" s="285">
        <v>805.39548000000002</v>
      </c>
    </row>
    <row r="62" spans="1:12">
      <c r="A62" s="418" t="s">
        <v>27</v>
      </c>
      <c r="B62" s="746" t="s">
        <v>4</v>
      </c>
      <c r="C62" s="285"/>
      <c r="D62" s="822"/>
      <c r="E62" s="823"/>
      <c r="F62" s="825">
        <v>137.67599999999999</v>
      </c>
      <c r="G62" s="285">
        <v>141.11195999999998</v>
      </c>
      <c r="H62" s="285">
        <v>0</v>
      </c>
      <c r="I62" s="285">
        <v>0</v>
      </c>
      <c r="J62" s="285">
        <v>0</v>
      </c>
      <c r="K62" s="285">
        <v>0</v>
      </c>
      <c r="L62" s="285">
        <v>0</v>
      </c>
    </row>
    <row r="63" spans="1:12">
      <c r="A63" s="418" t="s">
        <v>28</v>
      </c>
      <c r="B63" s="746" t="s">
        <v>5</v>
      </c>
      <c r="C63" s="285"/>
      <c r="D63" s="822"/>
      <c r="E63" s="837"/>
      <c r="F63" s="825">
        <v>5160.8529800000006</v>
      </c>
      <c r="G63" s="285">
        <v>5273.5809099999969</v>
      </c>
      <c r="H63" s="285">
        <v>5535.2634950000001</v>
      </c>
      <c r="I63" s="285">
        <v>5730.9392149999994</v>
      </c>
      <c r="J63" s="285">
        <v>5671.8970599999993</v>
      </c>
      <c r="K63" s="285">
        <v>5853.8757900000001</v>
      </c>
      <c r="L63" s="285">
        <v>6008.4453700000004</v>
      </c>
    </row>
    <row r="64" spans="1:12">
      <c r="A64" s="418" t="s">
        <v>29</v>
      </c>
      <c r="B64" s="746" t="s">
        <v>6</v>
      </c>
      <c r="C64" s="285"/>
      <c r="D64" s="822"/>
      <c r="E64" s="823"/>
      <c r="F64" s="825">
        <v>4899.4479100000017</v>
      </c>
      <c r="G64" s="285">
        <v>5004.1827800000019</v>
      </c>
      <c r="H64" s="285">
        <v>4540.661357</v>
      </c>
      <c r="I64" s="285">
        <v>4697.9110549999996</v>
      </c>
      <c r="J64" s="285">
        <v>3675.4479300000003</v>
      </c>
      <c r="K64" s="285">
        <v>3745.8526200000001</v>
      </c>
      <c r="L64" s="285">
        <v>3897.5785799999999</v>
      </c>
    </row>
    <row r="65" spans="1:13">
      <c r="A65" s="418" t="s">
        <v>30</v>
      </c>
      <c r="B65" s="746" t="s">
        <v>7</v>
      </c>
      <c r="C65" s="285"/>
      <c r="D65" s="822"/>
      <c r="E65" s="837"/>
      <c r="F65" s="825">
        <v>143.79911999999996</v>
      </c>
      <c r="G65" s="285">
        <v>147.31907999999996</v>
      </c>
      <c r="H65" s="285">
        <v>0</v>
      </c>
      <c r="I65" s="285">
        <v>0</v>
      </c>
      <c r="J65" s="285">
        <v>0</v>
      </c>
      <c r="K65" s="285">
        <v>0</v>
      </c>
      <c r="L65" s="285">
        <v>0</v>
      </c>
    </row>
    <row r="66" spans="1:13">
      <c r="A66" s="418"/>
      <c r="B66" s="836" t="s">
        <v>409</v>
      </c>
      <c r="E66" s="823"/>
      <c r="F66" s="285"/>
      <c r="G66" s="285"/>
      <c r="H66" s="285"/>
      <c r="I66" s="285"/>
      <c r="J66" s="285"/>
      <c r="K66" s="285"/>
      <c r="L66" s="285"/>
    </row>
    <row r="67" spans="1:13">
      <c r="A67" s="418">
        <v>6195</v>
      </c>
      <c r="B67" s="746" t="s">
        <v>735</v>
      </c>
      <c r="D67" s="822"/>
      <c r="E67" s="837"/>
      <c r="F67" s="825">
        <v>70.603059999999999</v>
      </c>
      <c r="G67" s="285">
        <v>72.367930000000015</v>
      </c>
      <c r="H67" s="285">
        <v>0</v>
      </c>
      <c r="I67" s="285">
        <v>0</v>
      </c>
      <c r="J67" s="285">
        <v>113.44596</v>
      </c>
      <c r="K67" s="285">
        <v>117.28055999999999</v>
      </c>
      <c r="L67" s="285">
        <v>121.18524000000001</v>
      </c>
    </row>
    <row r="68" spans="1:13">
      <c r="A68" s="418" t="s">
        <v>98</v>
      </c>
      <c r="B68" s="746" t="s">
        <v>406</v>
      </c>
      <c r="C68" s="285"/>
      <c r="D68" s="822"/>
      <c r="E68" s="823"/>
      <c r="F68" s="825"/>
      <c r="G68" s="285"/>
      <c r="H68" s="285"/>
      <c r="I68" s="285"/>
      <c r="J68" s="285"/>
      <c r="K68" s="285"/>
      <c r="L68" s="285"/>
    </row>
    <row r="69" spans="1:13">
      <c r="A69" s="418" t="s">
        <v>98</v>
      </c>
      <c r="B69" s="746" t="s">
        <v>407</v>
      </c>
      <c r="C69" s="285"/>
      <c r="D69" s="822"/>
      <c r="E69" s="837"/>
      <c r="F69" s="825">
        <v>1260.6200300000003</v>
      </c>
      <c r="G69" s="285">
        <v>1289.0140400000003</v>
      </c>
      <c r="H69" s="285">
        <v>0</v>
      </c>
      <c r="I69" s="285">
        <v>0</v>
      </c>
      <c r="J69" s="285">
        <v>0</v>
      </c>
      <c r="K69" s="285">
        <v>0</v>
      </c>
      <c r="L69" s="285">
        <v>0</v>
      </c>
    </row>
    <row r="70" spans="1:13">
      <c r="A70" s="418">
        <v>6316</v>
      </c>
      <c r="B70" s="746" t="s">
        <v>597</v>
      </c>
      <c r="C70" s="746" t="s">
        <v>596</v>
      </c>
      <c r="D70" s="759"/>
      <c r="E70" s="823"/>
      <c r="F70" s="825">
        <v>260.92183999999997</v>
      </c>
      <c r="G70" s="285">
        <v>265.48495999999994</v>
      </c>
      <c r="H70" s="285">
        <v>9.000001000000001</v>
      </c>
      <c r="I70" s="285">
        <v>9</v>
      </c>
      <c r="J70" s="285">
        <v>2.0026800000000002</v>
      </c>
      <c r="K70" s="285">
        <v>2.0028699999999997</v>
      </c>
      <c r="L70" s="285">
        <v>2.00299</v>
      </c>
    </row>
    <row r="71" spans="1:13" ht="15">
      <c r="A71" s="806" t="s">
        <v>40</v>
      </c>
      <c r="B71" s="836" t="s">
        <v>31</v>
      </c>
      <c r="C71" s="806"/>
      <c r="D71" s="806"/>
      <c r="E71" s="837"/>
      <c r="F71" s="806">
        <f t="shared" ref="F71:L71" si="3">F$14</f>
        <v>2022</v>
      </c>
      <c r="G71" s="806">
        <f t="shared" si="3"/>
        <v>2023</v>
      </c>
      <c r="H71" s="806">
        <f t="shared" si="3"/>
        <v>2024</v>
      </c>
      <c r="I71" s="806">
        <f t="shared" si="3"/>
        <v>2025</v>
      </c>
      <c r="J71" s="806">
        <f t="shared" si="3"/>
        <v>2026</v>
      </c>
      <c r="K71" s="806">
        <f t="shared" si="3"/>
        <v>2027</v>
      </c>
      <c r="L71" s="806">
        <f t="shared" si="3"/>
        <v>2028</v>
      </c>
      <c r="M71" s="746">
        <v>1</v>
      </c>
    </row>
    <row r="72" spans="1:13" ht="15">
      <c r="A72" s="418" t="s">
        <v>38</v>
      </c>
      <c r="B72" s="746" t="s">
        <v>664</v>
      </c>
      <c r="C72" s="285"/>
      <c r="D72" s="822"/>
      <c r="E72" s="823"/>
      <c r="F72" s="285">
        <v>90790.277320830006</v>
      </c>
      <c r="G72" s="285">
        <v>90790.277320830006</v>
      </c>
      <c r="H72" s="838">
        <v>105895.999998</v>
      </c>
      <c r="I72" s="838">
        <v>105896.00000399999</v>
      </c>
      <c r="J72" s="838">
        <v>128028.07520593569</v>
      </c>
      <c r="K72" s="838">
        <f>J72</f>
        <v>128028.07520593569</v>
      </c>
      <c r="L72" s="838">
        <f>K72</f>
        <v>128028.07520593569</v>
      </c>
      <c r="M72" s="746">
        <v>2</v>
      </c>
    </row>
    <row r="73" spans="1:13">
      <c r="A73" s="418" t="s">
        <v>39</v>
      </c>
      <c r="B73" s="746" t="s">
        <v>41</v>
      </c>
      <c r="C73" s="285"/>
      <c r="D73" s="285"/>
      <c r="E73" s="837"/>
      <c r="F73" s="285">
        <v>10789.798999999999</v>
      </c>
      <c r="G73" s="285">
        <v>10789.798999999999</v>
      </c>
      <c r="H73" s="285">
        <v>2551.0003320000001</v>
      </c>
      <c r="I73" s="285">
        <v>2551.0003320000001</v>
      </c>
      <c r="J73" s="285">
        <f>SUM(J74:J76)</f>
        <v>10047.251261354981</v>
      </c>
      <c r="K73" s="285">
        <f t="shared" ref="K73:L73" si="4">SUM(K74:K76)</f>
        <v>9541</v>
      </c>
      <c r="L73" s="285">
        <f t="shared" si="4"/>
        <v>9541</v>
      </c>
      <c r="M73" s="746">
        <v>3</v>
      </c>
    </row>
    <row r="74" spans="1:13" ht="15">
      <c r="A74" s="839"/>
      <c r="B74" s="840" t="s">
        <v>541</v>
      </c>
      <c r="C74" s="285"/>
      <c r="D74" s="822"/>
      <c r="E74" s="823"/>
      <c r="F74" s="285">
        <v>9502</v>
      </c>
      <c r="G74" s="285">
        <v>9502</v>
      </c>
      <c r="H74" s="841">
        <v>706</v>
      </c>
      <c r="I74" s="285">
        <f>+$H$74</f>
        <v>706</v>
      </c>
      <c r="J74" s="285">
        <v>7696</v>
      </c>
      <c r="K74" s="285">
        <f>+J74</f>
        <v>7696</v>
      </c>
      <c r="L74" s="285">
        <f t="shared" ref="L74" si="5">+K74</f>
        <v>7696</v>
      </c>
      <c r="M74" s="746">
        <v>4</v>
      </c>
    </row>
    <row r="75" spans="1:13" ht="15">
      <c r="A75" s="839"/>
      <c r="B75" s="840" t="s">
        <v>542</v>
      </c>
      <c r="C75" s="285"/>
      <c r="D75" s="822"/>
      <c r="E75" s="837"/>
      <c r="F75" s="285">
        <v>364.95499999999998</v>
      </c>
      <c r="G75" s="285">
        <v>364.95499999999998</v>
      </c>
      <c r="H75" s="841">
        <v>553</v>
      </c>
      <c r="I75" s="285">
        <f>+$H$75</f>
        <v>553</v>
      </c>
      <c r="J75" s="285">
        <v>714.37513802165006</v>
      </c>
      <c r="K75" s="285">
        <f t="shared" ref="K75:L75" si="6">+$H$75</f>
        <v>553</v>
      </c>
      <c r="L75" s="285">
        <f t="shared" si="6"/>
        <v>553</v>
      </c>
      <c r="M75" s="746">
        <v>5</v>
      </c>
    </row>
    <row r="76" spans="1:13" ht="15">
      <c r="A76" s="839"/>
      <c r="B76" s="840" t="s">
        <v>543</v>
      </c>
      <c r="C76" s="285"/>
      <c r="D76" s="822"/>
      <c r="E76" s="823"/>
      <c r="F76" s="285">
        <v>922.84400000000005</v>
      </c>
      <c r="G76" s="285">
        <v>922.84400000000005</v>
      </c>
      <c r="H76" s="841">
        <v>1292</v>
      </c>
      <c r="I76" s="285">
        <f>+$H$76</f>
        <v>1292</v>
      </c>
      <c r="J76" s="285">
        <v>1636.87612333333</v>
      </c>
      <c r="K76" s="285">
        <f t="shared" ref="K76:L76" si="7">+$H$76</f>
        <v>1292</v>
      </c>
      <c r="L76" s="285">
        <f t="shared" si="7"/>
        <v>1292</v>
      </c>
      <c r="M76" s="746">
        <v>6</v>
      </c>
    </row>
    <row r="77" spans="1:13">
      <c r="A77" s="418" t="s">
        <v>35</v>
      </c>
      <c r="B77" s="746" t="s">
        <v>231</v>
      </c>
      <c r="C77" s="285"/>
      <c r="D77" s="285"/>
      <c r="E77" s="837"/>
      <c r="F77" s="285">
        <v>2665.181</v>
      </c>
      <c r="G77" s="285">
        <v>2665.181</v>
      </c>
      <c r="H77" s="285">
        <v>3639.0239999999999</v>
      </c>
      <c r="I77" s="285">
        <v>3639</v>
      </c>
      <c r="J77" s="285">
        <f>SUM(J78:J79)</f>
        <v>3494.4118100000001</v>
      </c>
      <c r="K77" s="285">
        <f t="shared" ref="K77:L77" si="8">SUM(K78:K79)</f>
        <v>3639</v>
      </c>
      <c r="L77" s="285">
        <f t="shared" si="8"/>
        <v>3639</v>
      </c>
      <c r="M77" s="746">
        <v>7</v>
      </c>
    </row>
    <row r="78" spans="1:13" ht="15">
      <c r="A78" s="418"/>
      <c r="B78" s="840" t="s">
        <v>544</v>
      </c>
      <c r="C78" s="285"/>
      <c r="D78" s="822"/>
      <c r="E78" s="823"/>
      <c r="F78" s="285">
        <v>370</v>
      </c>
      <c r="G78" s="285">
        <v>370</v>
      </c>
      <c r="H78" s="841">
        <v>332</v>
      </c>
      <c r="I78" s="285">
        <f>+$H$78</f>
        <v>332</v>
      </c>
      <c r="J78" s="285">
        <v>244.88281000000001</v>
      </c>
      <c r="K78" s="285">
        <f t="shared" ref="K78:L78" si="9">+$H$78</f>
        <v>332</v>
      </c>
      <c r="L78" s="285">
        <f t="shared" si="9"/>
        <v>332</v>
      </c>
      <c r="M78" s="746">
        <v>8</v>
      </c>
    </row>
    <row r="79" spans="1:13" ht="15">
      <c r="A79" s="418"/>
      <c r="B79" s="840" t="s">
        <v>545</v>
      </c>
      <c r="C79" s="285"/>
      <c r="D79" s="822"/>
      <c r="E79" s="837"/>
      <c r="F79" s="285">
        <v>2295.181</v>
      </c>
      <c r="G79" s="285">
        <v>2295.181</v>
      </c>
      <c r="H79" s="841">
        <v>3307</v>
      </c>
      <c r="I79" s="285">
        <f>+$H$79</f>
        <v>3307</v>
      </c>
      <c r="J79" s="285">
        <v>3249.529</v>
      </c>
      <c r="K79" s="285">
        <f t="shared" ref="K79:L79" si="10">+$H$79</f>
        <v>3307</v>
      </c>
      <c r="L79" s="285">
        <f t="shared" si="10"/>
        <v>3307</v>
      </c>
      <c r="M79" s="746">
        <v>9</v>
      </c>
    </row>
    <row r="80" spans="1:13">
      <c r="A80" s="418"/>
      <c r="B80" s="840" t="s">
        <v>232</v>
      </c>
      <c r="C80" s="285"/>
      <c r="D80" s="285"/>
      <c r="E80" s="823"/>
      <c r="F80" s="285">
        <v>104245.25732083</v>
      </c>
      <c r="G80" s="285">
        <v>104245.25732083</v>
      </c>
      <c r="H80" s="285">
        <f>SUM(H72,H73,H77)+H96</f>
        <v>112086.02433</v>
      </c>
      <c r="I80" s="285">
        <f t="shared" ref="I80:L80" si="11">SUM(I72,I73,I77)+I96</f>
        <v>112086.00033599998</v>
      </c>
      <c r="J80" s="285">
        <f>SUM(J72,J73,J77)+J96</f>
        <v>141569.73827729066</v>
      </c>
      <c r="K80" s="285">
        <f t="shared" si="11"/>
        <v>141208.07520593569</v>
      </c>
      <c r="L80" s="285">
        <f t="shared" si="11"/>
        <v>141208.07520593569</v>
      </c>
      <c r="M80" s="746">
        <v>10</v>
      </c>
    </row>
    <row r="81" spans="1:14">
      <c r="A81" s="418"/>
      <c r="B81" s="840"/>
      <c r="C81" s="285"/>
      <c r="D81" s="285"/>
      <c r="E81" s="837"/>
      <c r="F81" s="285"/>
      <c r="G81" s="285"/>
      <c r="H81" s="285"/>
      <c r="I81" s="285"/>
      <c r="J81" s="285"/>
      <c r="K81" s="285"/>
      <c r="L81" s="285"/>
      <c r="M81" s="746">
        <v>11</v>
      </c>
    </row>
    <row r="82" spans="1:14">
      <c r="A82" s="418" t="s">
        <v>34</v>
      </c>
      <c r="B82" s="746" t="s">
        <v>42</v>
      </c>
      <c r="C82" s="285"/>
      <c r="D82" s="822"/>
      <c r="E82" s="823"/>
      <c r="F82" s="285">
        <v>80.760000000000005</v>
      </c>
      <c r="G82" s="285">
        <v>80.760000000000005</v>
      </c>
      <c r="H82" s="285">
        <v>221.000001</v>
      </c>
      <c r="I82" s="285">
        <v>221.00000399999999</v>
      </c>
      <c r="J82" s="285">
        <v>170.48782</v>
      </c>
      <c r="K82" s="285">
        <v>170.48782</v>
      </c>
      <c r="L82" s="285">
        <v>170.48782</v>
      </c>
      <c r="M82" s="746">
        <v>12</v>
      </c>
    </row>
    <row r="83" spans="1:14">
      <c r="A83" s="418" t="s">
        <v>32</v>
      </c>
      <c r="B83" s="746" t="s">
        <v>598</v>
      </c>
      <c r="C83" s="285" t="s">
        <v>599</v>
      </c>
      <c r="D83" s="822"/>
      <c r="E83" s="837"/>
      <c r="F83" s="825">
        <v>4296.4247999999998</v>
      </c>
      <c r="G83" s="285">
        <v>4296.4247999999998</v>
      </c>
      <c r="H83" s="285">
        <v>4128.0380400000004</v>
      </c>
      <c r="I83" s="285">
        <v>4129.2723130000004</v>
      </c>
      <c r="J83" s="285">
        <v>3664.4019900000003</v>
      </c>
      <c r="K83" s="285">
        <v>3664.4019900000003</v>
      </c>
      <c r="L83" s="285">
        <v>3664.4019900000003</v>
      </c>
      <c r="M83" s="746">
        <v>13</v>
      </c>
    </row>
    <row r="84" spans="1:14">
      <c r="A84" s="418" t="s">
        <v>33</v>
      </c>
      <c r="B84" s="746" t="s">
        <v>600</v>
      </c>
      <c r="C84" s="285" t="s">
        <v>599</v>
      </c>
      <c r="D84" s="822"/>
      <c r="E84" s="823"/>
      <c r="F84" s="825">
        <v>0.98519000000000001</v>
      </c>
      <c r="G84" s="285">
        <v>0.98519000000000001</v>
      </c>
      <c r="H84" s="285">
        <v>0</v>
      </c>
      <c r="I84" s="285">
        <v>0</v>
      </c>
      <c r="J84" s="285">
        <v>0</v>
      </c>
      <c r="K84" s="285">
        <v>0</v>
      </c>
      <c r="L84" s="285">
        <v>0</v>
      </c>
      <c r="M84" s="746">
        <v>14</v>
      </c>
    </row>
    <row r="85" spans="1:14">
      <c r="A85" s="418" t="s">
        <v>771</v>
      </c>
      <c r="B85" s="746" t="s">
        <v>772</v>
      </c>
      <c r="C85" s="285" t="s">
        <v>599</v>
      </c>
      <c r="D85" s="822"/>
      <c r="E85" s="837"/>
      <c r="F85" s="825">
        <v>298.21006</v>
      </c>
      <c r="G85" s="285">
        <v>304.62001000000004</v>
      </c>
      <c r="H85" s="285">
        <v>0</v>
      </c>
      <c r="I85" s="285">
        <v>0</v>
      </c>
      <c r="J85" s="285">
        <v>0</v>
      </c>
      <c r="K85" s="285">
        <v>0</v>
      </c>
      <c r="L85" s="285">
        <v>0</v>
      </c>
      <c r="M85" s="746">
        <v>15</v>
      </c>
    </row>
    <row r="86" spans="1:14">
      <c r="A86" s="418"/>
      <c r="B86" s="818" t="s">
        <v>233</v>
      </c>
      <c r="C86" s="285"/>
      <c r="D86" s="285"/>
      <c r="E86" s="823"/>
      <c r="F86" s="825">
        <v>4676.3800500000007</v>
      </c>
      <c r="G86" s="285">
        <v>4682.79</v>
      </c>
      <c r="H86" s="285">
        <f>SUM(H82:H85)</f>
        <v>4349.0380410000007</v>
      </c>
      <c r="I86" s="285">
        <f t="shared" ref="I86:L86" si="12">SUM(I82:I85)</f>
        <v>4350.2723170000008</v>
      </c>
      <c r="J86" s="285">
        <f t="shared" si="12"/>
        <v>3834.8898100000001</v>
      </c>
      <c r="K86" s="285">
        <f t="shared" si="12"/>
        <v>3834.8898100000001</v>
      </c>
      <c r="L86" s="285">
        <f t="shared" si="12"/>
        <v>3834.8898100000001</v>
      </c>
      <c r="M86" s="746">
        <v>16</v>
      </c>
    </row>
    <row r="87" spans="1:14">
      <c r="A87" s="418"/>
      <c r="B87" s="746" t="s">
        <v>234</v>
      </c>
      <c r="C87" s="285"/>
      <c r="D87" s="285"/>
      <c r="E87" s="837"/>
      <c r="F87" s="825">
        <v>108921.63737083001</v>
      </c>
      <c r="G87" s="285">
        <v>108928.04732083</v>
      </c>
      <c r="H87" s="285">
        <f>SUM(H80,H86)</f>
        <v>116435.06237100001</v>
      </c>
      <c r="I87" s="285">
        <f t="shared" ref="I87:L87" si="13">SUM(I80,I86)</f>
        <v>116436.27265299998</v>
      </c>
      <c r="J87" s="285">
        <f>SUM(J80,J86)</f>
        <v>145404.62808729065</v>
      </c>
      <c r="K87" s="285">
        <f t="shared" si="13"/>
        <v>145042.96501593568</v>
      </c>
      <c r="L87" s="285">
        <f t="shared" si="13"/>
        <v>145042.96501593568</v>
      </c>
      <c r="M87" s="746">
        <v>17</v>
      </c>
    </row>
    <row r="88" spans="1:14">
      <c r="A88" s="418"/>
      <c r="C88" s="285"/>
      <c r="D88" s="285"/>
      <c r="E88" s="823"/>
      <c r="F88" s="285"/>
      <c r="G88" s="285"/>
      <c r="H88" s="285"/>
      <c r="I88" s="285"/>
      <c r="J88" s="285"/>
      <c r="K88" s="285"/>
      <c r="L88" s="285"/>
      <c r="M88" s="746">
        <v>18</v>
      </c>
    </row>
    <row r="89" spans="1:14">
      <c r="A89" s="817" t="s">
        <v>182</v>
      </c>
      <c r="C89" s="759"/>
      <c r="D89" s="759"/>
      <c r="E89" s="837"/>
      <c r="F89" s="825">
        <v>4676.3800500000007</v>
      </c>
      <c r="G89" s="285">
        <v>4682.79</v>
      </c>
      <c r="H89" s="759">
        <f>H86</f>
        <v>4349.0380410000007</v>
      </c>
      <c r="I89" s="759">
        <f t="shared" ref="I89:L89" si="14">I86</f>
        <v>4350.2723170000008</v>
      </c>
      <c r="J89" s="759">
        <f t="shared" si="14"/>
        <v>3834.8898100000001</v>
      </c>
      <c r="K89" s="759">
        <f t="shared" si="14"/>
        <v>3834.8898100000001</v>
      </c>
      <c r="L89" s="759">
        <f t="shared" si="14"/>
        <v>3834.8898100000001</v>
      </c>
      <c r="M89" s="746">
        <v>19</v>
      </c>
    </row>
    <row r="90" spans="1:14">
      <c r="A90" s="817" t="s">
        <v>183</v>
      </c>
      <c r="C90" s="759"/>
      <c r="D90" s="759"/>
      <c r="E90" s="823"/>
      <c r="F90" s="825">
        <v>104245.25732083</v>
      </c>
      <c r="G90" s="285">
        <v>104245.25732083</v>
      </c>
      <c r="H90" s="759">
        <f>H80</f>
        <v>112086.02433</v>
      </c>
      <c r="I90" s="759">
        <f t="shared" ref="I90:L90" si="15">I80</f>
        <v>112086.00033599998</v>
      </c>
      <c r="J90" s="759">
        <f t="shared" si="15"/>
        <v>141569.73827729066</v>
      </c>
      <c r="K90" s="759">
        <f t="shared" si="15"/>
        <v>141208.07520593569</v>
      </c>
      <c r="L90" s="759">
        <f t="shared" si="15"/>
        <v>141208.07520593569</v>
      </c>
      <c r="M90" s="746">
        <v>20</v>
      </c>
    </row>
    <row r="91" spans="1:14">
      <c r="A91" s="817" t="s">
        <v>177</v>
      </c>
      <c r="C91" s="759"/>
      <c r="D91" s="759"/>
      <c r="E91" s="837"/>
      <c r="F91" s="825">
        <v>108921.63737083001</v>
      </c>
      <c r="G91" s="285">
        <v>108928.04732083</v>
      </c>
      <c r="H91" s="759">
        <f>SUM(H89:H90)</f>
        <v>116435.06237100001</v>
      </c>
      <c r="I91" s="759">
        <f t="shared" ref="I91:L91" si="16">SUM(I89:I90)</f>
        <v>116436.27265299998</v>
      </c>
      <c r="J91" s="759">
        <f t="shared" si="16"/>
        <v>145404.62808729065</v>
      </c>
      <c r="K91" s="759">
        <f t="shared" si="16"/>
        <v>145042.96501593568</v>
      </c>
      <c r="L91" s="759">
        <f t="shared" si="16"/>
        <v>145042.96501593568</v>
      </c>
      <c r="M91" s="746">
        <v>21</v>
      </c>
    </row>
    <row r="92" spans="1:14" ht="15">
      <c r="A92" s="572" t="s">
        <v>430</v>
      </c>
      <c r="B92" s="769" t="s">
        <v>429</v>
      </c>
      <c r="C92" s="759"/>
      <c r="D92" s="759"/>
      <c r="E92" s="759"/>
      <c r="F92" s="759">
        <v>80.760000000000005</v>
      </c>
      <c r="G92" s="759">
        <v>80.760000000000005</v>
      </c>
      <c r="H92" s="759">
        <f>H82-H93</f>
        <v>221.000001</v>
      </c>
      <c r="I92" s="759">
        <f t="shared" ref="I92:L92" si="17">I82-I93</f>
        <v>221.00000399999999</v>
      </c>
      <c r="J92" s="759">
        <f t="shared" si="17"/>
        <v>170.48782</v>
      </c>
      <c r="K92" s="759">
        <f t="shared" si="17"/>
        <v>170.48782</v>
      </c>
      <c r="L92" s="759">
        <f t="shared" si="17"/>
        <v>170.48782</v>
      </c>
      <c r="M92" s="746">
        <v>22</v>
      </c>
    </row>
    <row r="93" spans="1:14" ht="15">
      <c r="A93" s="842"/>
      <c r="B93" s="567" t="s">
        <v>790</v>
      </c>
      <c r="D93" s="822"/>
      <c r="E93" s="822"/>
      <c r="F93" s="285">
        <v>0</v>
      </c>
      <c r="G93" s="285">
        <v>0</v>
      </c>
      <c r="H93" s="285">
        <v>0</v>
      </c>
      <c r="I93" s="285">
        <v>0</v>
      </c>
      <c r="J93" s="285">
        <v>0</v>
      </c>
      <c r="K93" s="285">
        <v>0</v>
      </c>
      <c r="L93" s="285">
        <v>0</v>
      </c>
      <c r="M93" s="746">
        <v>23</v>
      </c>
    </row>
    <row r="94" spans="1:14">
      <c r="A94" s="817" t="s">
        <v>663</v>
      </c>
      <c r="C94" s="759"/>
      <c r="D94" s="759"/>
      <c r="E94" s="837"/>
      <c r="F94" s="825">
        <v>675</v>
      </c>
      <c r="G94" s="285">
        <v>1350</v>
      </c>
      <c r="H94" s="759">
        <v>1361.7050039999999</v>
      </c>
      <c r="I94" s="759">
        <v>1361.7050039999999</v>
      </c>
      <c r="J94" s="759">
        <v>1136.4901200000002</v>
      </c>
      <c r="K94" s="759">
        <v>1136.4901200000002</v>
      </c>
      <c r="L94" s="759">
        <v>1136.4901200000002</v>
      </c>
      <c r="M94" s="746">
        <v>24</v>
      </c>
      <c r="N94" s="759"/>
    </row>
    <row r="95" spans="1:14" ht="15">
      <c r="A95" s="842"/>
      <c r="B95" s="567"/>
      <c r="D95" s="822"/>
      <c r="E95" s="822"/>
      <c r="F95" s="285"/>
      <c r="G95" s="285"/>
      <c r="H95" s="285"/>
      <c r="I95" s="285"/>
      <c r="J95" s="285"/>
      <c r="K95" s="285"/>
      <c r="L95" s="285"/>
    </row>
    <row r="96" spans="1:14">
      <c r="B96" s="746" t="s">
        <v>665</v>
      </c>
      <c r="D96" s="759"/>
      <c r="H96" s="285">
        <v>0</v>
      </c>
      <c r="I96" s="285">
        <v>0</v>
      </c>
      <c r="J96" s="285">
        <v>0</v>
      </c>
      <c r="K96" s="285">
        <v>0</v>
      </c>
      <c r="L96" s="285">
        <v>0</v>
      </c>
    </row>
    <row r="97" spans="6:12" ht="15">
      <c r="F97" s="759"/>
      <c r="G97" s="746" t="s">
        <v>636</v>
      </c>
      <c r="H97" s="759">
        <f>H80+H18+H34</f>
        <v>121775.622064</v>
      </c>
      <c r="I97" s="843">
        <f>H97-J97/1000</f>
        <v>-6229.1469759999891</v>
      </c>
      <c r="J97" s="844">
        <v>128004769.03999999</v>
      </c>
      <c r="K97" s="844"/>
      <c r="L97" s="845" t="s">
        <v>637</v>
      </c>
    </row>
    <row r="98" spans="6:12" ht="15">
      <c r="G98" s="746" t="s">
        <v>394</v>
      </c>
      <c r="H98" s="759"/>
      <c r="I98" s="843">
        <f>H98-J98/1000</f>
        <v>-504966.75764000008</v>
      </c>
      <c r="J98" s="846">
        <v>504966757.6400001</v>
      </c>
      <c r="K98" s="846"/>
      <c r="L98" s="845" t="s">
        <v>638</v>
      </c>
    </row>
    <row r="99" spans="6:12">
      <c r="I99" s="746" t="s">
        <v>639</v>
      </c>
    </row>
    <row r="101" spans="6:12">
      <c r="F101" s="759"/>
      <c r="G101" s="759" t="s">
        <v>736</v>
      </c>
      <c r="H101" s="759"/>
      <c r="I101" s="759"/>
      <c r="J101" s="759"/>
      <c r="K101" s="759"/>
      <c r="L101" s="759"/>
    </row>
    <row r="102" spans="6:12">
      <c r="F102" s="759"/>
      <c r="G102" s="759"/>
      <c r="H102" s="759"/>
      <c r="I102" s="759"/>
      <c r="J102" s="759"/>
      <c r="K102" s="759"/>
      <c r="L102" s="759"/>
    </row>
    <row r="104" spans="6:12">
      <c r="H104" s="759"/>
    </row>
    <row r="106" spans="6:12">
      <c r="H106" s="285"/>
      <c r="I106" s="285"/>
      <c r="J106" s="285"/>
      <c r="K106" s="285"/>
      <c r="L106" s="285"/>
    </row>
    <row r="107" spans="6:12">
      <c r="H107" s="285"/>
      <c r="I107" s="285"/>
      <c r="J107" s="285"/>
      <c r="K107" s="285"/>
      <c r="L107" s="285"/>
    </row>
    <row r="108" spans="6:12">
      <c r="H108" s="285"/>
      <c r="I108" s="285"/>
      <c r="J108" s="285"/>
      <c r="K108" s="285"/>
      <c r="L108" s="285"/>
    </row>
    <row r="109" spans="6:12">
      <c r="H109" s="285"/>
      <c r="I109" s="285"/>
      <c r="J109" s="285"/>
      <c r="K109" s="285"/>
      <c r="L109" s="285"/>
    </row>
    <row r="110" spans="6:12">
      <c r="H110" s="285"/>
      <c r="I110" s="285"/>
      <c r="J110" s="285"/>
      <c r="K110" s="285"/>
      <c r="L110" s="285"/>
    </row>
    <row r="112" spans="6:12">
      <c r="H112" s="759"/>
    </row>
  </sheetData>
  <dataConsolidate/>
  <customSheetViews>
    <customSheetView guid="{2226E858-00AE-4A92-8CF6-5B54D2FA62D4}" scale="90" showPageBreaks="1" fitToPage="1" printArea="1" topLeftCell="A49">
      <selection activeCell="H57" sqref="H57"/>
      <pageMargins left="0.25" right="0.25" top="0.75" bottom="0.75" header="0.3" footer="0.3"/>
      <pageSetup scale="41" orientation="portrait" r:id="rId1"/>
    </customSheetView>
  </customSheetViews>
  <mergeCells count="4">
    <mergeCell ref="H13:L13"/>
    <mergeCell ref="A1:L1"/>
    <mergeCell ref="C8:K10"/>
    <mergeCell ref="F13:G13"/>
  </mergeCells>
  <dataValidations disablePrompts="1" count="3">
    <dataValidation type="whole" operator="equal" allowBlank="1" showInputMessage="1" showErrorMessage="1" sqref="C92" xr:uid="{00000000-0002-0000-1000-000000000000}">
      <formula1>C19</formula1>
    </dataValidation>
    <dataValidation type="whole" allowBlank="1" showInputMessage="1" showErrorMessage="1" errorTitle="Input Values" error="Input data in thousands" sqref="C29:C33" xr:uid="{00000000-0002-0000-1000-000001000000}">
      <formula1>0</formula1>
      <formula2>1000000</formula2>
    </dataValidation>
    <dataValidation type="whole" operator="lessThan" allowBlank="1" showInputMessage="1" showErrorMessage="1" errorTitle="Input Data" error="Input data in thousands." sqref="C15:C16 C18:C21" xr:uid="{00000000-0002-0000-1000-000002000000}">
      <formula1>1000000</formula1>
    </dataValidation>
  </dataValidations>
  <pageMargins left="0.25" right="0.25" top="0.75" bottom="0.75" header="0.3" footer="0.3"/>
  <pageSetup scale="40" orientation="portrait" r:id="rId2"/>
  <ignoredErrors>
    <ignoredError sqref="J14:L14 G14:I14 F24:I24 H59:L60 H22:I22" unlockedFormula="1"/>
    <ignoredError sqref="H88:L88 F71:L71 I90:L91 I89:L89 J81:L81 I86:L86 I87 K87:L87 I92:L92" formula="1" unlockedFormula="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codeName="Sheet12">
    <tabColor rgb="FF00B0F0"/>
    <pageSetUpPr autoPageBreaks="0" fitToPage="1"/>
  </sheetPr>
  <dimension ref="A1:N46"/>
  <sheetViews>
    <sheetView workbookViewId="0">
      <selection activeCell="L18" sqref="L18"/>
    </sheetView>
  </sheetViews>
  <sheetFormatPr defaultColWidth="9.140625" defaultRowHeight="14.25" outlineLevelRow="1"/>
  <cols>
    <col min="1" max="1" width="8.5703125" style="746" customWidth="1"/>
    <col min="2" max="2" width="12.7109375" style="746" customWidth="1"/>
    <col min="3" max="3" width="31.7109375" style="746" customWidth="1"/>
    <col min="4" max="11" width="15.7109375" style="746" customWidth="1"/>
    <col min="12" max="12" width="12" style="843" bestFit="1" customWidth="1"/>
    <col min="13" max="13" width="10.28515625" style="285" bestFit="1" customWidth="1"/>
    <col min="14" max="14" width="9.5703125" style="746" customWidth="1"/>
    <col min="15" max="16384" width="9.140625" style="746"/>
  </cols>
  <sheetData>
    <row r="1" spans="1:13" ht="18">
      <c r="A1" s="989" t="s">
        <v>699</v>
      </c>
      <c r="B1" s="989"/>
      <c r="C1" s="989"/>
      <c r="D1" s="989"/>
      <c r="E1" s="989"/>
      <c r="F1" s="989"/>
      <c r="G1" s="989"/>
      <c r="H1" s="989"/>
      <c r="I1" s="989"/>
      <c r="J1" s="989"/>
      <c r="K1" s="989"/>
      <c r="L1" s="746"/>
    </row>
    <row r="2" spans="1:13" ht="18" outlineLevel="1">
      <c r="B2" s="747"/>
      <c r="C2" s="748"/>
      <c r="D2" s="738"/>
      <c r="E2" s="769"/>
      <c r="F2" s="850"/>
      <c r="G2" s="851"/>
      <c r="H2" s="769"/>
      <c r="I2" s="576"/>
      <c r="J2" s="576"/>
      <c r="K2" s="576"/>
      <c r="L2" s="746"/>
    </row>
    <row r="3" spans="1:13" ht="18" outlineLevel="1">
      <c r="B3" s="747"/>
      <c r="C3" s="418"/>
      <c r="D3" s="738"/>
      <c r="E3" s="751"/>
      <c r="F3" s="852"/>
      <c r="G3" s="738"/>
      <c r="H3" s="847"/>
      <c r="I3" s="738"/>
      <c r="J3" s="990"/>
      <c r="K3" s="990"/>
      <c r="L3" s="746"/>
    </row>
    <row r="4" spans="1:13" ht="18" customHeight="1" outlineLevel="1">
      <c r="B4" s="747"/>
      <c r="C4" s="418"/>
      <c r="D4" s="738"/>
      <c r="E4" s="751"/>
      <c r="F4" s="852"/>
      <c r="G4" s="828"/>
      <c r="H4" s="830"/>
      <c r="I4" s="828"/>
      <c r="J4" s="828"/>
      <c r="K4" s="738"/>
      <c r="L4" s="746"/>
    </row>
    <row r="5" spans="1:13" ht="15" outlineLevel="1">
      <c r="B5" s="761"/>
      <c r="C5" s="418"/>
      <c r="E5" s="751"/>
      <c r="F5" s="852"/>
      <c r="G5" s="828"/>
      <c r="H5" s="828"/>
      <c r="I5" s="828"/>
      <c r="J5" s="828"/>
      <c r="L5" s="746"/>
    </row>
    <row r="6" spans="1:13" ht="15" outlineLevel="1">
      <c r="B6" s="761"/>
      <c r="C6" s="418"/>
      <c r="E6" s="992"/>
      <c r="F6" s="992"/>
      <c r="G6" s="992"/>
      <c r="H6" s="992"/>
      <c r="I6" s="992"/>
      <c r="J6" s="992"/>
      <c r="L6" s="746"/>
    </row>
    <row r="7" spans="1:13" ht="15" outlineLevel="1">
      <c r="B7" s="761"/>
      <c r="E7" s="992"/>
      <c r="F7" s="992"/>
      <c r="G7" s="992"/>
      <c r="H7" s="992"/>
      <c r="I7" s="992"/>
      <c r="J7" s="992"/>
      <c r="L7" s="746"/>
    </row>
    <row r="8" spans="1:13" ht="15" outlineLevel="1">
      <c r="B8" s="761" t="s">
        <v>13</v>
      </c>
      <c r="C8" s="418">
        <v>2026</v>
      </c>
      <c r="E8" s="992"/>
      <c r="F8" s="992"/>
      <c r="G8" s="992"/>
      <c r="H8" s="992"/>
      <c r="I8" s="992"/>
      <c r="J8" s="992"/>
      <c r="L8" s="746"/>
    </row>
    <row r="9" spans="1:13" ht="15" outlineLevel="1">
      <c r="B9" s="761" t="s">
        <v>14</v>
      </c>
      <c r="C9" s="418">
        <v>2028</v>
      </c>
      <c r="E9" s="992"/>
      <c r="F9" s="992"/>
      <c r="G9" s="992"/>
      <c r="H9" s="992"/>
      <c r="I9" s="992"/>
      <c r="J9" s="992"/>
      <c r="L9" s="746"/>
    </row>
    <row r="10" spans="1:13" ht="15" outlineLevel="1">
      <c r="A10" s="991"/>
      <c r="B10" s="991"/>
      <c r="C10" s="418"/>
      <c r="L10" s="746"/>
    </row>
    <row r="11" spans="1:13">
      <c r="L11" s="746"/>
    </row>
    <row r="12" spans="1:13" ht="15">
      <c r="A12" s="769"/>
      <c r="B12" s="769"/>
      <c r="C12" s="769"/>
      <c r="D12" s="854" t="s">
        <v>242</v>
      </c>
      <c r="E12" s="854" t="s">
        <v>243</v>
      </c>
      <c r="F12" s="854" t="s">
        <v>244</v>
      </c>
      <c r="G12" s="854" t="s">
        <v>245</v>
      </c>
      <c r="H12" s="854" t="s">
        <v>246</v>
      </c>
      <c r="I12" s="855"/>
      <c r="J12" s="855"/>
      <c r="K12" s="855"/>
      <c r="L12" s="935" t="s">
        <v>287</v>
      </c>
    </row>
    <row r="13" spans="1:13" ht="15">
      <c r="A13" s="769"/>
      <c r="B13" s="769"/>
      <c r="C13" s="769"/>
      <c r="D13" s="854" t="s">
        <v>247</v>
      </c>
      <c r="E13" s="854" t="s">
        <v>248</v>
      </c>
      <c r="F13" s="854" t="s">
        <v>249</v>
      </c>
      <c r="G13" s="854" t="s">
        <v>250</v>
      </c>
      <c r="H13" s="854" t="s">
        <v>251</v>
      </c>
      <c r="I13" s="854"/>
      <c r="J13" s="854" t="s">
        <v>252</v>
      </c>
      <c r="K13" s="854" t="s">
        <v>252</v>
      </c>
      <c r="L13" s="935"/>
    </row>
    <row r="14" spans="1:13" ht="15">
      <c r="A14" s="816"/>
      <c r="B14" s="769">
        <f>C8</f>
        <v>2026</v>
      </c>
      <c r="C14" s="856" t="s">
        <v>519</v>
      </c>
      <c r="D14" s="854" t="s">
        <v>253</v>
      </c>
      <c r="E14" s="854" t="s">
        <v>254</v>
      </c>
      <c r="F14" s="854" t="s">
        <v>255</v>
      </c>
      <c r="G14" s="854" t="s">
        <v>256</v>
      </c>
      <c r="H14" s="854" t="s">
        <v>257</v>
      </c>
      <c r="I14" s="854" t="s">
        <v>258</v>
      </c>
      <c r="J14" s="854" t="s">
        <v>259</v>
      </c>
      <c r="K14" s="854" t="s">
        <v>260</v>
      </c>
      <c r="L14" s="935"/>
    </row>
    <row r="15" spans="1:13" ht="15">
      <c r="B15" s="746" t="s">
        <v>261</v>
      </c>
      <c r="C15" s="769"/>
      <c r="D15" s="285">
        <f>E15</f>
        <v>89122.228019999995</v>
      </c>
      <c r="E15" s="285">
        <f>SUM((HLOOKUP(B14,'Expense Input File'!$A$27:$L$70,3,FALSE)),(HLOOKUP(B14,'Expense Input File'!$A$27:$L$70,4,FALSE)),(HLOOKUP(B14,'Expense Input File'!$A$27:$L$70,5,FALSE)),(HLOOKUP(B14,'Expense Input File'!$A$27:$L$70,6,FALSE)),(HLOOKUP(B14,'Expense Input File'!$A$27:$L$70,34,FALSE)),(HLOOKUP(B14,'Expense Input File'!$A$27:$L$70,35,FALSE)),(HLOOKUP(B14,'Expense Input File'!$A$27:$L$70,36,FALSE)),(HLOOKUP(B14,'Expense Input File'!$A$27:$L$70,37,FALSE)),(HLOOKUP(B14,'Expense Input File'!$A$27:$L$70,38,FALSE)))-(HLOOKUP(B14,'Expense Input File'!$A$27:$L$70,8,FALSE))</f>
        <v>89122.228019999995</v>
      </c>
      <c r="F15" s="285"/>
      <c r="G15" s="285"/>
      <c r="H15" s="285"/>
      <c r="I15" s="285"/>
      <c r="J15" s="285"/>
      <c r="K15" s="285"/>
      <c r="L15" s="759">
        <f ca="1">E15-INDIRECT("'"&amp;RIGHT($B14,2)&amp;" Seg Dev'!"&amp;"$K$49")</f>
        <v>0</v>
      </c>
      <c r="M15" s="285" t="s">
        <v>521</v>
      </c>
    </row>
    <row r="16" spans="1:13" ht="15">
      <c r="B16" s="746" t="s">
        <v>306</v>
      </c>
      <c r="C16" s="769"/>
      <c r="D16" s="285">
        <f ca="1">SUM(INDIRECT("'"&amp;RIGHT($B14,2)&amp;" Seg Dev'!"&amp;"$K$51:$K$54"))</f>
        <v>98602.890598040627</v>
      </c>
      <c r="E16" s="285">
        <f ca="1">D16</f>
        <v>98602.890598040627</v>
      </c>
      <c r="F16" s="285"/>
      <c r="G16" s="285"/>
      <c r="H16" s="285"/>
      <c r="I16" s="285"/>
      <c r="J16" s="285"/>
      <c r="K16" s="285"/>
      <c r="L16" s="759">
        <f ca="1">D16-INDIRECT("'"&amp;RIGHT($B14,2)&amp;" Seg Dev'!"&amp;"$K$55")</f>
        <v>0</v>
      </c>
      <c r="M16" s="285" t="s">
        <v>521</v>
      </c>
    </row>
    <row r="17" spans="1:14">
      <c r="B17" s="746" t="s">
        <v>298</v>
      </c>
      <c r="D17" s="285">
        <f ca="1">SUM(INDIRECT("'"&amp; RIGHT($B14,2) &amp; " Seg Dev'!"&amp;"$K$68"),INDIRECT("'"&amp; RIGHT($B14,2) &amp; " Seg Dev'!"&amp;"$K$70:$K$71"))</f>
        <v>8.4215918062966093</v>
      </c>
      <c r="E17" s="285">
        <f ca="1">D17-(HLOOKUP(B14,'Expense Input File'!$B$71:$L$93,15,FALSE))</f>
        <v>8.4215918062966093</v>
      </c>
      <c r="F17" s="285"/>
      <c r="G17" s="285"/>
      <c r="H17" s="285"/>
      <c r="I17" s="285"/>
      <c r="J17" s="285"/>
      <c r="K17" s="285"/>
      <c r="L17" s="759">
        <f ca="1">D17-INDIRECT("'"&amp;RIGHT($B14,2)&amp;" Seg Dev'!"&amp;"$K$72")</f>
        <v>0</v>
      </c>
      <c r="M17" s="285" t="s">
        <v>521</v>
      </c>
    </row>
    <row r="18" spans="1:14" ht="15">
      <c r="B18" s="842" t="s">
        <v>262</v>
      </c>
      <c r="D18" s="567">
        <f ca="1">SUM(D15:D17)</f>
        <v>187733.54020984692</v>
      </c>
      <c r="E18" s="567">
        <f ca="1">SUM(E15:E17)</f>
        <v>187733.54020984692</v>
      </c>
      <c r="F18" s="285"/>
      <c r="G18" s="849"/>
      <c r="H18" s="285"/>
      <c r="I18" s="285"/>
      <c r="J18" s="285"/>
      <c r="K18" s="285"/>
      <c r="L18" s="759">
        <f ca="1">D18-'Segmented Rev Req.'!L11</f>
        <v>8.4215918062836863</v>
      </c>
      <c r="M18" s="285" t="s">
        <v>522</v>
      </c>
    </row>
    <row r="19" spans="1:14">
      <c r="A19" s="840"/>
      <c r="B19" s="746" t="s">
        <v>263</v>
      </c>
      <c r="D19" s="285">
        <f>HLOOKUP($B14,'Expense Input File'!$B$71:$L$92,2,FALSE)+HLOOKUP($B14,'Expense Input File'!$B$71:$L$1010,26,FALSE)</f>
        <v>128028.07520593569</v>
      </c>
      <c r="E19" s="285">
        <v>0</v>
      </c>
      <c r="F19" s="285"/>
      <c r="G19" s="285"/>
      <c r="H19" s="285"/>
      <c r="I19" s="285"/>
      <c r="J19" s="285"/>
      <c r="K19" s="285"/>
      <c r="L19" s="759">
        <f ca="1">D19-'Segmented Rev Req.'!L12</f>
        <v>-8.4215918062982382</v>
      </c>
      <c r="M19" s="857">
        <f ca="1">L18+L19</f>
        <v>-1.4551915228366852E-11</v>
      </c>
      <c r="N19" s="759" t="s">
        <v>523</v>
      </c>
    </row>
    <row r="20" spans="1:14" ht="15">
      <c r="A20" s="858"/>
      <c r="B20" s="746" t="s">
        <v>189</v>
      </c>
      <c r="C20" s="769"/>
      <c r="D20" s="759">
        <f ca="1">E20</f>
        <v>47135.483548204356</v>
      </c>
      <c r="E20" s="759">
        <f ca="1">INDIRECT("'"&amp; RIGHT($B14,2) &amp; " Seg Dev'!"&amp;"$K$33")</f>
        <v>47135.483548204356</v>
      </c>
      <c r="F20" s="759"/>
      <c r="G20" s="759"/>
      <c r="H20" s="759"/>
      <c r="I20" s="759"/>
      <c r="J20" s="759"/>
      <c r="K20" s="759"/>
      <c r="L20" s="759"/>
    </row>
    <row r="21" spans="1:14">
      <c r="A21" s="859"/>
      <c r="B21" s="746" t="s">
        <v>264</v>
      </c>
      <c r="D21" s="759">
        <f>E21</f>
        <v>4028.0204395912087</v>
      </c>
      <c r="E21" s="759">
        <f>+'28 Seg Dev'!E21</f>
        <v>4028.0204395912087</v>
      </c>
      <c r="L21" s="759"/>
    </row>
    <row r="22" spans="1:14">
      <c r="B22" s="746" t="s">
        <v>265</v>
      </c>
      <c r="D22" s="759">
        <f ca="1">E22</f>
        <v>7370.757727550762</v>
      </c>
      <c r="E22" s="759">
        <f ca="1">INDIRECT("'"&amp; RIGHT($B14,2) &amp; " Seg Dev'!"&amp;"$K$28")</f>
        <v>7370.757727550762</v>
      </c>
      <c r="F22" s="285"/>
      <c r="G22" s="285"/>
      <c r="L22" s="759"/>
    </row>
    <row r="23" spans="1:14" ht="15">
      <c r="B23" s="860" t="s">
        <v>94</v>
      </c>
      <c r="D23" s="821">
        <f ca="1">SUM(D18:D22)</f>
        <v>374295.87713112892</v>
      </c>
      <c r="E23" s="821">
        <f ca="1">SUM(E18:E22)</f>
        <v>246267.80192519323</v>
      </c>
      <c r="F23" s="759"/>
      <c r="G23" s="759"/>
      <c r="L23" s="759">
        <f ca="1">D23-'Segmented Rev Req.'!L16</f>
        <v>-5609.065805647464</v>
      </c>
      <c r="M23" s="285" t="s">
        <v>524</v>
      </c>
    </row>
    <row r="24" spans="1:14">
      <c r="F24" s="861"/>
      <c r="G24" s="861"/>
      <c r="L24" s="759"/>
    </row>
    <row r="25" spans="1:14" ht="15">
      <c r="B25" s="769">
        <f ca="1">OFFSET(B25,-11,0)+1</f>
        <v>2027</v>
      </c>
      <c r="L25" s="759"/>
    </row>
    <row r="26" spans="1:14" ht="15">
      <c r="A26" s="817"/>
      <c r="B26" s="746" t="s">
        <v>261</v>
      </c>
      <c r="C26" s="769"/>
      <c r="D26" s="285">
        <f ca="1">E26</f>
        <v>93354.124230000016</v>
      </c>
      <c r="E26" s="285">
        <f ca="1">SUM((HLOOKUP(B25,'Expense Input File'!$A$27:$L$70,3,FALSE)),(HLOOKUP(B25,'Expense Input File'!$A$27:$L$70,4,FALSE)),(HLOOKUP(B25,'Expense Input File'!$A$27:$L$70,5,FALSE)),(HLOOKUP(B25,'Expense Input File'!$A$27:$L$70,6,FALSE)),(HLOOKUP(B25,'Expense Input File'!$A$27:$L$70,34,FALSE)),(HLOOKUP(B25,'Expense Input File'!$A$27:$L$70,35,FALSE)),(HLOOKUP(B25,'Expense Input File'!$A$27:$L$70,36,FALSE)),(HLOOKUP(B25,'Expense Input File'!$A$27:$L$70,37,FALSE)),(HLOOKUP(B25,'Expense Input File'!$A$27:$L$70,38,FALSE)))-(HLOOKUP(B25,'Expense Input File'!$A$27:$L$70,8,FALSE))</f>
        <v>93354.124230000016</v>
      </c>
      <c r="F26" s="285"/>
      <c r="G26" s="285"/>
      <c r="H26" s="285"/>
      <c r="I26" s="285"/>
      <c r="J26" s="285"/>
      <c r="K26" s="285"/>
      <c r="L26" s="759">
        <f ca="1">E26-INDIRECT("'"&amp;RIGHT($B25,2)&amp;" Seg Dev'!"&amp;"$K$49")</f>
        <v>0</v>
      </c>
      <c r="M26" s="285" t="s">
        <v>521</v>
      </c>
    </row>
    <row r="27" spans="1:14" ht="15">
      <c r="A27" s="858"/>
      <c r="B27" s="746" t="s">
        <v>306</v>
      </c>
      <c r="C27" s="769"/>
      <c r="D27" s="285">
        <f ca="1">SUM(INDIRECT("'"&amp;RIGHT($B25,2)&amp;" Seg Dev'!"&amp;"$K$51:$K$54"))</f>
        <v>105685.00555501005</v>
      </c>
      <c r="E27" s="285">
        <f ca="1">D27</f>
        <v>105685.00555501005</v>
      </c>
      <c r="F27" s="285"/>
      <c r="G27" s="285"/>
      <c r="H27" s="285"/>
      <c r="I27" s="285"/>
      <c r="J27" s="285"/>
      <c r="K27" s="285"/>
      <c r="L27" s="759">
        <f ca="1">D27-INDIRECT("'"&amp;RIGHT($B25,2)&amp;" Seg Dev'!"&amp;"$K$55")</f>
        <v>0</v>
      </c>
      <c r="M27" s="285" t="s">
        <v>521</v>
      </c>
    </row>
    <row r="28" spans="1:14" ht="15">
      <c r="A28" s="858"/>
      <c r="B28" s="746" t="s">
        <v>298</v>
      </c>
      <c r="D28" s="285">
        <f ca="1">SUM(INDIRECT("'"&amp; RIGHT($B25,2) &amp; " Seg Dev'!"&amp;"$K$68"),INDIRECT("'"&amp; RIGHT($B25,2) &amp; " Seg Dev'!"&amp;"$K$70:$K$71"))</f>
        <v>10.245298566758033</v>
      </c>
      <c r="E28" s="285">
        <f ca="1">D28-(HLOOKUP(B25,'Expense Input File'!$B$71:$L$93,15,FALSE))</f>
        <v>10.245298566758033</v>
      </c>
      <c r="F28" s="285"/>
      <c r="G28" s="285"/>
      <c r="H28" s="285"/>
      <c r="I28" s="285"/>
      <c r="J28" s="285"/>
      <c r="K28" s="285"/>
      <c r="L28" s="759">
        <f ca="1">D28-INDIRECT("'"&amp;RIGHT($B25,2)&amp;" Seg Dev'!"&amp;"$K$72")</f>
        <v>0</v>
      </c>
      <c r="M28" s="285" t="s">
        <v>521</v>
      </c>
    </row>
    <row r="29" spans="1:14" ht="15">
      <c r="A29" s="859"/>
      <c r="B29" s="842" t="s">
        <v>262</v>
      </c>
      <c r="D29" s="567">
        <f ca="1">SUM(D26:D28)</f>
        <v>199049.37508357683</v>
      </c>
      <c r="E29" s="567">
        <f ca="1">SUM(E26:E28)</f>
        <v>199049.37508357683</v>
      </c>
      <c r="F29" s="285"/>
      <c r="G29" s="849"/>
      <c r="H29" s="285"/>
      <c r="I29" s="285"/>
      <c r="J29" s="285"/>
      <c r="K29" s="285"/>
      <c r="L29" s="759">
        <f ca="1">D29-'Segmented Rev Req.'!L19</f>
        <v>10.245298566762358</v>
      </c>
      <c r="M29" s="285" t="s">
        <v>522</v>
      </c>
    </row>
    <row r="30" spans="1:14">
      <c r="A30" s="818"/>
      <c r="B30" s="746" t="s">
        <v>263</v>
      </c>
      <c r="D30" s="285">
        <f ca="1">HLOOKUP($B25,'Expense Input File'!$B$71:$L$92,2,FALSE)+HLOOKUP($B25,'Expense Input File'!$B$71:$L$1010,26,FALSE)</f>
        <v>128028.07520593569</v>
      </c>
      <c r="E30" s="285">
        <v>0</v>
      </c>
      <c r="F30" s="285"/>
      <c r="G30" s="285"/>
      <c r="H30" s="285"/>
      <c r="I30" s="285"/>
      <c r="J30" s="285"/>
      <c r="K30" s="285"/>
      <c r="L30" s="759">
        <f ca="1">D30-'Segmented Rev Req.'!L20</f>
        <v>-10.245298566762358</v>
      </c>
      <c r="M30" s="285">
        <f ca="1">L29+L30</f>
        <v>0</v>
      </c>
      <c r="N30" s="759" t="s">
        <v>523</v>
      </c>
    </row>
    <row r="31" spans="1:14" ht="15">
      <c r="A31" s="818"/>
      <c r="B31" s="746" t="s">
        <v>189</v>
      </c>
      <c r="C31" s="769"/>
      <c r="D31" s="759">
        <f ca="1">E31</f>
        <v>51879.823577938339</v>
      </c>
      <c r="E31" s="759">
        <f ca="1">INDIRECT("'"&amp; RIGHT($B25,2) &amp; " Seg Dev'!"&amp;"$K$33")</f>
        <v>51879.823577938339</v>
      </c>
      <c r="F31" s="759"/>
      <c r="G31" s="759"/>
      <c r="H31" s="759"/>
      <c r="I31" s="759"/>
      <c r="J31" s="759"/>
      <c r="K31" s="759"/>
      <c r="L31" s="759"/>
    </row>
    <row r="32" spans="1:14">
      <c r="A32" s="818"/>
      <c r="B32" s="746" t="s">
        <v>264</v>
      </c>
      <c r="D32" s="759">
        <f ca="1">E32</f>
        <v>13979.807077744048</v>
      </c>
      <c r="E32" s="285">
        <f ca="1">INDIRECT("'"&amp; RIGHT($B25,2) &amp; " Seg Dev'!"&amp;"$K$21")</f>
        <v>13979.807077744048</v>
      </c>
      <c r="L32" s="759"/>
    </row>
    <row r="33" spans="1:14" ht="15">
      <c r="A33" s="858"/>
      <c r="B33" s="746" t="s">
        <v>265</v>
      </c>
      <c r="D33" s="759">
        <f ca="1">E33</f>
        <v>5980.0138113972835</v>
      </c>
      <c r="E33" s="285">
        <f ca="1">INDIRECT("'"&amp; RIGHT($B25,2) &amp; " Seg Dev'!"&amp;"$K$28")</f>
        <v>5980.0138113972835</v>
      </c>
      <c r="F33" s="285"/>
      <c r="G33" s="285"/>
      <c r="L33" s="759"/>
    </row>
    <row r="34" spans="1:14" ht="15">
      <c r="B34" s="860" t="s">
        <v>94</v>
      </c>
      <c r="D34" s="821">
        <f ca="1">SUM(D29:D33)</f>
        <v>398917.09475659224</v>
      </c>
      <c r="E34" s="821">
        <f ca="1">SUM(E29:E33)</f>
        <v>270889.01955065655</v>
      </c>
      <c r="F34" s="759"/>
      <c r="G34" s="759"/>
      <c r="L34" s="759">
        <f ca="1">D34-'Segmented Rev Req.'!L24</f>
        <v>0</v>
      </c>
      <c r="M34" s="285" t="s">
        <v>524</v>
      </c>
    </row>
    <row r="35" spans="1:14">
      <c r="F35" s="861"/>
      <c r="G35" s="861"/>
      <c r="L35" s="759"/>
    </row>
    <row r="36" spans="1:14" ht="15">
      <c r="B36" s="769">
        <f ca="1">OFFSET(B36,-11,0)+1</f>
        <v>2028</v>
      </c>
      <c r="L36" s="759"/>
    </row>
    <row r="37" spans="1:14" ht="15">
      <c r="A37" s="817"/>
      <c r="B37" s="746" t="s">
        <v>261</v>
      </c>
      <c r="C37" s="769"/>
      <c r="D37" s="285">
        <f ca="1">E37</f>
        <v>98095.824070000002</v>
      </c>
      <c r="E37" s="285">
        <f ca="1">SUM((HLOOKUP(B36,'Expense Input File'!$A$27:$L$70,3,FALSE)),(HLOOKUP(B36,'Expense Input File'!$A$27:$L$70,4,FALSE)),(HLOOKUP(B36,'Expense Input File'!$A$27:$L$70,5,FALSE)),(HLOOKUP(B36,'Expense Input File'!$A$27:$L$70,6,FALSE)),(HLOOKUP(B36,'Expense Input File'!$A$27:$L$70,34,FALSE)),(HLOOKUP(B36,'Expense Input File'!$A$27:$L$70,35,FALSE)),(HLOOKUP(B36,'Expense Input File'!$A$27:$L$70,36,FALSE)),(HLOOKUP(B36,'Expense Input File'!$A$27:$L$70,37,FALSE)),(HLOOKUP(B36,'Expense Input File'!$A$27:$L$70,38,FALSE)))-(HLOOKUP(B36,'Expense Input File'!$A$27:$L$70,8,FALSE))</f>
        <v>98095.824070000002</v>
      </c>
      <c r="F37" s="285"/>
      <c r="G37" s="285"/>
      <c r="H37" s="285"/>
      <c r="I37" s="285"/>
      <c r="J37" s="285"/>
      <c r="K37" s="285"/>
      <c r="L37" s="759">
        <f ca="1">E37-INDIRECT("'"&amp;RIGHT($B36,2)&amp;" Seg Dev'!"&amp;"$K$49")</f>
        <v>0</v>
      </c>
      <c r="M37" s="285" t="s">
        <v>521</v>
      </c>
    </row>
    <row r="38" spans="1:14" ht="15">
      <c r="A38" s="858"/>
      <c r="B38" s="746" t="s">
        <v>306</v>
      </c>
      <c r="C38" s="769"/>
      <c r="D38" s="285">
        <f ca="1">SUM(INDIRECT("'"&amp;RIGHT($B36,2)&amp;" Seg Dev'!"&amp;"$K$51:$K$54"))</f>
        <v>111519.4980682015</v>
      </c>
      <c r="E38" s="285">
        <f ca="1">D38</f>
        <v>111519.4980682015</v>
      </c>
      <c r="F38" s="285"/>
      <c r="G38" s="285"/>
      <c r="H38" s="285"/>
      <c r="I38" s="285"/>
      <c r="J38" s="285"/>
      <c r="K38" s="285"/>
      <c r="L38" s="759">
        <f ca="1">D38-INDIRECT("'"&amp;RIGHT($B36,2)&amp;" Seg Dev'!"&amp;"$K$55")</f>
        <v>0</v>
      </c>
      <c r="M38" s="285" t="s">
        <v>521</v>
      </c>
    </row>
    <row r="39" spans="1:14" ht="15">
      <c r="A39" s="858"/>
      <c r="B39" s="746" t="s">
        <v>298</v>
      </c>
      <c r="D39" s="285">
        <f ca="1">SUM(INDIRECT("'"&amp; RIGHT($B36,2) &amp; " Seg Dev'!"&amp;"$K$68"),INDIRECT("'"&amp; RIGHT($B36,2) &amp; " Seg Dev'!"&amp;"$K$70:$K$71"))</f>
        <v>11.932241778561279</v>
      </c>
      <c r="E39" s="285">
        <f ca="1">D39-(HLOOKUP(B36,'Expense Input File'!$B$71:$L$93,15,FALSE))</f>
        <v>11.932241778561279</v>
      </c>
      <c r="F39" s="285"/>
      <c r="G39" s="285"/>
      <c r="H39" s="285"/>
      <c r="I39" s="285"/>
      <c r="J39" s="285"/>
      <c r="K39" s="285"/>
      <c r="L39" s="759">
        <f ca="1">D39-INDIRECT("'"&amp;RIGHT($B36,2)&amp;" Seg Dev'!"&amp;"$K$72")</f>
        <v>0</v>
      </c>
      <c r="M39" s="285" t="s">
        <v>521</v>
      </c>
    </row>
    <row r="40" spans="1:14" ht="15">
      <c r="A40" s="859"/>
      <c r="B40" s="842" t="s">
        <v>262</v>
      </c>
      <c r="D40" s="567">
        <f ca="1">SUM(D37:D39)</f>
        <v>209627.25437998006</v>
      </c>
      <c r="E40" s="567">
        <f ca="1">SUM(E37:E39)</f>
        <v>209627.25437998006</v>
      </c>
      <c r="F40" s="285"/>
      <c r="G40" s="849"/>
      <c r="H40" s="285"/>
      <c r="I40" s="285"/>
      <c r="J40" s="285"/>
      <c r="K40" s="285"/>
      <c r="L40" s="759">
        <f ca="1">D40-'Segmented Rev Req.'!L27</f>
        <v>11.932241778558819</v>
      </c>
      <c r="M40" s="285" t="s">
        <v>522</v>
      </c>
    </row>
    <row r="41" spans="1:14">
      <c r="A41" s="818"/>
      <c r="B41" s="746" t="s">
        <v>263</v>
      </c>
      <c r="D41" s="285">
        <f ca="1">HLOOKUP($B36,'Expense Input File'!$B$71:$L$92,2,FALSE)+HLOOKUP($B36,'Expense Input File'!$B$71:$L$1010,26,FALSE)</f>
        <v>128028.07520593569</v>
      </c>
      <c r="E41" s="285">
        <v>0</v>
      </c>
      <c r="F41" s="285"/>
      <c r="G41" s="285"/>
      <c r="H41" s="285"/>
      <c r="I41" s="285"/>
      <c r="J41" s="285"/>
      <c r="K41" s="285"/>
      <c r="L41" s="759">
        <f ca="1">D41-'Segmented Rev Req.'!L28</f>
        <v>-11.932241778558819</v>
      </c>
      <c r="M41" s="285">
        <f ca="1">L40+L41</f>
        <v>0</v>
      </c>
      <c r="N41" s="759" t="s">
        <v>523</v>
      </c>
    </row>
    <row r="42" spans="1:14" ht="15">
      <c r="A42" s="818"/>
      <c r="B42" s="746" t="s">
        <v>189</v>
      </c>
      <c r="C42" s="769"/>
      <c r="D42" s="759">
        <f ca="1">E42</f>
        <v>55336.476159412603</v>
      </c>
      <c r="E42" s="759">
        <f ca="1">INDIRECT("'"&amp; RIGHT($B36,2) &amp; " Seg Dev'!"&amp;"$K$33")</f>
        <v>55336.476159412603</v>
      </c>
      <c r="F42" s="759"/>
      <c r="G42" s="759"/>
      <c r="H42" s="759"/>
      <c r="I42" s="759"/>
      <c r="J42" s="759"/>
      <c r="K42" s="759"/>
      <c r="L42" s="759"/>
    </row>
    <row r="43" spans="1:14">
      <c r="A43" s="818"/>
      <c r="B43" s="746" t="s">
        <v>264</v>
      </c>
      <c r="D43" s="759">
        <f ca="1">E43</f>
        <v>19177.096557825895</v>
      </c>
      <c r="E43" s="285">
        <f ca="1">INDIRECT("'"&amp; RIGHT($B36,2) &amp; " Seg Dev'!"&amp;"$K$21")</f>
        <v>19177.096557825895</v>
      </c>
      <c r="L43" s="759"/>
    </row>
    <row r="44" spans="1:14" ht="15">
      <c r="A44" s="858"/>
      <c r="B44" s="746" t="s">
        <v>265</v>
      </c>
      <c r="D44" s="759">
        <f ca="1">E44</f>
        <v>8499.8283593468477</v>
      </c>
      <c r="E44" s="285">
        <f ca="1">INDIRECT("'"&amp; RIGHT($B36,2) &amp; " Seg Dev'!"&amp;"$K$28")</f>
        <v>8499.8283593468477</v>
      </c>
      <c r="F44" s="285"/>
      <c r="G44" s="285"/>
      <c r="L44" s="759"/>
    </row>
    <row r="45" spans="1:14" ht="15">
      <c r="B45" s="860" t="s">
        <v>94</v>
      </c>
      <c r="D45" s="821">
        <f ca="1">SUM(D40:D44)</f>
        <v>420668.73066250113</v>
      </c>
      <c r="E45" s="821">
        <f ca="1">SUM(E40:E44)</f>
        <v>292640.65545656544</v>
      </c>
      <c r="F45" s="759"/>
      <c r="G45" s="759"/>
      <c r="L45" s="759">
        <f ca="1">D45-'Segmented Rev Req.'!L32</f>
        <v>0</v>
      </c>
      <c r="M45" s="285" t="s">
        <v>524</v>
      </c>
    </row>
    <row r="46" spans="1:14">
      <c r="F46" s="861"/>
      <c r="G46" s="861"/>
      <c r="L46" s="759"/>
    </row>
  </sheetData>
  <customSheetViews>
    <customSheetView guid="{2226E858-00AE-4A92-8CF6-5B54D2FA62D4}" showPageBreaks="1" fitToPage="1">
      <selection activeCell="E21" sqref="E21"/>
      <pageMargins left="0.7" right="0.7" top="0.75" bottom="0.75" header="0.3" footer="0.3"/>
      <pageSetup scale="26" orientation="portrait" r:id="rId1"/>
    </customSheetView>
  </customSheetViews>
  <mergeCells count="5">
    <mergeCell ref="L12:L14"/>
    <mergeCell ref="A1:K1"/>
    <mergeCell ref="J3:K3"/>
    <mergeCell ref="A10:B10"/>
    <mergeCell ref="E6:J9"/>
  </mergeCells>
  <pageMargins left="0.7" right="0.7" top="0.75" bottom="0.75" header="0.3" footer="0.3"/>
  <pageSetup scale="26" orientation="portrait"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codeName="Sheet6">
    <tabColor rgb="FF00B0F0"/>
    <outlinePr summaryBelow="0" summaryRight="0"/>
    <pageSetUpPr autoPageBreaks="0" fitToPage="1"/>
  </sheetPr>
  <dimension ref="A1:R34"/>
  <sheetViews>
    <sheetView topLeftCell="A7" workbookViewId="0">
      <selection activeCell="A37" sqref="A37"/>
    </sheetView>
  </sheetViews>
  <sheetFormatPr defaultColWidth="9.140625" defaultRowHeight="14.25" outlineLevelRow="1"/>
  <cols>
    <col min="1" max="1" width="44.85546875" style="746" bestFit="1" customWidth="1"/>
    <col min="2" max="2" width="24.5703125" style="746" customWidth="1"/>
    <col min="3" max="3" width="22.28515625" style="746" customWidth="1"/>
    <col min="4" max="4" width="22.42578125" style="746" customWidth="1"/>
    <col min="5" max="5" width="13" style="746" customWidth="1"/>
    <col min="6" max="6" width="14.42578125" style="746" customWidth="1"/>
    <col min="7" max="7" width="11.5703125" style="746" bestFit="1" customWidth="1"/>
    <col min="8" max="8" width="12.28515625" style="746" customWidth="1"/>
    <col min="9" max="11" width="10.7109375" style="746" customWidth="1"/>
    <col min="12" max="12" width="12.42578125" style="746" customWidth="1"/>
    <col min="13" max="13" width="14" style="746" customWidth="1"/>
    <col min="14" max="14" width="11.7109375" style="746" customWidth="1"/>
    <col min="15" max="15" width="16.85546875" style="866" bestFit="1" customWidth="1"/>
    <col min="16" max="16" width="13.28515625" style="746" bestFit="1" customWidth="1"/>
    <col min="17" max="17" width="27.42578125" style="746" customWidth="1"/>
    <col min="18" max="18" width="9.85546875" style="746" bestFit="1" customWidth="1"/>
    <col min="19" max="16384" width="9.140625" style="746"/>
  </cols>
  <sheetData>
    <row r="1" spans="1:17" ht="18" hidden="1">
      <c r="B1" s="989"/>
      <c r="C1" s="989"/>
      <c r="D1" s="989"/>
      <c r="E1" s="989"/>
      <c r="F1" s="989"/>
      <c r="G1" s="989"/>
      <c r="H1" s="989"/>
      <c r="I1" s="989"/>
      <c r="J1" s="989"/>
      <c r="K1" s="989"/>
      <c r="L1" s="989"/>
      <c r="M1" s="989"/>
      <c r="N1" s="989"/>
    </row>
    <row r="2" spans="1:17" ht="15" hidden="1" outlineLevel="1">
      <c r="B2" s="747"/>
      <c r="C2" s="867"/>
      <c r="D2" s="740"/>
      <c r="F2" s="769"/>
      <c r="J2" s="769"/>
      <c r="K2" s="862"/>
      <c r="N2" s="848"/>
    </row>
    <row r="3" spans="1:17" hidden="1" outlineLevel="1">
      <c r="B3" s="747"/>
      <c r="C3" s="867"/>
      <c r="D3" s="740"/>
      <c r="F3" s="816"/>
      <c r="H3" s="418"/>
      <c r="L3" s="863"/>
    </row>
    <row r="4" spans="1:17" ht="15" hidden="1" outlineLevel="1">
      <c r="B4" s="761"/>
      <c r="C4" s="868"/>
      <c r="D4" s="740"/>
      <c r="F4" s="816"/>
      <c r="G4" s="418"/>
      <c r="H4" s="418"/>
      <c r="J4" s="864"/>
      <c r="K4" s="832"/>
      <c r="L4" s="832"/>
    </row>
    <row r="5" spans="1:17" ht="15" hidden="1" customHeight="1" outlineLevel="1">
      <c r="B5" s="761"/>
      <c r="C5" s="868"/>
      <c r="D5" s="740"/>
      <c r="J5" s="832"/>
      <c r="K5" s="832"/>
      <c r="L5" s="832"/>
    </row>
    <row r="6" spans="1:17" ht="15" hidden="1" outlineLevel="1">
      <c r="B6" s="761"/>
      <c r="C6" s="869"/>
      <c r="D6" s="870"/>
      <c r="F6" s="853"/>
      <c r="G6" s="853"/>
      <c r="H6" s="853"/>
      <c r="I6" s="853"/>
      <c r="J6" s="853"/>
      <c r="K6" s="853"/>
      <c r="L6" s="853"/>
      <c r="M6" s="853"/>
    </row>
    <row r="7" spans="1:17" ht="15" customHeight="1" outlineLevel="1">
      <c r="B7" s="761" t="s">
        <v>13</v>
      </c>
      <c r="C7" s="869">
        <v>2026</v>
      </c>
      <c r="D7" s="871"/>
      <c r="F7" s="853"/>
      <c r="G7" s="853"/>
      <c r="H7" s="853"/>
      <c r="I7" s="853"/>
      <c r="J7" s="853"/>
      <c r="K7" s="853"/>
      <c r="L7" s="853"/>
      <c r="M7" s="853"/>
    </row>
    <row r="8" spans="1:17" ht="15" outlineLevel="1">
      <c r="B8" s="761" t="s">
        <v>14</v>
      </c>
      <c r="C8" s="869">
        <v>2028</v>
      </c>
      <c r="D8" s="871"/>
      <c r="F8" s="853"/>
      <c r="G8" s="853"/>
      <c r="H8" s="853"/>
      <c r="I8" s="853"/>
      <c r="J8" s="853"/>
      <c r="K8" s="853"/>
      <c r="L8" s="853"/>
      <c r="M8" s="853"/>
    </row>
    <row r="9" spans="1:17" ht="15" customHeight="1">
      <c r="E9" s="994" t="s">
        <v>170</v>
      </c>
      <c r="F9" s="995" t="s">
        <v>171</v>
      </c>
      <c r="G9" s="994" t="s">
        <v>172</v>
      </c>
      <c r="H9" s="995" t="s">
        <v>173</v>
      </c>
      <c r="I9" s="995" t="s">
        <v>174</v>
      </c>
      <c r="J9" s="995" t="s">
        <v>175</v>
      </c>
      <c r="K9" s="995" t="s">
        <v>176</v>
      </c>
      <c r="L9" s="995" t="s">
        <v>177</v>
      </c>
      <c r="M9" s="995" t="s">
        <v>464</v>
      </c>
      <c r="N9" s="995"/>
    </row>
    <row r="10" spans="1:17" ht="15">
      <c r="B10" s="872">
        <f>C7</f>
        <v>2026</v>
      </c>
      <c r="C10" s="993" t="s">
        <v>282</v>
      </c>
      <c r="D10" s="993"/>
      <c r="E10" s="994"/>
      <c r="F10" s="994"/>
      <c r="G10" s="994"/>
      <c r="H10" s="994"/>
      <c r="I10" s="994"/>
      <c r="J10" s="994"/>
      <c r="K10" s="994"/>
      <c r="L10" s="994"/>
      <c r="M10" s="995"/>
      <c r="N10" s="995"/>
      <c r="P10" s="285"/>
    </row>
    <row r="11" spans="1:17">
      <c r="A11" s="746" t="s">
        <v>546</v>
      </c>
      <c r="B11" s="817" t="s">
        <v>283</v>
      </c>
      <c r="D11" s="864"/>
      <c r="E11" s="285">
        <f ca="1">SUM(F11:L11)</f>
        <v>721862.38764000009</v>
      </c>
      <c r="F11" s="285">
        <f ca="1">VLOOKUP($A11,INDIRECT("'"&amp; RIGHT($B$10,2) &amp; " Seg Dev'!"&amp;"a:x"),MATCH(F$9,INDIRECT("'"&amp; RIGHT($B$10,2) &amp; " Seg Dev'!"&amp;"a12:x12"),0),0)</f>
        <v>11747.72860412782</v>
      </c>
      <c r="G11" s="285">
        <f t="shared" ref="G11:L11" ca="1" si="0">VLOOKUP($A11,INDIRECT("'"&amp; RIGHT($B$10,2) &amp; " Seg Dev'!"&amp;"a:x"),MATCH(G$9,INDIRECT("'"&amp; RIGHT($B$10,2) &amp; " Seg Dev'!"&amp;"a12:x12"),0),0)</f>
        <v>450701.36496875645</v>
      </c>
      <c r="H11" s="285">
        <f ca="1">VLOOKUP($A11,INDIRECT("'"&amp; RIGHT($B$10,2) &amp; " Seg Dev'!"&amp;"a:x"),MATCH(H$9,INDIRECT("'"&amp; RIGHT($B$10,2) &amp; " Seg Dev'!"&amp;"a12:x12"),0),0)</f>
        <v>61912.020397490647</v>
      </c>
      <c r="I11" s="285">
        <f t="shared" ca="1" si="0"/>
        <v>5925.8288464149082</v>
      </c>
      <c r="J11" s="285">
        <f t="shared" ca="1" si="0"/>
        <v>3089.5260524215701</v>
      </c>
      <c r="K11" s="285">
        <f t="shared" ca="1" si="0"/>
        <v>760.80015274799382</v>
      </c>
      <c r="L11" s="285">
        <f t="shared" ca="1" si="0"/>
        <v>187725.11861804064</v>
      </c>
      <c r="M11" s="285">
        <f>SUM(HLOOKUP($B10,'Revenue Requirement'!$A$2:$I$12,4,FALSE),HLOOKUP($B10,'Revenue Requirement'!$A$2:$I$12,5,FALSE),HLOOKUP($B10,'Revenue Requirement'!$A$2:$I$12,6,FALSE),HLOOKUP($B10,'Revenue Requirement'!$A$2:$I$12,8,FALSE),HLOOKUP($B10,'Revenue Requirement'!$A$2:$I$12,9,FALSE))</f>
        <v>721862.38763999997</v>
      </c>
      <c r="N11" s="285">
        <f ca="1">M11-E11</f>
        <v>0</v>
      </c>
      <c r="O11" s="866" t="s">
        <v>717</v>
      </c>
      <c r="Q11" s="759"/>
    </row>
    <row r="12" spans="1:17">
      <c r="A12" s="746" t="s">
        <v>280</v>
      </c>
      <c r="B12" s="817" t="s">
        <v>284</v>
      </c>
      <c r="D12" s="816"/>
      <c r="E12" s="285">
        <f ca="1">SUM(F12:L12)</f>
        <v>146541.11987526744</v>
      </c>
      <c r="F12" s="285">
        <f ca="1">VLOOKUP($A12,INDIRECT("'"&amp; RIGHT($B10,2) &amp; " Seg Dev'!"&amp;"a:x"),MATCH(F$9,INDIRECT("'"&amp; RIGHT($B10,2) &amp; " Seg Dev'!"&amp;"a12:x12"),0),0)+VLOOKUP("EIM Unallocated Charges",INDIRECT("'"&amp; RIGHT($B10,2) &amp; " Seg Dev'!"&amp;"a:x"),MATCH(F$9,INDIRECT("'"&amp; RIGHT($B10,2) &amp; " Seg Dev'!"&amp;"a12:x12"),0),0)</f>
        <v>87.826251904217884</v>
      </c>
      <c r="G12" s="285">
        <f t="shared" ref="G12:L12" ca="1" si="1">VLOOKUP($A12,INDIRECT("'"&amp; RIGHT($B10,2) &amp; " Seg Dev'!"&amp;"a:x"),MATCH(G$9,INDIRECT("'"&amp; RIGHT($B10,2) &amp; " Seg Dev'!"&amp;"a12:x12"),0),0)+VLOOKUP("EIM Unallocated Charges",INDIRECT("'"&amp; RIGHT($B10,2) &amp; " Seg Dev'!"&amp;"a:x"),MATCH(G$9,INDIRECT("'"&amp; RIGHT($B10,2) &amp; " Seg Dev'!"&amp;"a12:x12"),0),0)</f>
        <v>15785.620716226351</v>
      </c>
      <c r="H12" s="285">
        <f t="shared" ca="1" si="1"/>
        <v>2315.0971258676736</v>
      </c>
      <c r="I12" s="285">
        <f t="shared" ca="1" si="1"/>
        <v>42.566666324979302</v>
      </c>
      <c r="J12" s="285">
        <f t="shared" ca="1" si="1"/>
        <v>266.87667069995888</v>
      </c>
      <c r="K12" s="285">
        <f t="shared" ca="1" si="1"/>
        <v>6.6356465022728672</v>
      </c>
      <c r="L12" s="285">
        <f t="shared" ca="1" si="1"/>
        <v>128036.49679774199</v>
      </c>
      <c r="M12" s="285">
        <f>HLOOKUP($B10,'Revenue Requirement'!$A$2:$I$12,7,FALSE)</f>
        <v>146541.11820729065</v>
      </c>
      <c r="N12" s="759">
        <f t="shared" ref="N12:N16" ca="1" si="2">M12-E12</f>
        <v>-1.6679767868481576E-3</v>
      </c>
      <c r="O12" s="866" t="s">
        <v>717</v>
      </c>
      <c r="P12" s="285"/>
    </row>
    <row r="13" spans="1:17">
      <c r="A13" s="746" t="s">
        <v>188</v>
      </c>
      <c r="B13" s="817" t="s">
        <v>189</v>
      </c>
      <c r="D13" s="816"/>
      <c r="E13" s="285">
        <f ca="1">SUM(F13:L13)</f>
        <v>377162.04538600007</v>
      </c>
      <c r="F13" s="285">
        <f ca="1">VLOOKUP($A13,INDIRECT("'"&amp; RIGHT($B$10,2) &amp; " Seg Dev'!"&amp;"a:x"),MATCH(F$9,INDIRECT("'"&amp; RIGHT($B$10,2) &amp; " Seg Dev'!"&amp;"a12:x12"),0),0)</f>
        <v>6257.7689057906828</v>
      </c>
      <c r="G13" s="285">
        <f ca="1">VLOOKUP($A13,INDIRECT("'"&amp; RIGHT($B$10,2) &amp; " Seg Dev'!"&amp;"a:x"),MATCH(G$9,INDIRECT("'"&amp; RIGHT($B$10,2) &amp; " Seg Dev'!"&amp;"a12:x12"),0),0)</f>
        <v>283133.76445653941</v>
      </c>
      <c r="H13" s="285">
        <f t="shared" ref="G13:L15" ca="1" si="3">VLOOKUP($A13,INDIRECT("'"&amp; RIGHT($B$10,2) &amp; " Seg Dev'!"&amp;"a:x"),MATCH(H$9,INDIRECT("'"&amp; RIGHT($B$10,2) &amp; " Seg Dev'!"&amp;"a12:x12"),0),0)</f>
        <v>35442.73621966358</v>
      </c>
      <c r="I13" s="285">
        <f t="shared" ca="1" si="3"/>
        <v>4080.8017398184934</v>
      </c>
      <c r="J13" s="285">
        <f t="shared" ca="1" si="3"/>
        <v>829.53659158490723</v>
      </c>
      <c r="K13" s="285">
        <f t="shared" ca="1" si="3"/>
        <v>281.95392439860814</v>
      </c>
      <c r="L13" s="285">
        <f t="shared" ca="1" si="3"/>
        <v>47135.483548204356</v>
      </c>
      <c r="M13" s="285">
        <f>HLOOKUP($B10,'Revenue Requirement'!$A$2:$I$12,10,FALSE)</f>
        <v>377162.04538600001</v>
      </c>
      <c r="N13" s="285">
        <f t="shared" ca="1" si="2"/>
        <v>0</v>
      </c>
      <c r="O13" s="866" t="s">
        <v>717</v>
      </c>
      <c r="P13" s="285"/>
    </row>
    <row r="14" spans="1:17">
      <c r="A14" s="746" t="s">
        <v>180</v>
      </c>
      <c r="B14" s="817" t="s">
        <v>89</v>
      </c>
      <c r="D14" s="864"/>
      <c r="E14" s="285">
        <f ca="1">SUM(F14:L14)</f>
        <v>203728.93535300213</v>
      </c>
      <c r="F14" s="285">
        <f ca="1">VLOOKUP($A14,INDIRECT("'"&amp; RIGHT($B$10,2) &amp; " Seg Dev'!"&amp;"a:x"),MATCH(F$9,INDIRECT("'"&amp; RIGHT($B$10,2) &amp; " Seg Dev'!"&amp;"a12:x12"),0),0)</f>
        <v>3645.7283400794731</v>
      </c>
      <c r="G14" s="285">
        <f t="shared" ca="1" si="3"/>
        <v>169357.79444721411</v>
      </c>
      <c r="H14" s="285">
        <f t="shared" ca="1" si="3"/>
        <v>18530.477763213185</v>
      </c>
      <c r="I14" s="285">
        <f t="shared" ca="1" si="3"/>
        <v>2032.7248281018321</v>
      </c>
      <c r="J14" s="285">
        <f t="shared" ca="1" si="3"/>
        <v>368.28910199509028</v>
      </c>
      <c r="K14" s="285">
        <f t="shared" ca="1" si="3"/>
        <v>156.8346271597209</v>
      </c>
      <c r="L14" s="285">
        <f t="shared" ca="1" si="3"/>
        <v>9637.0862452386864</v>
      </c>
      <c r="M14" s="759">
        <f>HLOOKUP($B10,'Revenue Requirement'!$A$2:$I$26,25,FALSE)</f>
        <v>203728.9353530021</v>
      </c>
      <c r="N14" s="759">
        <f t="shared" ca="1" si="2"/>
        <v>0</v>
      </c>
      <c r="O14" s="866" t="s">
        <v>717</v>
      </c>
      <c r="P14" s="285"/>
    </row>
    <row r="15" spans="1:17">
      <c r="A15" s="746" t="s">
        <v>185</v>
      </c>
      <c r="B15" s="817" t="s">
        <v>265</v>
      </c>
      <c r="D15" s="864"/>
      <c r="E15" s="285">
        <f ca="1">SUM(F15:L15)</f>
        <v>177401.26576231883</v>
      </c>
      <c r="F15" s="285">
        <f ca="1">VLOOKUP($A15,INDIRECT("'"&amp; RIGHT($B$10,2) &amp; " Seg Dev'!"&amp;"a:x"),MATCH(F$9,INDIRECT("'"&amp; RIGHT($B$10,2) &amp; " Seg Dev'!"&amp;"a12:x12"),0),0)</f>
        <v>2788.3718845483927</v>
      </c>
      <c r="G15" s="285">
        <f t="shared" ca="1" si="3"/>
        <v>151113.09670486758</v>
      </c>
      <c r="H15" s="285">
        <f t="shared" ca="1" si="3"/>
        <v>14172.713483382166</v>
      </c>
      <c r="I15" s="285">
        <f t="shared" ca="1" si="3"/>
        <v>1554.6942149779204</v>
      </c>
      <c r="J15" s="285">
        <f t="shared" ca="1" si="3"/>
        <v>281.67951136104102</v>
      </c>
      <c r="K15" s="285">
        <f t="shared" ca="1" si="3"/>
        <v>119.95223563099123</v>
      </c>
      <c r="L15" s="285">
        <f t="shared" ca="1" si="3"/>
        <v>7370.757727550762</v>
      </c>
      <c r="M15" s="759">
        <f>HLOOKUP($B10,'Revenue Requirement'!$A$2:$I$32,31,FALSE)</f>
        <v>177401.26576231886</v>
      </c>
      <c r="N15" s="759">
        <f t="shared" ca="1" si="2"/>
        <v>0</v>
      </c>
      <c r="O15" s="866" t="s">
        <v>717</v>
      </c>
      <c r="P15" s="285"/>
    </row>
    <row r="16" spans="1:17" ht="15">
      <c r="B16" s="873" t="s">
        <v>285</v>
      </c>
      <c r="D16" s="864"/>
      <c r="E16" s="285">
        <f ca="1">SUM(E11:E15)</f>
        <v>1626695.7540165884</v>
      </c>
      <c r="F16" s="285">
        <f ca="1">SUM(F11:F15)</f>
        <v>24527.423986450587</v>
      </c>
      <c r="G16" s="285">
        <f t="shared" ref="G16:L16" ca="1" si="4">SUM(G11:G15)</f>
        <v>1070091.6412936039</v>
      </c>
      <c r="H16" s="285">
        <f t="shared" ca="1" si="4"/>
        <v>132373.04498961725</v>
      </c>
      <c r="I16" s="285">
        <f t="shared" ca="1" si="4"/>
        <v>13636.616295638134</v>
      </c>
      <c r="J16" s="285">
        <f t="shared" ca="1" si="4"/>
        <v>4835.9079280625683</v>
      </c>
      <c r="K16" s="285">
        <f t="shared" ca="1" si="4"/>
        <v>1326.1765864395868</v>
      </c>
      <c r="L16" s="285">
        <f t="shared" ca="1" si="4"/>
        <v>379904.94293677638</v>
      </c>
      <c r="M16" s="285">
        <f>HLOOKUP($B10,'Revenue Requirement'!$A$2:$I$34,33,FALSE)</f>
        <v>1626695.7523486116</v>
      </c>
      <c r="N16" s="285">
        <f t="shared" ca="1" si="2"/>
        <v>-1.6679768450558186E-3</v>
      </c>
      <c r="P16" s="285"/>
    </row>
    <row r="17" spans="1:18" ht="15.75" customHeight="1">
      <c r="B17" s="873"/>
      <c r="C17" s="816"/>
      <c r="D17" s="865"/>
      <c r="E17" s="760"/>
      <c r="F17" s="760"/>
      <c r="G17" s="760"/>
      <c r="H17" s="760"/>
      <c r="I17" s="760"/>
      <c r="J17" s="760"/>
      <c r="K17" s="760"/>
      <c r="L17" s="760"/>
      <c r="M17" s="760"/>
      <c r="N17" s="760"/>
      <c r="P17" s="874"/>
    </row>
    <row r="18" spans="1:18" ht="15">
      <c r="B18" s="872">
        <f>B10+1</f>
        <v>2027</v>
      </c>
      <c r="C18" s="993" t="s">
        <v>282</v>
      </c>
      <c r="D18" s="993"/>
      <c r="E18" s="759"/>
      <c r="F18" s="759"/>
      <c r="G18" s="759"/>
      <c r="H18" s="759"/>
      <c r="I18" s="759"/>
      <c r="J18" s="759"/>
      <c r="K18" s="759"/>
      <c r="L18" s="759"/>
      <c r="M18" s="759"/>
      <c r="N18" s="759"/>
      <c r="P18" s="285"/>
    </row>
    <row r="19" spans="1:18">
      <c r="A19" s="746" t="str">
        <f>IF(A11=0," ",A11)</f>
        <v>Total O&amp;M</v>
      </c>
      <c r="B19" s="817" t="s">
        <v>283</v>
      </c>
      <c r="D19" s="864"/>
      <c r="E19" s="285">
        <f ca="1">SUM(F19:L19)</f>
        <v>774349.23598999996</v>
      </c>
      <c r="F19" s="285">
        <f ca="1">VLOOKUP($A19,INDIRECT("'"&amp; RIGHT($B$18,2) &amp; " Seg Dev'!"&amp;"a:x"),MATCH(F$9,INDIRECT("'"&amp; RIGHT($B$18,2) &amp; " Seg Dev'!"&amp;"a12:x12"),0),0)</f>
        <v>12653.277318176271</v>
      </c>
      <c r="G19" s="285">
        <f t="shared" ref="G19:L19" ca="1" si="5">VLOOKUP($A19,INDIRECT("'"&amp; RIGHT($B$18,2) &amp; " Seg Dev'!"&amp;"a:x"),MATCH(G$9,INDIRECT("'"&amp; RIGHT($B$18,2) &amp; " Seg Dev'!"&amp;"a12:x12"),0),0)</f>
        <v>485442.72265758936</v>
      </c>
      <c r="H19" s="285">
        <f t="shared" ca="1" si="5"/>
        <v>66684.377024404006</v>
      </c>
      <c r="I19" s="285">
        <f t="shared" ca="1" si="5"/>
        <v>6382.6087799977049</v>
      </c>
      <c r="J19" s="285">
        <f t="shared" ca="1" si="5"/>
        <v>3327.6756078008525</v>
      </c>
      <c r="K19" s="285">
        <f t="shared" ca="1" si="5"/>
        <v>819.44481702179496</v>
      </c>
      <c r="L19" s="285">
        <f t="shared" ca="1" si="5"/>
        <v>199039.12978501007</v>
      </c>
      <c r="M19" s="285">
        <f>SUM(HLOOKUP($B18,'Revenue Requirement'!$A$2:$I$12,4,FALSE),HLOOKUP($B18,'Revenue Requirement'!$A$2:$I$12,5,FALSE),HLOOKUP($B18,'Revenue Requirement'!$A$2:$I$12,6,FALSE),HLOOKUP($B18,'Revenue Requirement'!$A$2:$I$12,8,FALSE),HLOOKUP($B18,'Revenue Requirement'!$A$2:$I$12,9,FALSE))</f>
        <v>774349.23598999996</v>
      </c>
      <c r="N19" s="285">
        <f t="shared" ref="N19:N24" ca="1" si="6">M19-E19</f>
        <v>0</v>
      </c>
      <c r="O19" s="866" t="s">
        <v>717</v>
      </c>
      <c r="P19" s="285"/>
      <c r="Q19" s="759"/>
    </row>
    <row r="20" spans="1:18">
      <c r="A20" s="746" t="str">
        <f t="shared" ref="A20:A33" si="7">IF(A12=0," ",A12)</f>
        <v>TOTAL TRANS ACQ AND ANCILLARY</v>
      </c>
      <c r="B20" s="817" t="s">
        <v>284</v>
      </c>
      <c r="D20" s="816"/>
      <c r="E20" s="285">
        <f ca="1">SUM(F20:L20)</f>
        <v>146179.45645248369</v>
      </c>
      <c r="F20" s="285">
        <f ca="1">VLOOKUP($A20,INDIRECT("'"&amp; RIGHT($B18,2) &amp; " Seg Dev'!"&amp;"a:x"),MATCH(F$9,INDIRECT("'"&amp; RIGHT($B18,2) &amp; " Seg Dev'!"&amp;"a12:x12"),0),0)+VLOOKUP("EIM Unallocated Charges",INDIRECT("'"&amp; RIGHT($B18,2) &amp; " Seg Dev'!"&amp;"a:x"),MATCH(F$9,INDIRECT("'"&amp; RIGHT($B18,2) &amp; " Seg Dev'!"&amp;"a12:x12"),0),0)</f>
        <v>88.979369139014864</v>
      </c>
      <c r="G20" s="285">
        <f t="shared" ref="G20:L20" ca="1" si="8">VLOOKUP($A20,INDIRECT("'"&amp; RIGHT($B18,2) &amp; " Seg Dev'!"&amp;"a:x"),MATCH(G$9,INDIRECT("'"&amp; RIGHT($B18,2) &amp; " Seg Dev'!"&amp;"a12:x12"),0),0)+VLOOKUP("EIM Unallocated Charges",INDIRECT("'"&amp; RIGHT($B18,2) &amp; " Seg Dev'!"&amp;"a:x"),MATCH(G$9,INDIRECT("'"&amp; RIGHT($B18,2) &amp; " Seg Dev'!"&amp;"a12:x12"),0),0)</f>
        <v>15782.997013770166</v>
      </c>
      <c r="H20" s="285">
        <f t="shared" ca="1" si="8"/>
        <v>1952.2691529843869</v>
      </c>
      <c r="I20" s="285">
        <f t="shared" ca="1" si="8"/>
        <v>42.851024788292222</v>
      </c>
      <c r="J20" s="285">
        <f t="shared" ca="1" si="8"/>
        <v>267.30315829858398</v>
      </c>
      <c r="K20" s="285">
        <f t="shared" ca="1" si="8"/>
        <v>6.7362290007975032</v>
      </c>
      <c r="L20" s="285">
        <f t="shared" ca="1" si="8"/>
        <v>128038.32050450245</v>
      </c>
      <c r="M20" s="285">
        <f>HLOOKUP($B18,'Revenue Requirement'!$A$2:$I$12,7,FALSE)</f>
        <v>146179.45513593568</v>
      </c>
      <c r="N20" s="759">
        <f t="shared" ca="1" si="6"/>
        <v>-1.3165480049792677E-3</v>
      </c>
      <c r="O20" s="866" t="s">
        <v>717</v>
      </c>
      <c r="P20" s="285"/>
    </row>
    <row r="21" spans="1:18">
      <c r="A21" s="746" t="str">
        <f t="shared" si="7"/>
        <v>TOTAL DEPRECIATION EXPENSE</v>
      </c>
      <c r="B21" s="817" t="s">
        <v>189</v>
      </c>
      <c r="D21" s="816"/>
      <c r="E21" s="285">
        <f ca="1">SUM(F21:L21)</f>
        <v>403792.33492134151</v>
      </c>
      <c r="F21" s="285">
        <f ca="1">VLOOKUP($A21,INDIRECT("'"&amp; RIGHT($B$18,2) &amp; " Seg Dev'!"&amp;"a:x"),MATCH(F$9,INDIRECT("'"&amp; RIGHT($B$18,2) &amp; " Seg Dev'!"&amp;"a12:x12"),0),0)</f>
        <v>6378.9538430126249</v>
      </c>
      <c r="G21" s="285">
        <f t="shared" ref="G21:L23" ca="1" si="9">VLOOKUP($A21,INDIRECT("'"&amp; RIGHT($B$18,2) &amp; " Seg Dev'!"&amp;"a:x"),MATCH(G$9,INDIRECT("'"&amp; RIGHT($B$18,2) &amp; " Seg Dev'!"&amp;"a12:x12"),0),0)</f>
        <v>304132.02206710342</v>
      </c>
      <c r="H21" s="285">
        <f t="shared" ca="1" si="9"/>
        <v>36108.396215819535</v>
      </c>
      <c r="I21" s="285">
        <f t="shared" ca="1" si="9"/>
        <v>4141.930254184108</v>
      </c>
      <c r="J21" s="285">
        <f t="shared" ca="1" si="9"/>
        <v>861.40692442326599</v>
      </c>
      <c r="K21" s="285">
        <f ca="1">VLOOKUP($A21,INDIRECT("'"&amp; RIGHT($B$18,2) &amp; " Seg Dev'!"&amp;"a:x"),MATCH(K$9,INDIRECT("'"&amp; RIGHT($B$18,2) &amp; " Seg Dev'!"&amp;"a12:x12"),0),0)</f>
        <v>289.80203886022531</v>
      </c>
      <c r="L21" s="285">
        <f t="shared" ca="1" si="9"/>
        <v>51879.823577938339</v>
      </c>
      <c r="M21" s="285">
        <f>HLOOKUP($B18,'Revenue Requirement'!$A$2:$I$12,10,FALSE)</f>
        <v>403792.33492134156</v>
      </c>
      <c r="N21" s="285">
        <f t="shared" ca="1" si="6"/>
        <v>0</v>
      </c>
      <c r="O21" s="866" t="s">
        <v>717</v>
      </c>
      <c r="P21" s="285"/>
    </row>
    <row r="22" spans="1:18">
      <c r="A22" s="746" t="str">
        <f t="shared" si="7"/>
        <v>TOTAL NET INTEREST EXPENSE</v>
      </c>
      <c r="B22" s="817" t="s">
        <v>89</v>
      </c>
      <c r="D22" s="864"/>
      <c r="E22" s="285">
        <f ca="1">SUM(F22:L22)</f>
        <v>241158.50758254458</v>
      </c>
      <c r="F22" s="285">
        <f ca="1">VLOOKUP($A22,INDIRECT("'"&amp; RIGHT($B$18,2) &amp; " Seg Dev'!"&amp;"a:x"),MATCH(F$9,INDIRECT("'"&amp; RIGHT($B$18,2) &amp; " Seg Dev'!"&amp;"a12:x12"),0),0)</f>
        <v>3878.040917733324</v>
      </c>
      <c r="G22" s="285">
        <f t="shared" ca="1" si="9"/>
        <v>200847.86925603903</v>
      </c>
      <c r="H22" s="285">
        <f t="shared" ca="1" si="9"/>
        <v>19751.506323351161</v>
      </c>
      <c r="I22" s="285">
        <f t="shared" ca="1" si="9"/>
        <v>2140.8977210715007</v>
      </c>
      <c r="J22" s="285">
        <f t="shared" ca="1" si="9"/>
        <v>392.95782325493053</v>
      </c>
      <c r="K22" s="285">
        <f t="shared" ca="1" si="9"/>
        <v>167.42846335057078</v>
      </c>
      <c r="L22" s="285">
        <f t="shared" ca="1" si="9"/>
        <v>13979.807077744048</v>
      </c>
      <c r="M22" s="759">
        <f>HLOOKUP($B18,'Revenue Requirement'!$A$2:$I$26,25,FALSE)</f>
        <v>241158.50758254458</v>
      </c>
      <c r="N22" s="759">
        <f t="shared" ca="1" si="6"/>
        <v>0</v>
      </c>
      <c r="O22" s="866" t="s">
        <v>717</v>
      </c>
      <c r="P22" s="285"/>
    </row>
    <row r="23" spans="1:18">
      <c r="A23" s="746" t="str">
        <f t="shared" si="7"/>
        <v>TOTAL MINIMUM REQUIRED NET REVENUE</v>
      </c>
      <c r="B23" s="817" t="s">
        <v>265</v>
      </c>
      <c r="D23" s="864"/>
      <c r="E23" s="285">
        <f ca="1">SUM(F23:L23)</f>
        <v>150226.47815209482</v>
      </c>
      <c r="F23" s="285">
        <f ca="1">VLOOKUP($A23,INDIRECT("'"&amp; RIGHT($B$18,2) &amp; " Seg Dev'!"&amp;"a:x"),MATCH(F$9,INDIRECT("'"&amp; RIGHT($B$18,2) &amp; " Seg Dev'!"&amp;"a12:x12"),0),0)</f>
        <v>1658.8739830415036</v>
      </c>
      <c r="G23" s="285">
        <f t="shared" ca="1" si="9"/>
        <v>132983.1662381193</v>
      </c>
      <c r="H23" s="285">
        <f t="shared" ca="1" si="9"/>
        <v>8448.9206433742202</v>
      </c>
      <c r="I23" s="285">
        <f t="shared" ca="1" si="9"/>
        <v>915.7921757860571</v>
      </c>
      <c r="J23" s="285">
        <f t="shared" ca="1" si="9"/>
        <v>168.09196273546175</v>
      </c>
      <c r="K23" s="285">
        <f t="shared" ca="1" si="9"/>
        <v>71.619337641031805</v>
      </c>
      <c r="L23" s="285">
        <f t="shared" ca="1" si="9"/>
        <v>5980.0138113972835</v>
      </c>
      <c r="M23" s="759">
        <f>HLOOKUP($B18,'Revenue Requirement'!$A$2:$I$32,31,FALSE)</f>
        <v>150226.47815209487</v>
      </c>
      <c r="N23" s="759">
        <f t="shared" ca="1" si="6"/>
        <v>0</v>
      </c>
      <c r="O23" s="866" t="s">
        <v>717</v>
      </c>
      <c r="P23" s="285"/>
    </row>
    <row r="24" spans="1:18" ht="15">
      <c r="A24" s="746" t="str">
        <f t="shared" si="7"/>
        <v xml:space="preserve"> </v>
      </c>
      <c r="B24" s="873" t="s">
        <v>285</v>
      </c>
      <c r="D24" s="864"/>
      <c r="E24" s="285">
        <f ca="1">SUM(E19:E23)</f>
        <v>1715706.0130984646</v>
      </c>
      <c r="F24" s="285">
        <f ca="1">SUM(F19:F23)</f>
        <v>24658.125431102737</v>
      </c>
      <c r="G24" s="285">
        <f t="shared" ref="G24:L24" ca="1" si="10">SUM(G19:G23)</f>
        <v>1139188.7772326213</v>
      </c>
      <c r="H24" s="285">
        <f t="shared" ca="1" si="10"/>
        <v>132945.46935993331</v>
      </c>
      <c r="I24" s="285">
        <f t="shared" ca="1" si="10"/>
        <v>13624.079955827661</v>
      </c>
      <c r="J24" s="285">
        <f t="shared" ca="1" si="10"/>
        <v>5017.4354765130938</v>
      </c>
      <c r="K24" s="285">
        <f t="shared" ca="1" si="10"/>
        <v>1355.0308858744204</v>
      </c>
      <c r="L24" s="285">
        <f t="shared" ca="1" si="10"/>
        <v>398917.09475659224</v>
      </c>
      <c r="M24" s="285">
        <f>HLOOKUP($B18,'Revenue Requirement'!$A$2:$I$34,33,FALSE)</f>
        <v>1715706.0117819167</v>
      </c>
      <c r="N24" s="285">
        <f t="shared" ca="1" si="6"/>
        <v>-1.3165478594601154E-3</v>
      </c>
      <c r="P24" s="285"/>
    </row>
    <row r="25" spans="1:18" ht="15">
      <c r="B25" s="875"/>
      <c r="C25" s="875"/>
      <c r="D25" s="875"/>
      <c r="E25" s="875"/>
      <c r="F25" s="875"/>
      <c r="G25" s="875"/>
      <c r="H25" s="875"/>
      <c r="I25" s="875"/>
      <c r="J25" s="875"/>
      <c r="K25" s="875"/>
      <c r="L25" s="875"/>
      <c r="M25" s="875"/>
      <c r="N25" s="875"/>
      <c r="P25" s="285"/>
    </row>
    <row r="26" spans="1:18" ht="15">
      <c r="A26" s="746" t="str">
        <f t="shared" si="7"/>
        <v xml:space="preserve"> </v>
      </c>
      <c r="B26" s="872">
        <f>B18+1</f>
        <v>2028</v>
      </c>
      <c r="C26" s="993" t="s">
        <v>282</v>
      </c>
      <c r="D26" s="993"/>
      <c r="E26" s="759"/>
      <c r="F26" s="759"/>
      <c r="G26" s="759"/>
      <c r="H26" s="759"/>
      <c r="I26" s="759"/>
      <c r="J26" s="759"/>
      <c r="K26" s="759"/>
      <c r="L26" s="759"/>
      <c r="M26" s="759"/>
      <c r="N26" s="759"/>
      <c r="P26" s="285"/>
    </row>
    <row r="27" spans="1:18">
      <c r="A27" s="746" t="str">
        <f t="shared" si="7"/>
        <v>Total O&amp;M</v>
      </c>
      <c r="B27" s="817" t="s">
        <v>283</v>
      </c>
      <c r="D27" s="864"/>
      <c r="E27" s="285">
        <f ca="1">SUM(F27:L27)</f>
        <v>818143.52504000021</v>
      </c>
      <c r="F27" s="285">
        <f ca="1">VLOOKUP($A27,INDIRECT("'"&amp; RIGHT($B$26,2) &amp; " Seg Dev'!"&amp;"a:x"),MATCH(F$9,INDIRECT("'"&amp; RIGHT($B$26,2) &amp; " Seg Dev'!"&amp;"a12:x12"),0),0)</f>
        <v>13383.870758050505</v>
      </c>
      <c r="G27" s="285">
        <f t="shared" ref="G27:L27" ca="1" si="11">VLOOKUP($A27,INDIRECT("'"&amp; RIGHT($B$26,2) &amp; " Seg Dev'!"&amp;"a:x"),MATCH(G$9,INDIRECT("'"&amp; RIGHT($B$26,2) &amp; " Seg Dev'!"&amp;"a12:x12"),0),0)</f>
        <v>513471.92487058887</v>
      </c>
      <c r="H27" s="285">
        <f t="shared" ca="1" si="11"/>
        <v>70534.697156576032</v>
      </c>
      <c r="I27" s="285">
        <f t="shared" ca="1" si="11"/>
        <v>6751.1371846705042</v>
      </c>
      <c r="J27" s="285">
        <f t="shared" ca="1" si="11"/>
        <v>3519.8138110469376</v>
      </c>
      <c r="K27" s="285">
        <f t="shared" ca="1" si="11"/>
        <v>866.75912086583321</v>
      </c>
      <c r="L27" s="285">
        <f t="shared" ca="1" si="11"/>
        <v>209615.3221382015</v>
      </c>
      <c r="M27" s="285">
        <f>SUM(HLOOKUP($B26,'Revenue Requirement'!$A$2:$I$12,4,FALSE),HLOOKUP($B26,'Revenue Requirement'!$A$2:$I$12,5,FALSE),HLOOKUP($B26,'Revenue Requirement'!$A$2:$I$12,6,FALSE),HLOOKUP($B26,'Revenue Requirement'!$A$2:$I$12,8,FALSE),HLOOKUP($B26,'Revenue Requirement'!$A$2:$I$12,9,FALSE))</f>
        <v>818143.52503999998</v>
      </c>
      <c r="N27" s="285">
        <f t="shared" ref="N27:N32" ca="1" si="12">M27-E27</f>
        <v>0</v>
      </c>
      <c r="O27" s="866" t="s">
        <v>717</v>
      </c>
      <c r="P27" s="285"/>
      <c r="Q27" s="285"/>
    </row>
    <row r="28" spans="1:18">
      <c r="A28" s="746" t="str">
        <f t="shared" si="7"/>
        <v>TOTAL TRANS ACQ AND ANCILLARY</v>
      </c>
      <c r="B28" s="817" t="s">
        <v>284</v>
      </c>
      <c r="D28" s="816"/>
      <c r="E28" s="285">
        <f ca="1">SUM(F28:L28)</f>
        <v>146179.45645248369</v>
      </c>
      <c r="F28" s="285">
        <f ca="1">VLOOKUP($A28,INDIRECT("'"&amp; RIGHT($B26,2) &amp; " Seg Dev'!"&amp;"a:x"),MATCH(F$9,INDIRECT("'"&amp; RIGHT($B26,2) &amp; " Seg Dev'!"&amp;"a12:x12"),0),0)+VLOOKUP("EIM Unallocated Charges",INDIRECT("'"&amp; RIGHT($B26,2) &amp; " Seg Dev'!"&amp;"a:x"),MATCH(F$9,INDIRECT("'"&amp; RIGHT($B26,2) &amp; " Seg Dev'!"&amp;"a12:x12"),0),0)</f>
        <v>88.643579529467175</v>
      </c>
      <c r="G28" s="285">
        <f t="shared" ref="G28:L28" ca="1" si="13">VLOOKUP($A28,INDIRECT("'"&amp; RIGHT($B26,2) &amp; " Seg Dev'!"&amp;"a:x"),MATCH(G$9,INDIRECT("'"&amp; RIGHT($B26,2) &amp; " Seg Dev'!"&amp;"a12:x12"),0),0)+VLOOKUP("EIM Unallocated Charges",INDIRECT("'"&amp; RIGHT($B26,2) &amp; " Seg Dev'!"&amp;"a:x"),MATCH(G$9,INDIRECT("'"&amp; RIGHT($B26,2) &amp; " Seg Dev'!"&amp;"a12:x12"),0),0)</f>
        <v>15783.567260433132</v>
      </c>
      <c r="H28" s="285">
        <f t="shared" ca="1" si="13"/>
        <v>1950.595329882746</v>
      </c>
      <c r="I28" s="285">
        <f t="shared" ca="1" si="13"/>
        <v>42.650710362796858</v>
      </c>
      <c r="J28" s="285">
        <f t="shared" ca="1" si="13"/>
        <v>267.26997300378878</v>
      </c>
      <c r="K28" s="285">
        <f t="shared" ca="1" si="13"/>
        <v>6.7221515575073889</v>
      </c>
      <c r="L28" s="285">
        <f t="shared" ca="1" si="13"/>
        <v>128040.00744771425</v>
      </c>
      <c r="M28" s="285">
        <f>HLOOKUP($B26,'Revenue Requirement'!$A$2:$I$12,7,FALSE)</f>
        <v>146179.45513593568</v>
      </c>
      <c r="N28" s="759">
        <f t="shared" ca="1" si="12"/>
        <v>-1.3165480049792677E-3</v>
      </c>
      <c r="O28" s="866" t="s">
        <v>717</v>
      </c>
      <c r="P28" s="285"/>
    </row>
    <row r="29" spans="1:18">
      <c r="A29" s="746" t="str">
        <f t="shared" si="7"/>
        <v>TOTAL DEPRECIATION EXPENSE</v>
      </c>
      <c r="B29" s="817" t="s">
        <v>189</v>
      </c>
      <c r="D29" s="816"/>
      <c r="E29" s="285">
        <f ca="1">SUM(F29:L29)</f>
        <v>431924.68447867892</v>
      </c>
      <c r="F29" s="285">
        <f ca="1">VLOOKUP($A29,INDIRECT("'"&amp; RIGHT($B$26,2) &amp; " Seg Dev'!"&amp;"a:x"),MATCH(F$9,INDIRECT("'"&amp; RIGHT($B$26,2) &amp; " Seg Dev'!"&amp;"a12:x12"),0),0)</f>
        <v>6496.4162675017624</v>
      </c>
      <c r="G29" s="285">
        <f t="shared" ref="G29:L31" ca="1" si="14">VLOOKUP($A29,INDIRECT("'"&amp; RIGHT($B$26,2) &amp; " Seg Dev'!"&amp;"a:x"),MATCH(G$9,INDIRECT("'"&amp; RIGHT($B$26,2) &amp; " Seg Dev'!"&amp;"a12:x12"),0),0)</f>
        <v>327931.46555365046</v>
      </c>
      <c r="H29" s="285">
        <f t="shared" ca="1" si="14"/>
        <v>36769.438097528895</v>
      </c>
      <c r="I29" s="285">
        <f t="shared" ca="1" si="14"/>
        <v>4201.1810461340501</v>
      </c>
      <c r="J29" s="285">
        <f t="shared" ca="1" si="14"/>
        <v>892.29827651938785</v>
      </c>
      <c r="K29" s="285">
        <f t="shared" ca="1" si="14"/>
        <v>297.40907793176848</v>
      </c>
      <c r="L29" s="285">
        <f t="shared" ca="1" si="14"/>
        <v>55336.476159412603</v>
      </c>
      <c r="M29" s="285">
        <f>HLOOKUP($B26,'Revenue Requirement'!$A$2:$I$12,10,FALSE)</f>
        <v>431924.68447867892</v>
      </c>
      <c r="N29" s="285">
        <f t="shared" ca="1" si="12"/>
        <v>0</v>
      </c>
      <c r="O29" s="866" t="s">
        <v>717</v>
      </c>
      <c r="P29" s="285"/>
      <c r="Q29" s="759"/>
      <c r="R29" s="759"/>
    </row>
    <row r="30" spans="1:18">
      <c r="A30" s="746" t="str">
        <f t="shared" si="7"/>
        <v>TOTAL NET INTEREST EXPENSE</v>
      </c>
      <c r="B30" s="817" t="s">
        <v>89</v>
      </c>
      <c r="D30" s="864"/>
      <c r="E30" s="285">
        <f ca="1">SUM(F30:L30)</f>
        <v>281056.30317079922</v>
      </c>
      <c r="F30" s="285">
        <f ca="1">VLOOKUP($A30,INDIRECT("'"&amp; RIGHT($B$26,2) &amp; " Seg Dev'!"&amp;"a:x"),MATCH(F$9,INDIRECT("'"&amp; RIGHT($B$26,2) &amp; " Seg Dev'!"&amp;"a12:x12"),0),0)</f>
        <v>4028.0204395912087</v>
      </c>
      <c r="G30" s="285">
        <f t="shared" ca="1" si="14"/>
        <v>234493.52602178662</v>
      </c>
      <c r="H30" s="285">
        <f t="shared" ca="1" si="14"/>
        <v>20573.892466921043</v>
      </c>
      <c r="I30" s="285">
        <f t="shared" ca="1" si="14"/>
        <v>2199.6844920116919</v>
      </c>
      <c r="J30" s="285">
        <f t="shared" ca="1" si="14"/>
        <v>409.5049733973737</v>
      </c>
      <c r="K30" s="285">
        <f t="shared" ca="1" si="14"/>
        <v>174.57821926536568</v>
      </c>
      <c r="L30" s="285">
        <f t="shared" ca="1" si="14"/>
        <v>19177.096557825895</v>
      </c>
      <c r="M30" s="759">
        <f>HLOOKUP($B26,'Revenue Requirement'!$A$2:$I$26,25,FALSE)</f>
        <v>281056.30317079922</v>
      </c>
      <c r="N30" s="759">
        <f t="shared" ca="1" si="12"/>
        <v>0</v>
      </c>
      <c r="O30" s="866" t="s">
        <v>717</v>
      </c>
      <c r="P30" s="285"/>
      <c r="Q30" s="759"/>
    </row>
    <row r="31" spans="1:18">
      <c r="A31" s="746" t="str">
        <f t="shared" si="7"/>
        <v>TOTAL MINIMUM REQUIRED NET REVENUE</v>
      </c>
      <c r="B31" s="817" t="s">
        <v>265</v>
      </c>
      <c r="D31" s="864"/>
      <c r="E31" s="285">
        <f ca="1">SUM(F31:L31)</f>
        <v>172910.78815747864</v>
      </c>
      <c r="F31" s="285">
        <f ca="1">VLOOKUP($A31,INDIRECT("'"&amp; RIGHT($B$26,2) &amp; " Seg Dev'!"&amp;"a:x"),MATCH(F$9,INDIRECT("'"&amp; RIGHT($B$26,2) &amp; " Seg Dev'!"&amp;"a12:x12"),0),0)</f>
        <v>1785.3319067997443</v>
      </c>
      <c r="G31" s="285">
        <f t="shared" ca="1" si="14"/>
        <v>152272.85621049607</v>
      </c>
      <c r="H31" s="285">
        <f t="shared" ca="1" si="14"/>
        <v>9118.92757723662</v>
      </c>
      <c r="I31" s="285">
        <f t="shared" ca="1" si="14"/>
        <v>974.96201108642254</v>
      </c>
      <c r="J31" s="285">
        <f t="shared" ca="1" si="14"/>
        <v>181.50411746016587</v>
      </c>
      <c r="K31" s="285">
        <f t="shared" ca="1" si="14"/>
        <v>77.377975052770736</v>
      </c>
      <c r="L31" s="285">
        <f t="shared" ca="1" si="14"/>
        <v>8499.8283593468477</v>
      </c>
      <c r="M31" s="759">
        <f>HLOOKUP($B26,'Revenue Requirement'!$A$2:$I$32,31,FALSE)</f>
        <v>172910.78815747867</v>
      </c>
      <c r="N31" s="759">
        <f t="shared" ca="1" si="12"/>
        <v>0</v>
      </c>
      <c r="O31" s="866" t="s">
        <v>717</v>
      </c>
      <c r="P31" s="285"/>
    </row>
    <row r="32" spans="1:18" ht="15">
      <c r="A32" s="746" t="str">
        <f t="shared" si="7"/>
        <v xml:space="preserve"> </v>
      </c>
      <c r="B32" s="873" t="s">
        <v>285</v>
      </c>
      <c r="D32" s="864"/>
      <c r="E32" s="285">
        <f ca="1">SUM(E27:E31)</f>
        <v>1850214.7572994407</v>
      </c>
      <c r="F32" s="285">
        <f ca="1">SUM(F27:F31)</f>
        <v>25782.282951472687</v>
      </c>
      <c r="G32" s="285">
        <f t="shared" ref="G32:L32" ca="1" si="15">SUM(G27:G31)</f>
        <v>1243953.339916955</v>
      </c>
      <c r="H32" s="285">
        <f t="shared" ca="1" si="15"/>
        <v>138947.55062814534</v>
      </c>
      <c r="I32" s="285">
        <f t="shared" ca="1" si="15"/>
        <v>14169.615444265466</v>
      </c>
      <c r="J32" s="285">
        <f t="shared" ca="1" si="15"/>
        <v>5270.3911514276542</v>
      </c>
      <c r="K32" s="285">
        <f t="shared" ca="1" si="15"/>
        <v>1422.8465446732457</v>
      </c>
      <c r="L32" s="285">
        <f t="shared" ca="1" si="15"/>
        <v>420668.73066250113</v>
      </c>
      <c r="M32" s="285">
        <f>HLOOKUP($B26,'Revenue Requirement'!$A$2:$I$34,33,FALSE)</f>
        <v>1850214.7559828926</v>
      </c>
      <c r="N32" s="285">
        <f t="shared" ca="1" si="12"/>
        <v>-1.3165480922907591E-3</v>
      </c>
      <c r="P32" s="285"/>
      <c r="Q32" s="759"/>
    </row>
    <row r="33" spans="1:16">
      <c r="A33" s="746" t="str">
        <f t="shared" si="7"/>
        <v xml:space="preserve"> </v>
      </c>
      <c r="B33" s="818"/>
      <c r="C33" s="816"/>
      <c r="D33" s="865"/>
      <c r="E33" s="760"/>
      <c r="F33" s="760"/>
      <c r="G33" s="760"/>
      <c r="H33" s="760"/>
      <c r="I33" s="760"/>
      <c r="J33" s="760"/>
      <c r="K33" s="760"/>
      <c r="L33" s="760"/>
      <c r="M33" s="760"/>
      <c r="N33" s="760"/>
      <c r="P33" s="285"/>
    </row>
    <row r="34" spans="1:16">
      <c r="A34" s="746" t="e">
        <f>IF(#REF!=0," ",#REF!)</f>
        <v>#REF!</v>
      </c>
      <c r="B34" s="818"/>
      <c r="C34" s="816"/>
      <c r="D34" s="865"/>
      <c r="E34" s="760"/>
      <c r="F34" s="760"/>
      <c r="G34" s="760"/>
      <c r="H34" s="760"/>
      <c r="I34" s="760"/>
      <c r="J34" s="760"/>
      <c r="K34" s="760"/>
      <c r="L34" s="760"/>
      <c r="M34" s="760"/>
      <c r="N34" s="760"/>
      <c r="P34" s="285"/>
    </row>
  </sheetData>
  <customSheetViews>
    <customSheetView guid="{2226E858-00AE-4A92-8CF6-5B54D2FA62D4}" showPageBreaks="1" fitToPage="1">
      <selection activeCell="B6" sqref="B6"/>
      <pageMargins left="0.7" right="0.7" top="0.75" bottom="0.75" header="0.3" footer="0.3"/>
      <pageSetup scale="34" orientation="portrait" r:id="rId1"/>
    </customSheetView>
  </customSheetViews>
  <mergeCells count="13">
    <mergeCell ref="C26:D26"/>
    <mergeCell ref="C18:D18"/>
    <mergeCell ref="C10:D10"/>
    <mergeCell ref="B1:N1"/>
    <mergeCell ref="E9:E10"/>
    <mergeCell ref="F9:F10"/>
    <mergeCell ref="G9:G10"/>
    <mergeCell ref="H9:H10"/>
    <mergeCell ref="I9:I10"/>
    <mergeCell ref="J9:J10"/>
    <mergeCell ref="K9:K10"/>
    <mergeCell ref="L9:L10"/>
    <mergeCell ref="M9:N10"/>
  </mergeCells>
  <pageMargins left="0.7" right="0.7" top="0.75" bottom="0.75" header="0.3" footer="0.3"/>
  <pageSetup scale="36" orientation="portrait" r:id="rId2"/>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codeName="Sheet16">
    <tabColor rgb="FFCCFF66"/>
    <pageSetUpPr autoPageBreaks="0" fitToPage="1"/>
  </sheetPr>
  <dimension ref="A1:M77"/>
  <sheetViews>
    <sheetView topLeftCell="A3" workbookViewId="0">
      <pane xSplit="2" ySplit="10" topLeftCell="C27" activePane="bottomRight" state="frozen"/>
      <selection activeCell="A3" sqref="A3"/>
      <selection pane="topRight" activeCell="C3" sqref="C3"/>
      <selection pane="bottomLeft" activeCell="A13" sqref="A13"/>
      <selection pane="bottomRight" activeCell="E37" sqref="E37"/>
    </sheetView>
  </sheetViews>
  <sheetFormatPr defaultColWidth="9.140625" defaultRowHeight="14.25" outlineLevelRow="1"/>
  <cols>
    <col min="1" max="2" width="9.140625" style="90"/>
    <col min="3" max="3" width="38.28515625" style="90" customWidth="1"/>
    <col min="4" max="6" width="15.7109375" style="90" customWidth="1"/>
    <col min="7" max="7" width="19.42578125" style="90" customWidth="1"/>
    <col min="8" max="11" width="15.7109375" style="90" customWidth="1"/>
    <col min="12" max="16384" width="9.140625" style="90"/>
  </cols>
  <sheetData>
    <row r="1" spans="1:13" ht="18" hidden="1" outlineLevel="1">
      <c r="A1" s="996" t="s">
        <v>296</v>
      </c>
      <c r="B1" s="997"/>
      <c r="C1" s="997"/>
      <c r="D1" s="997"/>
      <c r="E1" s="997"/>
      <c r="F1" s="997"/>
      <c r="G1" s="997"/>
      <c r="H1" s="997"/>
      <c r="I1" s="997"/>
      <c r="J1" s="997"/>
      <c r="K1" s="998"/>
    </row>
    <row r="2" spans="1:13" ht="18" hidden="1" outlineLevel="1">
      <c r="A2" s="407"/>
      <c r="B2" s="125" t="s">
        <v>115</v>
      </c>
      <c r="C2" s="91"/>
      <c r="D2" s="3"/>
      <c r="E2" s="94"/>
      <c r="F2" s="147" t="s">
        <v>397</v>
      </c>
      <c r="G2" s="148"/>
      <c r="H2" s="138"/>
      <c r="I2" s="147" t="s">
        <v>399</v>
      </c>
      <c r="J2" s="139"/>
      <c r="K2" s="408"/>
    </row>
    <row r="3" spans="1:13" ht="18" hidden="1" outlineLevel="1">
      <c r="A3" s="407"/>
      <c r="B3" s="125" t="s">
        <v>73</v>
      </c>
      <c r="C3" s="93" t="s">
        <v>751</v>
      </c>
      <c r="D3" s="3"/>
      <c r="E3" s="94"/>
      <c r="F3" s="150" t="s">
        <v>398</v>
      </c>
      <c r="G3" s="151" t="s">
        <v>235</v>
      </c>
      <c r="H3" s="138"/>
      <c r="I3" s="152" t="s">
        <v>238</v>
      </c>
      <c r="J3" s="138"/>
      <c r="K3" s="408"/>
    </row>
    <row r="4" spans="1:13" ht="18" hidden="1" customHeight="1" outlineLevel="1">
      <c r="A4" s="407"/>
      <c r="B4" s="125" t="s">
        <v>10</v>
      </c>
      <c r="C4" s="153"/>
      <c r="D4" s="3"/>
      <c r="E4" s="94"/>
      <c r="F4" s="144"/>
      <c r="G4" s="331" t="s">
        <v>750</v>
      </c>
      <c r="H4" s="138"/>
      <c r="I4" s="155" t="s">
        <v>87</v>
      </c>
      <c r="J4" s="3"/>
      <c r="K4" s="408"/>
    </row>
    <row r="5" spans="1:13" ht="18" hidden="1" customHeight="1" outlineLevel="1" thickBot="1">
      <c r="A5" s="407"/>
      <c r="B5" s="126" t="s">
        <v>9</v>
      </c>
      <c r="C5" s="153" t="e">
        <f>'Revenue Requirement'!#REF!</f>
        <v>#REF!</v>
      </c>
      <c r="D5" s="94"/>
      <c r="F5" s="144" t="str">
        <f>IF('20 Seg Dev'!F5=0," ",'20 Seg Dev'!F5)</f>
        <v xml:space="preserve"> </v>
      </c>
      <c r="G5" s="605" t="s">
        <v>702</v>
      </c>
      <c r="H5" s="138"/>
      <c r="I5" s="141" t="s">
        <v>390</v>
      </c>
      <c r="J5" s="94"/>
      <c r="K5" s="408"/>
    </row>
    <row r="6" spans="1:13" ht="15.75" hidden="1" outlineLevel="1" thickBot="1">
      <c r="A6" s="407"/>
      <c r="B6" s="126" t="s">
        <v>386</v>
      </c>
      <c r="C6" s="93"/>
      <c r="D6" s="94"/>
      <c r="E6" s="157"/>
      <c r="F6" s="157"/>
      <c r="G6" s="706" t="s">
        <v>465</v>
      </c>
      <c r="H6" s="138"/>
      <c r="I6" s="159" t="s">
        <v>387</v>
      </c>
      <c r="J6" s="94"/>
      <c r="K6" s="408"/>
    </row>
    <row r="7" spans="1:13" ht="15" hidden="1" outlineLevel="1">
      <c r="A7" s="407"/>
      <c r="B7" s="126" t="s">
        <v>385</v>
      </c>
      <c r="C7" s="93"/>
      <c r="D7" s="94"/>
      <c r="E7" s="157"/>
      <c r="F7" s="616" t="s">
        <v>469</v>
      </c>
      <c r="G7" s="613" t="s">
        <v>703</v>
      </c>
      <c r="H7" s="138"/>
      <c r="I7" s="140"/>
      <c r="J7" s="94"/>
      <c r="K7" s="408"/>
      <c r="M7" s="724"/>
    </row>
    <row r="8" spans="1:13" ht="15" hidden="1" outlineLevel="1">
      <c r="A8" s="407"/>
      <c r="B8" s="126" t="s">
        <v>281</v>
      </c>
      <c r="C8" s="160">
        <v>2024</v>
      </c>
      <c r="D8" s="94"/>
      <c r="E8" s="92"/>
      <c r="F8" s="92"/>
      <c r="G8" s="157"/>
      <c r="H8" s="223"/>
      <c r="I8" s="92"/>
      <c r="J8" s="92"/>
      <c r="K8" s="408"/>
    </row>
    <row r="9" spans="1:13" ht="15.75" hidden="1" outlineLevel="1" thickBot="1">
      <c r="A9" s="407"/>
      <c r="B9" s="126"/>
      <c r="C9" s="129"/>
      <c r="D9" s="94"/>
      <c r="E9" s="92"/>
      <c r="F9" s="92"/>
      <c r="G9" s="92"/>
      <c r="H9" s="92"/>
      <c r="I9" s="92"/>
      <c r="J9" s="92"/>
      <c r="K9" s="408"/>
    </row>
    <row r="10" spans="1:13" ht="15.75" hidden="1" outlineLevel="1" thickBot="1">
      <c r="A10" s="999"/>
      <c r="B10" s="983"/>
      <c r="C10" s="142"/>
      <c r="D10" s="113"/>
      <c r="E10" s="582" t="s">
        <v>700</v>
      </c>
      <c r="F10" s="113"/>
      <c r="G10" s="620" t="s">
        <v>705</v>
      </c>
      <c r="H10" s="620"/>
      <c r="I10" s="113"/>
      <c r="J10" s="113"/>
      <c r="K10" s="409"/>
    </row>
    <row r="11" spans="1:13" ht="15" hidden="1" outlineLevel="1" thickBot="1">
      <c r="A11" s="136"/>
      <c r="B11" s="94"/>
      <c r="C11" s="94"/>
      <c r="D11" s="94"/>
      <c r="E11" s="94"/>
      <c r="F11" s="94"/>
      <c r="G11" s="94"/>
      <c r="H11" s="94"/>
      <c r="I11" s="94"/>
      <c r="J11" s="94"/>
      <c r="K11" s="95"/>
    </row>
    <row r="12" spans="1:13" ht="29.25" customHeight="1" collapsed="1">
      <c r="A12" s="984">
        <f>+C8</f>
        <v>2024</v>
      </c>
      <c r="B12" s="985"/>
      <c r="C12" s="985"/>
      <c r="D12" s="161" t="s">
        <v>170</v>
      </c>
      <c r="E12" s="162" t="s">
        <v>171</v>
      </c>
      <c r="F12" s="162" t="s">
        <v>172</v>
      </c>
      <c r="G12" s="162" t="s">
        <v>173</v>
      </c>
      <c r="H12" s="162" t="s">
        <v>174</v>
      </c>
      <c r="I12" s="162" t="s">
        <v>175</v>
      </c>
      <c r="J12" s="162" t="s">
        <v>176</v>
      </c>
      <c r="K12" s="163" t="s">
        <v>177</v>
      </c>
    </row>
    <row r="13" spans="1:13" ht="15.75" thickBot="1">
      <c r="A13" s="165" t="s">
        <v>272</v>
      </c>
      <c r="B13" s="128"/>
      <c r="C13" s="128"/>
      <c r="D13" s="127"/>
      <c r="E13" s="127"/>
      <c r="F13" s="127"/>
      <c r="G13" s="127"/>
      <c r="H13" s="127"/>
      <c r="I13" s="127"/>
      <c r="J13" s="127"/>
      <c r="K13" s="166"/>
    </row>
    <row r="14" spans="1:13" ht="15.75" thickBot="1">
      <c r="A14" s="167" t="s">
        <v>178</v>
      </c>
      <c r="B14" s="168"/>
      <c r="C14" s="168"/>
      <c r="D14" s="169">
        <f>SUM(E14:K14)</f>
        <v>6908740.1936205393</v>
      </c>
      <c r="E14" s="578">
        <v>153583.38259190012</v>
      </c>
      <c r="F14" s="579">
        <v>5638452.7879295573</v>
      </c>
      <c r="G14" s="579">
        <v>778567.93920513289</v>
      </c>
      <c r="H14" s="579">
        <v>87144.483019719555</v>
      </c>
      <c r="I14" s="579">
        <v>15429.887276241667</v>
      </c>
      <c r="J14" s="579">
        <v>6564.4802944252906</v>
      </c>
      <c r="K14" s="580">
        <v>228997.23330356149</v>
      </c>
    </row>
    <row r="15" spans="1:13">
      <c r="A15" s="171" t="s">
        <v>237</v>
      </c>
      <c r="B15" s="172"/>
      <c r="C15" s="172"/>
      <c r="D15" s="173">
        <f>SUM(E15:K15)</f>
        <v>1</v>
      </c>
      <c r="E15" s="174">
        <f>E14/D14</f>
        <v>2.2230302238564054E-2</v>
      </c>
      <c r="F15" s="174">
        <f>F14/D14</f>
        <v>0.81613327899289767</v>
      </c>
      <c r="G15" s="174">
        <f>G14/D14</f>
        <v>0.1126931853544087</v>
      </c>
      <c r="H15" s="174">
        <f>H14/D14</f>
        <v>1.2613657566713522E-2</v>
      </c>
      <c r="I15" s="174">
        <f>I14/D14</f>
        <v>2.2333865283412262E-3</v>
      </c>
      <c r="J15" s="174">
        <f>J14/D14</f>
        <v>9.501703799032514E-4</v>
      </c>
      <c r="K15" s="175">
        <f>K14/D14</f>
        <v>3.3146018939171462E-2</v>
      </c>
    </row>
    <row r="16" spans="1:13" ht="15" thickBot="1">
      <c r="A16" s="176" t="s">
        <v>81</v>
      </c>
      <c r="B16" s="172"/>
      <c r="C16" s="172"/>
      <c r="D16" s="97"/>
      <c r="E16" s="97"/>
      <c r="F16" s="97"/>
      <c r="G16" s="97"/>
      <c r="H16" s="97"/>
      <c r="I16" s="97"/>
      <c r="J16" s="97"/>
      <c r="K16" s="98"/>
    </row>
    <row r="17" spans="1:12" ht="15" thickBot="1">
      <c r="A17" s="167"/>
      <c r="B17" s="172" t="s">
        <v>499</v>
      </c>
      <c r="C17" s="172"/>
      <c r="D17" s="169">
        <f>SUM(E17:K17)</f>
        <v>7558.7265837006889</v>
      </c>
      <c r="E17" s="100"/>
      <c r="F17" s="597">
        <f>HLOOKUP($A$12,'Repayment Inputs'!$B$2:$J$24,19,FALSE)</f>
        <v>7558.7265837006889</v>
      </c>
      <c r="G17" s="224"/>
      <c r="H17" s="100"/>
      <c r="I17" s="100"/>
      <c r="J17" s="100"/>
      <c r="K17" s="99"/>
    </row>
    <row r="18" spans="1:12">
      <c r="A18" s="167"/>
      <c r="B18" s="172" t="s">
        <v>500</v>
      </c>
      <c r="C18" s="172"/>
      <c r="D18" s="169">
        <f>SUM(E18:K18)</f>
        <v>0</v>
      </c>
      <c r="E18" s="100"/>
      <c r="F18" s="101">
        <f>-(HLOOKUP($A$12,AFUDC!$I$13:$AJ$38,25,FALSE))</f>
        <v>0</v>
      </c>
      <c r="G18" s="100"/>
      <c r="H18" s="100"/>
      <c r="I18" s="100"/>
      <c r="J18" s="100"/>
      <c r="K18" s="99"/>
    </row>
    <row r="19" spans="1:12" ht="15" thickBot="1">
      <c r="A19" s="167"/>
      <c r="B19" s="172" t="s">
        <v>496</v>
      </c>
      <c r="C19" s="172"/>
      <c r="D19" s="169">
        <f>SUM(E19:K19)</f>
        <v>7558.7265837006889</v>
      </c>
      <c r="E19" s="100"/>
      <c r="F19" s="169">
        <f>SUM(F17:F18)</f>
        <v>7558.7265837006889</v>
      </c>
      <c r="G19" s="100"/>
      <c r="H19" s="100"/>
      <c r="I19" s="100"/>
      <c r="J19" s="100"/>
      <c r="K19" s="99"/>
    </row>
    <row r="20" spans="1:12"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2" ht="15.75" thickBot="1">
      <c r="A21" s="179" t="s">
        <v>180</v>
      </c>
      <c r="B21" s="168"/>
      <c r="C21" s="168"/>
      <c r="D21" s="180" t="e">
        <f t="shared" ref="D21:K21" si="0">D20+D19</f>
        <v>#N/A</v>
      </c>
      <c r="E21" s="617" t="e">
        <f t="shared" si="0"/>
        <v>#N/A</v>
      </c>
      <c r="F21" s="618" t="e">
        <f t="shared" si="0"/>
        <v>#N/A</v>
      </c>
      <c r="G21" s="618" t="e">
        <f t="shared" si="0"/>
        <v>#N/A</v>
      </c>
      <c r="H21" s="618" t="e">
        <f t="shared" si="0"/>
        <v>#N/A</v>
      </c>
      <c r="I21" s="618" t="e">
        <f t="shared" si="0"/>
        <v>#N/A</v>
      </c>
      <c r="J21" s="618" t="e">
        <f t="shared" si="0"/>
        <v>#N/A</v>
      </c>
      <c r="K21" s="625" t="e">
        <f t="shared" si="0"/>
        <v>#N/A</v>
      </c>
      <c r="L21" s="286" t="s">
        <v>708</v>
      </c>
    </row>
    <row r="22" spans="1:12" ht="15" thickBot="1">
      <c r="A22" s="176" t="s">
        <v>184</v>
      </c>
      <c r="B22" s="172"/>
      <c r="C22" s="172"/>
      <c r="D22" s="97"/>
      <c r="E22" s="97"/>
      <c r="F22" s="97"/>
      <c r="G22" s="97"/>
      <c r="H22" s="97"/>
      <c r="I22" s="97"/>
      <c r="J22" s="97"/>
      <c r="K22" s="98"/>
    </row>
    <row r="23" spans="1:12" ht="15" thickBot="1">
      <c r="A23" s="167"/>
      <c r="B23" s="172" t="s">
        <v>495</v>
      </c>
      <c r="C23" s="172"/>
      <c r="D23" s="97"/>
      <c r="E23" s="97"/>
      <c r="F23" s="597">
        <f>HLOOKUP($A$12,'Repayment Inputs'!$A$2:$J$43,38,FALSE)</f>
        <v>19849.163473109675</v>
      </c>
      <c r="G23" s="224"/>
      <c r="H23" s="97"/>
      <c r="I23" s="97"/>
      <c r="J23" s="97"/>
      <c r="K23" s="98"/>
    </row>
    <row r="24" spans="1:12" ht="15" thickBot="1">
      <c r="A24" s="167"/>
      <c r="B24" s="172" t="s">
        <v>496</v>
      </c>
      <c r="C24" s="172"/>
      <c r="D24" s="97"/>
      <c r="E24" s="97"/>
      <c r="F24" s="182">
        <f>F19</f>
        <v>7558.7265837006889</v>
      </c>
      <c r="G24" s="107"/>
      <c r="H24" s="97"/>
      <c r="I24" s="97"/>
      <c r="J24" s="97"/>
      <c r="K24" s="98"/>
    </row>
    <row r="25" spans="1:12" ht="15" thickBot="1">
      <c r="A25" s="167"/>
      <c r="B25" s="172" t="s">
        <v>497</v>
      </c>
      <c r="C25" s="172"/>
      <c r="D25" s="97"/>
      <c r="E25" s="97"/>
      <c r="F25" s="581">
        <v>11286.889087545353</v>
      </c>
      <c r="G25" s="225"/>
      <c r="H25" s="97"/>
      <c r="I25" s="97"/>
      <c r="J25" s="97"/>
      <c r="K25" s="98"/>
    </row>
    <row r="26" spans="1:12" ht="15" thickBot="1">
      <c r="A26" s="167"/>
      <c r="B26" s="172" t="s">
        <v>498</v>
      </c>
      <c r="C26" s="172"/>
      <c r="D26" s="182">
        <f>F26</f>
        <v>1003.5478018636331</v>
      </c>
      <c r="E26" s="97"/>
      <c r="F26" s="182">
        <f>F23-F24-F25</f>
        <v>1003.5478018636331</v>
      </c>
      <c r="G26" s="107"/>
      <c r="H26" s="97"/>
      <c r="I26" s="97"/>
      <c r="J26" s="97"/>
      <c r="K26" s="98"/>
    </row>
    <row r="27" spans="1:12" ht="15" thickBot="1">
      <c r="A27" s="185" t="s">
        <v>481</v>
      </c>
      <c r="B27" s="172"/>
      <c r="C27" s="172"/>
      <c r="D27" s="596">
        <f>HLOOKUP($A$12,'Revenue Requirement'!$A$2:$I$32,31,FALSE)-$D$26</f>
        <v>-105983.69164728437</v>
      </c>
      <c r="E27" s="169">
        <f>D27*E15</f>
        <v>-2356.0494976779082</v>
      </c>
      <c r="F27" s="169">
        <f>D27*F15</f>
        <v>-86496.81778387037</v>
      </c>
      <c r="G27" s="169">
        <f>D27*G15</f>
        <v>-11943.639807351914</v>
      </c>
      <c r="H27" s="169">
        <f>D27*H15</f>
        <v>-1336.8419940950012</v>
      </c>
      <c r="I27" s="169">
        <f>D27*I15</f>
        <v>-236.70254914891547</v>
      </c>
      <c r="J27" s="169">
        <f>D27*J15</f>
        <v>-100.70256455604924</v>
      </c>
      <c r="K27" s="178">
        <f>D27*K15</f>
        <v>-3512.9374505841961</v>
      </c>
    </row>
    <row r="28" spans="1:12" ht="15.75" thickBot="1">
      <c r="A28" s="179" t="s">
        <v>185</v>
      </c>
      <c r="B28" s="172"/>
      <c r="C28" s="172"/>
      <c r="D28" s="180">
        <f t="shared" ref="D28:K28" si="1">D27+D26</f>
        <v>-104980.14384542074</v>
      </c>
      <c r="E28" s="617">
        <f t="shared" si="1"/>
        <v>-2356.0494976779082</v>
      </c>
      <c r="F28" s="618">
        <f t="shared" si="1"/>
        <v>-85493.269982006736</v>
      </c>
      <c r="G28" s="618">
        <f t="shared" si="1"/>
        <v>-11943.639807351914</v>
      </c>
      <c r="H28" s="618">
        <f t="shared" si="1"/>
        <v>-1336.8419940950012</v>
      </c>
      <c r="I28" s="618">
        <f t="shared" si="1"/>
        <v>-236.70254914891547</v>
      </c>
      <c r="J28" s="618">
        <f t="shared" si="1"/>
        <v>-100.70256455604924</v>
      </c>
      <c r="K28" s="625">
        <f t="shared" si="1"/>
        <v>-3512.9374505841961</v>
      </c>
      <c r="L28" s="286" t="s">
        <v>708</v>
      </c>
    </row>
    <row r="29" spans="1:12" ht="15.75" thickBot="1">
      <c r="A29" s="176" t="s">
        <v>189</v>
      </c>
      <c r="B29" s="172"/>
      <c r="C29" s="172"/>
      <c r="D29" s="122"/>
      <c r="E29" s="122"/>
      <c r="F29" s="122"/>
      <c r="G29" s="122"/>
      <c r="H29" s="122"/>
      <c r="I29" s="122"/>
      <c r="J29" s="122"/>
      <c r="K29" s="121"/>
    </row>
    <row r="30" spans="1:12" ht="15" thickBot="1">
      <c r="A30" s="186" t="s">
        <v>550</v>
      </c>
      <c r="B30" s="172"/>
      <c r="C30" s="172"/>
      <c r="D30" s="169">
        <f>SUM(E30:K30)</f>
        <v>286213.71375600004</v>
      </c>
      <c r="E30" s="583">
        <v>4807</v>
      </c>
      <c r="F30" s="584">
        <v>229645.71375600001</v>
      </c>
      <c r="G30" s="584">
        <v>27780</v>
      </c>
      <c r="H30" s="584">
        <v>3349</v>
      </c>
      <c r="I30" s="584">
        <v>448</v>
      </c>
      <c r="J30" s="584">
        <v>188</v>
      </c>
      <c r="K30" s="585">
        <v>19996</v>
      </c>
    </row>
    <row r="31" spans="1:12" ht="15" thickBot="1">
      <c r="A31" s="186" t="s">
        <v>186</v>
      </c>
      <c r="B31" s="172"/>
      <c r="C31" s="172"/>
      <c r="D31" s="188">
        <f>SUM(E31:K31)</f>
        <v>1</v>
      </c>
      <c r="E31" s="189">
        <f>E49/D49</f>
        <v>1.4782867897875161E-2</v>
      </c>
      <c r="F31" s="189">
        <f>F49/D49</f>
        <v>0.56714442121041808</v>
      </c>
      <c r="G31" s="189">
        <f>G49/D49</f>
        <v>7.7907589600347771E-2</v>
      </c>
      <c r="H31" s="189">
        <f>H49/D49</f>
        <v>7.4568240358556716E-3</v>
      </c>
      <c r="I31" s="189">
        <f>I49/D49</f>
        <v>3.8877349859737075E-3</v>
      </c>
      <c r="J31" s="189">
        <f>J49/D49</f>
        <v>9.5736022968772217E-4</v>
      </c>
      <c r="K31" s="190">
        <f>K49/D49</f>
        <v>0.32786320203984182</v>
      </c>
    </row>
    <row r="32" spans="1:12" ht="15" thickBot="1">
      <c r="A32" s="186" t="s">
        <v>187</v>
      </c>
      <c r="B32" s="172"/>
      <c r="C32" s="172"/>
      <c r="D32" s="586">
        <v>73202</v>
      </c>
      <c r="E32" s="169">
        <f>D32*E31</f>
        <v>1082.1354958602576</v>
      </c>
      <c r="F32" s="169">
        <f>D32*F31</f>
        <v>41516.105921445022</v>
      </c>
      <c r="G32" s="169">
        <f>D32*G31</f>
        <v>5702.9913739246576</v>
      </c>
      <c r="H32" s="169">
        <f>D32*H31</f>
        <v>545.85443307270691</v>
      </c>
      <c r="I32" s="169">
        <f>D32*I31</f>
        <v>284.58997644324734</v>
      </c>
      <c r="J32" s="169">
        <f>D32*J31</f>
        <v>70.080683533600634</v>
      </c>
      <c r="K32" s="178">
        <f>D32*K31</f>
        <v>24000.242115720499</v>
      </c>
    </row>
    <row r="33" spans="1:12" ht="15.75" thickBot="1">
      <c r="A33" s="179" t="s">
        <v>188</v>
      </c>
      <c r="B33" s="172"/>
      <c r="C33" s="172"/>
      <c r="D33" s="180">
        <f>SUM(E33:K33)</f>
        <v>359415.71375600004</v>
      </c>
      <c r="E33" s="617">
        <f t="shared" ref="E33:K33" si="2">E32+E30</f>
        <v>5889.1354958602578</v>
      </c>
      <c r="F33" s="618">
        <f t="shared" si="2"/>
        <v>271161.81967744505</v>
      </c>
      <c r="G33" s="618">
        <f t="shared" si="2"/>
        <v>33482.991373924655</v>
      </c>
      <c r="H33" s="618">
        <f t="shared" si="2"/>
        <v>3894.8544330727068</v>
      </c>
      <c r="I33" s="618">
        <f t="shared" si="2"/>
        <v>732.58997644324734</v>
      </c>
      <c r="J33" s="618">
        <f t="shared" si="2"/>
        <v>258.08068353360062</v>
      </c>
      <c r="K33" s="625">
        <f t="shared" si="2"/>
        <v>43996.242115720495</v>
      </c>
      <c r="L33" s="286" t="s">
        <v>708</v>
      </c>
    </row>
    <row r="34" spans="1:12" ht="9" customHeight="1">
      <c r="A34" s="167"/>
      <c r="B34" s="172"/>
      <c r="C34" s="172"/>
      <c r="D34" s="97"/>
      <c r="E34" s="97"/>
      <c r="F34" s="97"/>
      <c r="G34" s="97"/>
      <c r="H34" s="97"/>
      <c r="I34" s="97"/>
      <c r="J34" s="97"/>
      <c r="K34" s="98"/>
    </row>
    <row r="35" spans="1:12" ht="15">
      <c r="A35" s="165" t="s">
        <v>236</v>
      </c>
      <c r="B35" s="172"/>
      <c r="C35" s="172"/>
      <c r="D35" s="97"/>
      <c r="E35" s="97"/>
      <c r="F35" s="97"/>
      <c r="G35" s="97"/>
      <c r="H35" s="97"/>
      <c r="I35" s="97"/>
      <c r="J35" s="97"/>
      <c r="K35" s="98"/>
    </row>
    <row r="36" spans="1:12" ht="15" thickBot="1">
      <c r="A36" s="191" t="s">
        <v>520</v>
      </c>
      <c r="B36" s="172"/>
      <c r="C36" s="172"/>
      <c r="D36" s="97"/>
      <c r="E36" s="97"/>
      <c r="F36" s="97"/>
      <c r="G36" s="97"/>
      <c r="H36" s="97"/>
      <c r="I36" s="97"/>
      <c r="J36" s="97"/>
      <c r="K36" s="98"/>
    </row>
    <row r="37" spans="1:12">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2"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2" ht="15">
      <c r="A39" s="195" t="s">
        <v>301</v>
      </c>
      <c r="B39" s="168"/>
      <c r="C39" s="168"/>
      <c r="D39" s="193">
        <f>SUM(D37:D38)</f>
        <v>192019.62406142859</v>
      </c>
      <c r="E39" s="97"/>
      <c r="F39" s="97"/>
      <c r="G39" s="97"/>
      <c r="H39" s="97"/>
      <c r="I39" s="97"/>
      <c r="J39" s="97"/>
      <c r="K39" s="98"/>
    </row>
    <row r="40" spans="1:12" ht="15" thickBot="1">
      <c r="A40" s="196" t="s">
        <v>239</v>
      </c>
      <c r="B40" s="172"/>
      <c r="C40" s="172"/>
      <c r="D40" s="97"/>
      <c r="E40" s="97"/>
      <c r="F40" s="97"/>
      <c r="G40" s="97"/>
      <c r="H40" s="97"/>
      <c r="I40" s="97"/>
      <c r="J40" s="97"/>
      <c r="K40" s="98"/>
    </row>
    <row r="41" spans="1:12" ht="15" thickBot="1">
      <c r="A41" s="185" t="s">
        <v>240</v>
      </c>
      <c r="B41" s="172"/>
      <c r="C41" s="172"/>
      <c r="D41" s="588">
        <f>SUM((HLOOKUP($A$12,'Expense Input File'!$B$27:$L$70,3,FALSE)),(HLOOKUP($A$12,'Expense Input File'!$B$27:$L$70,4,FALSE)),(HLOOKUP($A$12,'Expense Input File'!$B$27:$L$70,5,FALSE)), (HLOOKUP($A$12,'Expense Input File'!$B$27:$L$70,6,FALSE)),(HLOOKUP($A$12,'Expense Input File'!$B$27:$L$70,7,FALSE)))-$K$41</f>
        <v>31041.493921000001</v>
      </c>
      <c r="E41" s="97"/>
      <c r="F41" s="588">
        <f>(HLOOKUP($A$12,'Expense Input File'!$A$27:$L$70,33,FALSE))</f>
        <v>0</v>
      </c>
      <c r="G41" s="97"/>
      <c r="H41" s="97"/>
      <c r="I41" s="97"/>
      <c r="J41" s="97"/>
      <c r="K41" s="588">
        <f>SUM((HLOOKUP($A$12,'Expense Input File'!$B$27:$L$70,3,FALSE)),(HLOOKUP($A$12,'Expense Input File'!$B$27:$L$70,4,FALSE)),(HLOOKUP($A$12,'Expense Input File'!$B$27:$L$70,5,FALSE)), (HLOOKUP($A$12,'Expense Input File'!$B$27:$L$70,6,FALSE)))-(HLOOKUP($A$12,'Expense Input File'!$A$27:$L$70,8,FALSE))</f>
        <v>78939.218359000006</v>
      </c>
    </row>
    <row r="42" spans="1:12" ht="15" thickBot="1">
      <c r="A42" s="185" t="s">
        <v>241</v>
      </c>
      <c r="B42" s="172"/>
      <c r="C42" s="172"/>
      <c r="D42" s="588">
        <f>HLOOKUP($A$12,'Expense Input File'!$B$14:$L$24,4,FALSE)</f>
        <v>193858.08862600001</v>
      </c>
      <c r="E42" s="97"/>
      <c r="F42" s="97"/>
      <c r="G42" s="97"/>
      <c r="H42" s="97"/>
      <c r="I42" s="97"/>
      <c r="J42" s="97"/>
      <c r="K42" s="98"/>
    </row>
    <row r="43" spans="1:12" ht="5.25" customHeight="1">
      <c r="A43" s="185"/>
      <c r="B43" s="172"/>
      <c r="C43" s="172"/>
      <c r="D43" s="100"/>
      <c r="E43" s="97"/>
      <c r="F43" s="97"/>
      <c r="G43" s="97"/>
      <c r="H43" s="97"/>
      <c r="I43" s="97"/>
      <c r="J43" s="97"/>
      <c r="K43" s="98"/>
    </row>
    <row r="44" spans="1:12">
      <c r="A44" s="199" t="s">
        <v>266</v>
      </c>
      <c r="B44" s="172"/>
      <c r="C44" s="172"/>
      <c r="D44" s="182">
        <f>SUM(D41:D42)</f>
        <v>224899.58254700003</v>
      </c>
      <c r="E44" s="97"/>
      <c r="F44" s="97"/>
      <c r="G44" s="97"/>
      <c r="H44" s="97"/>
      <c r="I44" s="97"/>
      <c r="J44" s="97"/>
      <c r="K44" s="98"/>
    </row>
    <row r="45" spans="1:12">
      <c r="A45" s="200" t="s">
        <v>267</v>
      </c>
      <c r="B45" s="172"/>
      <c r="C45" s="172"/>
      <c r="D45" s="182">
        <f>D44-D46</f>
        <v>64719.8946869348</v>
      </c>
      <c r="E45" s="226">
        <f>(E37/D37)*D45</f>
        <v>774.21129699550056</v>
      </c>
      <c r="F45" s="182">
        <f>(F37/D37)*D45</f>
        <v>59511.196882160199</v>
      </c>
      <c r="G45" s="182">
        <f>(G37/D37)*D45</f>
        <v>3292.0662251585331</v>
      </c>
      <c r="H45" s="182">
        <f>(H37/D37)*D45</f>
        <v>1124.6033528547068</v>
      </c>
      <c r="I45" s="182">
        <f>(I37/D37)*D45</f>
        <v>17.816929765863676</v>
      </c>
      <c r="J45" s="182">
        <f>(J37/D37)*D45</f>
        <v>0</v>
      </c>
      <c r="K45" s="98"/>
    </row>
    <row r="46" spans="1:12">
      <c r="A46" s="200" t="s">
        <v>269</v>
      </c>
      <c r="B46" s="172"/>
      <c r="C46" s="172"/>
      <c r="D46" s="169">
        <f>((D38/D39)*D44)</f>
        <v>160179.68786006523</v>
      </c>
      <c r="E46" s="226">
        <f>(E38/D38)*D46</f>
        <v>4172.1937044408978</v>
      </c>
      <c r="F46" s="182">
        <f>(F38/D38)*D46</f>
        <v>130257.5287123634</v>
      </c>
      <c r="G46" s="182">
        <f>(G38/D38)*D46</f>
        <v>22776.115775196435</v>
      </c>
      <c r="H46" s="182">
        <f>(H38/D38)*D46</f>
        <v>1370.4789248601126</v>
      </c>
      <c r="I46" s="182">
        <f>(I38/D38)*D46</f>
        <v>1283.034292860817</v>
      </c>
      <c r="J46" s="182">
        <f>(J38/D38)*D46</f>
        <v>320.33645034359751</v>
      </c>
      <c r="K46" s="98"/>
    </row>
    <row r="47" spans="1:12" ht="15.75" thickBot="1">
      <c r="A47" s="202" t="s">
        <v>268</v>
      </c>
      <c r="B47" s="168"/>
      <c r="C47" s="168"/>
      <c r="D47" s="182">
        <f>SUM(E47:J47)</f>
        <v>224899.58254700009</v>
      </c>
      <c r="E47" s="182">
        <f t="shared" ref="E47:J47" si="3">SUM(E45:E46)</f>
        <v>4946.4050014363984</v>
      </c>
      <c r="F47" s="182">
        <f t="shared" si="3"/>
        <v>189768.7255945236</v>
      </c>
      <c r="G47" s="182">
        <f t="shared" si="3"/>
        <v>26068.182000354969</v>
      </c>
      <c r="H47" s="182">
        <f t="shared" si="3"/>
        <v>2495.0822777148196</v>
      </c>
      <c r="I47" s="182">
        <f t="shared" si="3"/>
        <v>1300.8512226266807</v>
      </c>
      <c r="J47" s="182">
        <f t="shared" si="3"/>
        <v>320.33645034359751</v>
      </c>
      <c r="K47" s="98"/>
    </row>
    <row r="48" spans="1:12" ht="15" thickBot="1">
      <c r="A48" s="203" t="s">
        <v>25</v>
      </c>
      <c r="B48" s="172"/>
      <c r="C48" s="172"/>
      <c r="D48" s="204">
        <f>K48</f>
        <v>30765.082157000001</v>
      </c>
      <c r="E48" s="119"/>
      <c r="F48" s="119"/>
      <c r="G48" s="119"/>
      <c r="H48" s="119"/>
      <c r="I48" s="119"/>
      <c r="J48" s="119"/>
      <c r="K48" s="589">
        <f>SUM((HLOOKUP($A$12,'Expense Input File'!$A$27:$L$70,24,FALSE)),(HLOOKUP($A$12,'Expense Input File'!$A$27:$L$70,25,FALSE)),(HLOOKUP($A$12,'Expense Input File'!$A$27:$L$70,26,FALSE)),(HLOOKUP($A$12,'Expense Input File'!$A$27:$L$70,27,FALSE)),(HLOOKUP($A$12,'Expense Input File'!$A$27:$L$70,28,FALSE)))</f>
        <v>30765.082157000001</v>
      </c>
    </row>
    <row r="49" spans="1:12" ht="15.75" thickBot="1">
      <c r="A49" s="206" t="s">
        <v>270</v>
      </c>
      <c r="B49" s="168"/>
      <c r="C49" s="168"/>
      <c r="D49" s="180">
        <f>SUM(E49:K49)</f>
        <v>334603.8830630001</v>
      </c>
      <c r="E49" s="180">
        <f>E47</f>
        <v>4946.4050014363984</v>
      </c>
      <c r="F49" s="180">
        <f>F47+F41</f>
        <v>189768.7255945236</v>
      </c>
      <c r="G49" s="180">
        <f>G47</f>
        <v>26068.182000354969</v>
      </c>
      <c r="H49" s="180">
        <f>H47</f>
        <v>2495.0822777148196</v>
      </c>
      <c r="I49" s="180">
        <f>I47</f>
        <v>1300.8512226266807</v>
      </c>
      <c r="J49" s="180">
        <f>J47</f>
        <v>320.33645034359751</v>
      </c>
      <c r="K49" s="625">
        <f>K48+K41</f>
        <v>109704.300516</v>
      </c>
      <c r="L49" s="286" t="s">
        <v>707</v>
      </c>
    </row>
    <row r="50" spans="1:12" ht="15" thickBot="1">
      <c r="A50" s="196" t="s">
        <v>271</v>
      </c>
      <c r="B50" s="172"/>
      <c r="C50" s="172"/>
      <c r="D50" s="97"/>
      <c r="E50" s="97"/>
      <c r="F50" s="97"/>
      <c r="G50" s="97"/>
      <c r="H50" s="97"/>
      <c r="I50" s="97"/>
      <c r="J50" s="97"/>
      <c r="K50" s="98"/>
    </row>
    <row r="51" spans="1:12" ht="15" thickBot="1">
      <c r="A51" s="207" t="s">
        <v>46</v>
      </c>
      <c r="B51" s="172"/>
      <c r="C51" s="172"/>
      <c r="D51" s="588">
        <f>SUM((HLOOKUP($A$12,'Expense Input File'!$A$27:$L$70,10,FALSE)),(HLOOKUP($A$12,'Expense Input File'!$A$27:$L$70,11,FALSE)),(HLOOKUP($A$12,'Expense Input File'!$A$27:$L$70,12,FALSE)),(HLOOKUP($A$12,'Expense Input File'!$A$27:$L$70,13,FALSE)))</f>
        <v>14711.328237</v>
      </c>
      <c r="E51" s="169">
        <f>(E49/D49)*D51</f>
        <v>217.47562192985168</v>
      </c>
      <c r="F51" s="169">
        <f>(F49/D49)*D51</f>
        <v>8343.4477382098448</v>
      </c>
      <c r="G51" s="169">
        <f>(G49/D49)*D51</f>
        <v>1146.1241227642038</v>
      </c>
      <c r="H51" s="169">
        <f>(H49/D49)*D51</f>
        <v>109.69978599702384</v>
      </c>
      <c r="I51" s="169">
        <f>(I49/D49)*D51</f>
        <v>57.193745477127798</v>
      </c>
      <c r="J51" s="169">
        <f>(J49/D49)*D51</f>
        <v>14.084040579985793</v>
      </c>
      <c r="K51" s="623">
        <f>(K49/D49)*D51</f>
        <v>4823.303182041961</v>
      </c>
      <c r="L51" s="286" t="s">
        <v>707</v>
      </c>
    </row>
    <row r="52" spans="1:12" ht="15" thickBot="1">
      <c r="A52" s="207" t="s">
        <v>47</v>
      </c>
      <c r="B52" s="172"/>
      <c r="C52" s="172"/>
      <c r="D52" s="589">
        <f>SUM((HLOOKUP($A$12,'Expense Input File'!$A$27:$L$70,14,FALSE)),(HLOOKUP($A$12,'Expense Input File'!$A$27:$L$70,16,FALSE)),(HLOOKUP($A$12,'Expense Input File'!$A$27:$L$70,17,FALSE)),(HLOOKUP($A$12,'Expense Input File'!$A$27:$L$70,18,FALSE)),(HLOOKUP($A$12,'Expense Input File'!$A$27:$L$70,19,FALSE)),(HLOOKUP($A$12,'Expense Input File'!$A$27:$L$70,20,FALSE)),(HLOOKUP($A$12,'Expense Input File'!$A$27:$L$70,21,FALSE)),(HLOOKUP($A$12,'Expense Input File'!$A$27:$L$70,30,FALSE)),(HLOOKUP($A$12,'Expense Input File'!$A$27:$L$70,31,FALSE)),(HLOOKUP($A$12,'Expense Input File'!$A$27:$L$70,32,FALSE)))</f>
        <v>24554.073380000002</v>
      </c>
      <c r="E52" s="169">
        <f>(E49/D49)*D52</f>
        <v>362.97962313127306</v>
      </c>
      <c r="F52" s="169">
        <f>(F49/D49)*D52</f>
        <v>13925.705735458236</v>
      </c>
      <c r="G52" s="169">
        <f>(G49/D49)*D52</f>
        <v>1912.9486719058641</v>
      </c>
      <c r="H52" s="169">
        <f>(H49/D49)*D52</f>
        <v>183.09540455814792</v>
      </c>
      <c r="I52" s="169">
        <f>(I49/D49)*D52</f>
        <v>95.459730127591698</v>
      </c>
      <c r="J52" s="169">
        <f>(J49/D49)*D52</f>
        <v>23.507093330845986</v>
      </c>
      <c r="K52" s="626">
        <f>(K49/D49)*D52</f>
        <v>8050.3771214880426</v>
      </c>
      <c r="L52" s="286" t="s">
        <v>707</v>
      </c>
    </row>
    <row r="53" spans="1:12" ht="15" thickBot="1">
      <c r="A53" s="207" t="s">
        <v>273</v>
      </c>
      <c r="B53" s="172"/>
      <c r="C53" s="172"/>
      <c r="D53" s="590">
        <f>HLOOKUP($A$12,'Expense Input File'!$B$14:$L$24,3,FALSE)</f>
        <v>58098.645994000006</v>
      </c>
      <c r="E53" s="591">
        <f>(E49/D49)*(D53-(HLOOKUP($A$12,'Expense Input File'!$A$14:$L$24,10,FALSE)))</f>
        <v>824.86401201828846</v>
      </c>
      <c r="F53" s="591">
        <f>(F49/D49)*(D53-(HLOOKUP($A$12,'Expense Input File'!$A$14:$L$24,10,FALSE)))</f>
        <v>31645.890763906369</v>
      </c>
      <c r="G53" s="591">
        <f>(G49/D49)*(D53-(HLOOKUP($A$12,'Expense Input File'!$A$14:$L$24,10,FALSE)))</f>
        <v>4347.1380092393383</v>
      </c>
      <c r="H53" s="591">
        <f>(H49/D49)*(D53-(HLOOKUP($A$12,'Expense Input File'!$A$14:$L$24,10,FALSE)))</f>
        <v>416.08068431798807</v>
      </c>
      <c r="I53" s="591">
        <f>(I49/D49)*(D53-(HLOOKUP($A$12,'Expense Input File'!$A$14:$L$24,10,FALSE)))</f>
        <v>216.9303480453261</v>
      </c>
      <c r="J53" s="591">
        <f>(J49/D49)*(D53-(HLOOKUP($A$12,'Expense Input File'!$A$14:$L$24,10,FALSE)))</f>
        <v>53.419404506785334</v>
      </c>
      <c r="K53" s="628">
        <f>((K49/D49)*(D53-(HLOOKUP($A$12,'Expense Input File'!$A$14:$L$24,10,FALSE))))+(HLOOKUP($A$12,'Expense Input File'!$A$14:$L$24,10,FALSE))</f>
        <v>20594.322771965904</v>
      </c>
      <c r="L53" s="286" t="s">
        <v>707</v>
      </c>
    </row>
    <row r="54" spans="1:12" ht="15" thickBot="1">
      <c r="A54" s="207" t="s">
        <v>292</v>
      </c>
      <c r="B54" s="172"/>
      <c r="C54" s="172"/>
      <c r="D54" s="588">
        <f>SUM((HLOOKUP($A$12,'Expense Input File'!$A$14:$L$24,7,FALSE)),(HLOOKUP($A$12,'Expense Input File'!$A$14:$L$24,8,FALSE)))</f>
        <v>136027.42654299998</v>
      </c>
      <c r="E54" s="209">
        <f>(E49/D49)*D54</f>
        <v>2010.8754770730861</v>
      </c>
      <c r="F54" s="209">
        <f>(F49/D49)*D54</f>
        <v>77147.196095472391</v>
      </c>
      <c r="G54" s="209">
        <f>(G49/D49)*D54</f>
        <v>10597.568921503496</v>
      </c>
      <c r="H54" s="209">
        <f>(H49/D49)*D54</f>
        <v>1014.332583781434</v>
      </c>
      <c r="I54" s="209">
        <f>(I49/D49)*D54</f>
        <v>528.83858522318951</v>
      </c>
      <c r="J54" s="209">
        <f>(J49/D49)*D54</f>
        <v>130.22724831903622</v>
      </c>
      <c r="K54" s="627">
        <f>(K49/D49)*D54</f>
        <v>44598.387631627345</v>
      </c>
      <c r="L54" s="286" t="s">
        <v>707</v>
      </c>
    </row>
    <row r="55" spans="1:12" ht="15.75" thickBot="1">
      <c r="A55" s="211" t="s">
        <v>290</v>
      </c>
      <c r="B55" s="172"/>
      <c r="C55" s="172"/>
      <c r="D55" s="180">
        <f>SUM(D51:D54)</f>
        <v>233391.474154</v>
      </c>
      <c r="E55" s="180">
        <f t="shared" ref="E55:J55" si="4">SUM(E51:E54)</f>
        <v>3416.1947341524992</v>
      </c>
      <c r="F55" s="180">
        <f t="shared" si="4"/>
        <v>131062.24033304684</v>
      </c>
      <c r="G55" s="180">
        <f t="shared" si="4"/>
        <v>18003.779725412904</v>
      </c>
      <c r="H55" s="180">
        <f t="shared" si="4"/>
        <v>1723.2084586545939</v>
      </c>
      <c r="I55" s="180">
        <f t="shared" si="4"/>
        <v>898.4224088732351</v>
      </c>
      <c r="J55" s="180">
        <f t="shared" si="4"/>
        <v>221.23778673665333</v>
      </c>
      <c r="K55" s="625">
        <f>SUM(K51:K54)</f>
        <v>78066.390707123253</v>
      </c>
      <c r="L55" s="286" t="s">
        <v>707</v>
      </c>
    </row>
    <row r="56" spans="1:12" ht="15.75" thickBot="1">
      <c r="A56" s="165" t="s">
        <v>262</v>
      </c>
      <c r="B56" s="172"/>
      <c r="C56" s="172"/>
      <c r="D56" s="180">
        <f t="shared" ref="D56:K56" si="5">D55+D49</f>
        <v>567995.3572170001</v>
      </c>
      <c r="E56" s="617">
        <f t="shared" si="5"/>
        <v>8362.5997355888976</v>
      </c>
      <c r="F56" s="618">
        <f>F55+F49</f>
        <v>320830.96592757042</v>
      </c>
      <c r="G56" s="618">
        <f t="shared" si="5"/>
        <v>44071.961725767876</v>
      </c>
      <c r="H56" s="618">
        <f t="shared" si="5"/>
        <v>4218.2907363694139</v>
      </c>
      <c r="I56" s="618">
        <f t="shared" si="5"/>
        <v>2199.2736314999156</v>
      </c>
      <c r="J56" s="618">
        <f t="shared" si="5"/>
        <v>541.5742370802509</v>
      </c>
      <c r="K56" s="619">
        <f t="shared" si="5"/>
        <v>187770.69122312326</v>
      </c>
      <c r="L56" s="286" t="s">
        <v>704</v>
      </c>
    </row>
    <row r="57" spans="1:12">
      <c r="A57" s="212" t="s">
        <v>177</v>
      </c>
      <c r="B57" s="172"/>
      <c r="C57" s="172"/>
      <c r="D57" s="97"/>
      <c r="E57" s="97"/>
      <c r="F57" s="97"/>
      <c r="G57" s="97"/>
      <c r="H57" s="97"/>
      <c r="I57" s="97"/>
      <c r="J57" s="97"/>
      <c r="K57" s="98"/>
    </row>
    <row r="58" spans="1:12" ht="15" thickBot="1">
      <c r="A58" s="185" t="s">
        <v>278</v>
      </c>
      <c r="B58" s="172"/>
      <c r="C58" s="172"/>
      <c r="D58" s="100"/>
      <c r="E58" s="97"/>
      <c r="F58" s="97"/>
      <c r="G58" s="97"/>
      <c r="H58" s="97"/>
      <c r="I58" s="97"/>
      <c r="J58" s="97"/>
      <c r="K58" s="98"/>
    </row>
    <row r="59" spans="1:12" ht="15">
      <c r="A59" s="185" t="s">
        <v>276</v>
      </c>
      <c r="B59" s="172"/>
      <c r="C59" s="172"/>
      <c r="D59" s="589">
        <f>(HLOOKUP($A$12,'Expense Input File'!$A$27:$L$91,37,FALSE))</f>
        <v>5535.2634950000001</v>
      </c>
      <c r="E59" s="100"/>
      <c r="F59" s="213">
        <v>3454.3890049441684</v>
      </c>
      <c r="G59" s="100"/>
      <c r="H59" s="100"/>
      <c r="I59" s="213">
        <v>2080.8744900558313</v>
      </c>
      <c r="J59" s="100"/>
      <c r="K59" s="98"/>
    </row>
    <row r="60" spans="1:12">
      <c r="A60" s="185" t="s">
        <v>277</v>
      </c>
      <c r="B60" s="172"/>
      <c r="C60" s="172"/>
      <c r="D60" s="592">
        <f>(HLOOKUP($A$12,'Expense Input File'!$A$27:$L$91,38,FALSE))</f>
        <v>4540.661357</v>
      </c>
      <c r="E60" s="100"/>
      <c r="F60" s="97"/>
      <c r="G60" s="182">
        <f>D60</f>
        <v>4540.661357</v>
      </c>
      <c r="H60" s="97"/>
      <c r="I60" s="97"/>
      <c r="J60" s="97"/>
      <c r="K60" s="98"/>
    </row>
    <row r="61" spans="1:12" ht="15" thickBot="1">
      <c r="A61" s="185" t="s">
        <v>275</v>
      </c>
      <c r="B61" s="172"/>
      <c r="C61" s="172"/>
      <c r="D61" s="592">
        <f>(HLOOKUP($A$12,'Expense Input File'!$A$27:$L$91,41,FALSE))</f>
        <v>0</v>
      </c>
      <c r="E61" s="100"/>
      <c r="F61" s="182">
        <f>D61</f>
        <v>0</v>
      </c>
      <c r="G61" s="97"/>
      <c r="H61" s="97"/>
      <c r="I61" s="97"/>
      <c r="J61" s="97"/>
      <c r="K61" s="98"/>
    </row>
    <row r="62" spans="1:12" ht="15.75" thickBot="1">
      <c r="A62" s="185" t="s">
        <v>469</v>
      </c>
      <c r="B62" s="172"/>
      <c r="C62" s="172"/>
      <c r="D62" s="592">
        <f>(HLOOKUP($A$12,'Expense Input File'!$A$27:$L$91,39,FALSE))</f>
        <v>0</v>
      </c>
      <c r="E62" s="100"/>
      <c r="F62" s="614">
        <f>$D$62*0.397156801</f>
        <v>0</v>
      </c>
      <c r="G62" s="614">
        <f>$D$62*0.602844218</f>
        <v>0</v>
      </c>
      <c r="H62" s="97"/>
      <c r="I62" s="97"/>
      <c r="J62" s="97"/>
      <c r="K62" s="98"/>
    </row>
    <row r="63" spans="1:12" ht="15" thickBot="1">
      <c r="A63" s="185" t="s">
        <v>274</v>
      </c>
      <c r="B63" s="172"/>
      <c r="C63" s="172"/>
      <c r="D63" s="593">
        <f>HLOOKUP($A$12,'Expense Input File'!$B$27:$L$91,42,FALSE)</f>
        <v>0</v>
      </c>
      <c r="E63" s="169">
        <f>(E38/D38)*D63</f>
        <v>0</v>
      </c>
      <c r="F63" s="169">
        <f>(F38/D38)*D63</f>
        <v>0</v>
      </c>
      <c r="G63" s="169">
        <f>(G38/D38)*D63</f>
        <v>0</v>
      </c>
      <c r="H63" s="169">
        <f>(H38/D38)*D63</f>
        <v>0</v>
      </c>
      <c r="I63" s="169">
        <f>(I38/D38)*D63</f>
        <v>0</v>
      </c>
      <c r="J63" s="169">
        <f>(J38/D38)*D63</f>
        <v>0</v>
      </c>
      <c r="K63" s="98"/>
    </row>
    <row r="64" spans="1:12" ht="15.75" thickBot="1">
      <c r="A64" s="185" t="s">
        <v>263</v>
      </c>
      <c r="B64" s="168"/>
      <c r="C64" s="172"/>
      <c r="D64" s="404">
        <f>K64</f>
        <v>764.076953</v>
      </c>
      <c r="E64" s="100"/>
      <c r="F64" s="97"/>
      <c r="G64" s="97"/>
      <c r="H64" s="97"/>
      <c r="I64" s="97"/>
      <c r="J64" s="97"/>
      <c r="K64" s="588">
        <f>HLOOKUP($A$12,'Expense Input File'!$A$27:$L$91,35,FALSE)</f>
        <v>764.076953</v>
      </c>
    </row>
    <row r="65" spans="1:12" ht="15">
      <c r="A65" s="185" t="s">
        <v>665</v>
      </c>
      <c r="B65" s="168"/>
      <c r="C65" s="172"/>
      <c r="D65" s="404">
        <f>K65</f>
        <v>0</v>
      </c>
      <c r="E65" s="100"/>
      <c r="F65" s="100"/>
      <c r="G65" s="100"/>
      <c r="H65" s="100"/>
      <c r="I65" s="100"/>
      <c r="J65" s="100"/>
      <c r="K65" s="99">
        <f>HLOOKUP($A$12,'Expense Input File'!$H$14:$L$107,MATCH($A$65,'Expense Input File'!$B$14:$B$107,0),0)</f>
        <v>0</v>
      </c>
    </row>
    <row r="66" spans="1:12" ht="15">
      <c r="A66" s="179" t="s">
        <v>288</v>
      </c>
      <c r="B66" s="172"/>
      <c r="C66" s="172"/>
      <c r="D66" s="405">
        <f>SUM(D59:D65)</f>
        <v>10840.001805</v>
      </c>
      <c r="E66" s="405">
        <f t="shared" ref="E66:K66" si="6">SUM(E59:E65)</f>
        <v>0</v>
      </c>
      <c r="F66" s="405">
        <f t="shared" si="6"/>
        <v>3454.3890049441684</v>
      </c>
      <c r="G66" s="405">
        <f t="shared" si="6"/>
        <v>4540.661357</v>
      </c>
      <c r="H66" s="405">
        <f t="shared" si="6"/>
        <v>0</v>
      </c>
      <c r="I66" s="405">
        <f t="shared" si="6"/>
        <v>2080.8744900558313</v>
      </c>
      <c r="J66" s="405">
        <f t="shared" si="6"/>
        <v>0</v>
      </c>
      <c r="K66" s="406">
        <f t="shared" si="6"/>
        <v>764.076953</v>
      </c>
    </row>
    <row r="67" spans="1:12" ht="15" thickBot="1">
      <c r="A67" s="185" t="s">
        <v>279</v>
      </c>
      <c r="B67" s="172"/>
      <c r="C67" s="172"/>
      <c r="D67" s="97"/>
      <c r="E67" s="100"/>
      <c r="F67" s="97"/>
      <c r="G67" s="97"/>
      <c r="H67" s="97"/>
      <c r="I67" s="97"/>
      <c r="J67" s="97"/>
      <c r="K67" s="98"/>
    </row>
    <row r="68" spans="1:12" ht="15" thickBot="1">
      <c r="A68" s="185" t="s">
        <v>42</v>
      </c>
      <c r="B68" s="172"/>
      <c r="C68" s="172"/>
      <c r="D68" s="169">
        <f>SUM(E68:K68)</f>
        <v>221.00000099999997</v>
      </c>
      <c r="E68" s="590">
        <f>(HLOOKUP($A$12,'Expense Input File'!$B$71:$L$93,22,FALSE))*E15</f>
        <v>4.9128968169529585</v>
      </c>
      <c r="F68" s="591">
        <f>(HLOOKUP($A$12,'Expense Input File'!$B$71:$L$93,22,FALSE))*F15</f>
        <v>180.36545547356366</v>
      </c>
      <c r="G68" s="591">
        <f>(HLOOKUP($A$12,'Expense Input File'!$B$71:$L$93,22,FALSE))*G15</f>
        <v>24.905194076017509</v>
      </c>
      <c r="H68" s="591">
        <f>(HLOOKUP($A$12,'Expense Input File'!$B$71:$L$93,22,FALSE))*H15</f>
        <v>2.787618334857346</v>
      </c>
      <c r="I68" s="591">
        <f>(HLOOKUP($A$12,'Expense Input File'!$B$71:$L$93,22,FALSE))*I15</f>
        <v>0.49357842499679749</v>
      </c>
      <c r="J68" s="591">
        <f>(HLOOKUP($A$12,'Expense Input File'!$B$71:$L$93,22,FALSE))*J15</f>
        <v>0.20998765490878893</v>
      </c>
      <c r="K68" s="624">
        <f>((HLOOKUP($A$12,'Expense Input File'!$B$71:$L$93,22,FALSE))*K15)+(HLOOKUP($A$12,'Expense Input File'!$B$71:$L$93,23,FALSE))</f>
        <v>7.3252702187029124</v>
      </c>
      <c r="L68" s="286" t="s">
        <v>707</v>
      </c>
    </row>
    <row r="69" spans="1:12" ht="15" thickBot="1">
      <c r="A69" s="185" t="s">
        <v>43</v>
      </c>
      <c r="B69" s="172"/>
      <c r="C69" s="172"/>
      <c r="D69" s="589">
        <f>HLOOKUP($A$12,'Expense Input File'!$A$27:$L$91,46,FALSE)</f>
        <v>105895.999998</v>
      </c>
      <c r="E69" s="100"/>
      <c r="F69" s="182">
        <f>D69</f>
        <v>105895.999998</v>
      </c>
      <c r="G69" s="107"/>
      <c r="H69" s="107"/>
      <c r="I69" s="107"/>
      <c r="J69" s="107"/>
      <c r="K69" s="108"/>
    </row>
    <row r="70" spans="1:12" ht="15" thickBot="1">
      <c r="A70" s="185" t="s">
        <v>44</v>
      </c>
      <c r="B70" s="172"/>
      <c r="C70" s="172"/>
      <c r="D70" s="594">
        <f>HLOOKUP($A$12,'Expense Input File'!$A$27:$L$91,47,FALSE)</f>
        <v>2551.0003320000001</v>
      </c>
      <c r="E70" s="201">
        <f>(E49/D49)*D70</f>
        <v>37.711100915391683</v>
      </c>
      <c r="F70" s="169">
        <f>(F49/D49)*D70</f>
        <v>1446.7856067997245</v>
      </c>
      <c r="G70" s="169">
        <f>(G49/D49)*D70</f>
        <v>198.7422869358069</v>
      </c>
      <c r="H70" s="169">
        <f>(H49/D49)*D70</f>
        <v>19.022360591133399</v>
      </c>
      <c r="I70" s="169">
        <f>(I49/D49)*D70</f>
        <v>9.9176132399469434</v>
      </c>
      <c r="J70" s="169">
        <f>(J49/D49)*D70</f>
        <v>2.4422262637769756</v>
      </c>
      <c r="K70" s="623">
        <f>(K49/D49)*D70</f>
        <v>836.37913725421959</v>
      </c>
      <c r="L70" s="286" t="s">
        <v>707</v>
      </c>
    </row>
    <row r="71" spans="1:12" ht="15" thickBot="1">
      <c r="A71" s="185" t="s">
        <v>45</v>
      </c>
      <c r="B71" s="172"/>
      <c r="C71" s="172"/>
      <c r="D71" s="593">
        <f>HLOOKUP($A$12,'Expense Input File'!$A$27:$L$91,48,FALSE)</f>
        <v>706</v>
      </c>
      <c r="E71" s="120"/>
      <c r="F71" s="119"/>
      <c r="G71" s="119"/>
      <c r="H71" s="119"/>
      <c r="I71" s="119"/>
      <c r="J71" s="119"/>
      <c r="K71" s="622">
        <f>D71</f>
        <v>706</v>
      </c>
      <c r="L71" s="286" t="s">
        <v>707</v>
      </c>
    </row>
    <row r="72" spans="1:12" ht="15.75" thickBot="1">
      <c r="A72" s="179" t="s">
        <v>289</v>
      </c>
      <c r="B72" s="172"/>
      <c r="C72" s="172"/>
      <c r="D72" s="217">
        <f>SUM(D68:D71)</f>
        <v>109374.00033099999</v>
      </c>
      <c r="E72" s="217">
        <f t="shared" ref="E72:J72" si="7">SUM(E68:E71)</f>
        <v>42.623997732344641</v>
      </c>
      <c r="F72" s="217">
        <f t="shared" si="7"/>
        <v>107523.15106027329</v>
      </c>
      <c r="G72" s="217">
        <f t="shared" si="7"/>
        <v>223.64748101182442</v>
      </c>
      <c r="H72" s="217">
        <f t="shared" si="7"/>
        <v>21.809978925990745</v>
      </c>
      <c r="I72" s="217">
        <f t="shared" si="7"/>
        <v>10.411191664943741</v>
      </c>
      <c r="J72" s="217">
        <f t="shared" si="7"/>
        <v>2.6522139186857645</v>
      </c>
      <c r="K72" s="692">
        <f>SUM(K68:K71)</f>
        <v>1549.7044074729224</v>
      </c>
      <c r="L72" s="286" t="s">
        <v>707</v>
      </c>
    </row>
    <row r="73" spans="1:12" ht="15.75" thickBot="1">
      <c r="A73" s="219" t="s">
        <v>280</v>
      </c>
      <c r="B73" s="219"/>
      <c r="C73" s="219"/>
      <c r="D73" s="220">
        <f>SUM(E73:K73)</f>
        <v>120214.002136</v>
      </c>
      <c r="E73" s="617">
        <f>E72+E66</f>
        <v>42.623997732344641</v>
      </c>
      <c r="F73" s="618">
        <f t="shared" ref="F73:K73" si="8">F72+F66</f>
        <v>110977.54006521746</v>
      </c>
      <c r="G73" s="618">
        <f t="shared" si="8"/>
        <v>4764.3088380118243</v>
      </c>
      <c r="H73" s="618">
        <f t="shared" si="8"/>
        <v>21.809978925990745</v>
      </c>
      <c r="I73" s="618">
        <f t="shared" si="8"/>
        <v>2091.2856817207748</v>
      </c>
      <c r="J73" s="618">
        <f t="shared" si="8"/>
        <v>2.6522139186857645</v>
      </c>
      <c r="K73" s="619">
        <f t="shared" si="8"/>
        <v>2313.7813604729226</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f>HLOOKUP($A$12,'Expense Input File'!$A$71:$L$94,24,FALSE)</f>
        <v>1361.7050039999999</v>
      </c>
      <c r="E75" s="617"/>
      <c r="F75" s="618">
        <f>+$D75*(F56/SUM($F56:$H56))</f>
        <v>1183.5600609675155</v>
      </c>
      <c r="G75" s="618">
        <f>+$D75*(G56/SUM($F56:$H56))</f>
        <v>162.58347618129758</v>
      </c>
      <c r="H75" s="618">
        <f>+$D75*(H56/SUM($F56:$H56))</f>
        <v>15.561466851186678</v>
      </c>
      <c r="I75" s="618"/>
      <c r="J75" s="618"/>
      <c r="K75" s="619"/>
      <c r="L75" s="286" t="s">
        <v>704</v>
      </c>
    </row>
    <row r="76" spans="1:12" ht="15.75" thickBot="1">
      <c r="D76" s="220">
        <f>+'Expense Input File'!H94</f>
        <v>1361.7050039999999</v>
      </c>
    </row>
    <row r="77" spans="1:12">
      <c r="D77" s="286" t="s">
        <v>716</v>
      </c>
      <c r="E77" s="111">
        <f>+E73+E75</f>
        <v>42.623997732344641</v>
      </c>
      <c r="F77" s="111">
        <f t="shared" ref="F77:K77" si="9">+F73+F75</f>
        <v>112161.10012618497</v>
      </c>
      <c r="G77" s="111">
        <f t="shared" si="9"/>
        <v>4926.8923141931218</v>
      </c>
      <c r="H77" s="111">
        <f t="shared" si="9"/>
        <v>37.371445777177421</v>
      </c>
      <c r="I77" s="111">
        <f t="shared" si="9"/>
        <v>2091.2856817207748</v>
      </c>
      <c r="J77" s="111">
        <f t="shared" si="9"/>
        <v>2.6522139186857645</v>
      </c>
      <c r="K77" s="111">
        <f t="shared" si="9"/>
        <v>2313.7813604729226</v>
      </c>
      <c r="L77" s="286" t="s">
        <v>719</v>
      </c>
    </row>
  </sheetData>
  <customSheetViews>
    <customSheetView guid="{2226E858-00AE-4A92-8CF6-5B54D2FA62D4}" showPageBreaks="1" fitToPage="1" topLeftCell="A22">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300-000000000000}"/>
    <hyperlink ref="I4" location="AFUDC!A1" display="AFUDC" xr:uid="{00000000-0004-0000-1300-000001000000}"/>
    <hyperlink ref="I3" location="'Repayment Inputs'!A1" display="Repayment Inputs" xr:uid="{00000000-0004-0000-1300-000002000000}"/>
    <hyperlink ref="I6" location="'Expense Input File'!A1" display="Expense Input" xr:uid="{00000000-0004-0000-1300-000003000000}"/>
    <hyperlink ref="G6" r:id="rId2" xr:uid="{00000000-0004-0000-1300-000004000000}"/>
  </hyperlinks>
  <pageMargins left="0.25" right="0.25" top="0.75" bottom="0.75" header="0.3" footer="0.3"/>
  <pageSetup scale="56" orientation="portrait" r:id="rId3"/>
  <legacyDrawing r:id="rId4"/>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17">
    <tabColor rgb="FFCCFF66"/>
    <pageSetUpPr autoPageBreaks="0" fitToPage="1"/>
  </sheetPr>
  <dimension ref="A1:L77"/>
  <sheetViews>
    <sheetView workbookViewId="0">
      <pane xSplit="2" ySplit="12" topLeftCell="C55" activePane="bottomRight" state="frozen"/>
      <selection pane="topRight" activeCell="C1" sqref="C1"/>
      <selection pane="bottomLeft" activeCell="A13" sqref="A13"/>
      <selection pane="bottomRight" activeCell="I78" sqref="I78"/>
    </sheetView>
  </sheetViews>
  <sheetFormatPr defaultColWidth="9.140625" defaultRowHeight="14.25" outlineLevelRow="1"/>
  <cols>
    <col min="1" max="2" width="9.140625" style="90"/>
    <col min="3" max="3" width="36.7109375" style="90" customWidth="1"/>
    <col min="4" max="11" width="15.7109375" style="90" customWidth="1"/>
    <col min="12" max="16384" width="9.140625" style="90"/>
  </cols>
  <sheetData>
    <row r="1" spans="1:11" ht="18" hidden="1" outlineLevel="1">
      <c r="A1" s="996" t="s">
        <v>297</v>
      </c>
      <c r="B1" s="997"/>
      <c r="C1" s="997"/>
      <c r="D1" s="997"/>
      <c r="E1" s="997"/>
      <c r="F1" s="997"/>
      <c r="G1" s="997"/>
      <c r="H1" s="997"/>
      <c r="I1" s="997"/>
      <c r="J1" s="997"/>
      <c r="K1" s="998"/>
    </row>
    <row r="2" spans="1:11" ht="18" hidden="1" outlineLevel="1">
      <c r="A2" s="407"/>
      <c r="B2" s="125" t="s">
        <v>115</v>
      </c>
      <c r="C2" s="91"/>
      <c r="D2" s="3"/>
      <c r="E2" s="94"/>
      <c r="F2" s="147" t="s">
        <v>397</v>
      </c>
      <c r="G2" s="148"/>
      <c r="H2" s="138"/>
      <c r="I2" s="147" t="s">
        <v>399</v>
      </c>
      <c r="J2" s="139"/>
      <c r="K2" s="408"/>
    </row>
    <row r="3" spans="1:11" ht="18" hidden="1" outlineLevel="1">
      <c r="A3" s="407"/>
      <c r="B3" s="125" t="s">
        <v>73</v>
      </c>
      <c r="C3" s="93" t="s">
        <v>751</v>
      </c>
      <c r="D3" s="3"/>
      <c r="E3" s="94"/>
      <c r="F3" s="150" t="s">
        <v>398</v>
      </c>
      <c r="G3" s="151" t="s">
        <v>235</v>
      </c>
      <c r="H3" s="138"/>
      <c r="I3" s="152" t="s">
        <v>238</v>
      </c>
      <c r="J3" s="138"/>
      <c r="K3" s="408"/>
    </row>
    <row r="4" spans="1:11" ht="18" hidden="1" customHeight="1" outlineLevel="1">
      <c r="A4" s="407"/>
      <c r="B4" s="125" t="s">
        <v>10</v>
      </c>
      <c r="C4" s="153"/>
      <c r="D4" s="3"/>
      <c r="E4" s="94"/>
      <c r="F4" s="144"/>
      <c r="G4" s="331" t="s">
        <v>701</v>
      </c>
      <c r="H4" s="138"/>
      <c r="I4" s="155" t="s">
        <v>87</v>
      </c>
      <c r="J4" s="3"/>
      <c r="K4" s="408"/>
    </row>
    <row r="5" spans="1:11" ht="18" hidden="1" customHeight="1" outlineLevel="1">
      <c r="A5" s="407"/>
      <c r="B5" s="126" t="s">
        <v>9</v>
      </c>
      <c r="C5" s="153" t="e">
        <f>'Revenue Requirement'!#REF!</f>
        <v>#REF!</v>
      </c>
      <c r="D5" s="94"/>
      <c r="F5" s="144" t="str">
        <f>IF('20 Seg Dev'!F5=0," ",'20 Seg Dev'!F5)</f>
        <v xml:space="preserve"> </v>
      </c>
      <c r="G5" s="605" t="s">
        <v>702</v>
      </c>
      <c r="H5" s="138"/>
      <c r="I5" s="141" t="s">
        <v>390</v>
      </c>
      <c r="J5" s="94"/>
      <c r="K5" s="408"/>
    </row>
    <row r="6" spans="1:11" ht="15" hidden="1" outlineLevel="1">
      <c r="A6" s="407"/>
      <c r="B6" s="126" t="s">
        <v>386</v>
      </c>
      <c r="C6" s="93"/>
      <c r="D6" s="94"/>
      <c r="E6" s="157"/>
      <c r="F6" s="157"/>
      <c r="G6" s="158" t="s">
        <v>465</v>
      </c>
      <c r="H6" s="138"/>
      <c r="I6" s="159" t="s">
        <v>387</v>
      </c>
      <c r="J6" s="94"/>
      <c r="K6" s="408"/>
    </row>
    <row r="7" spans="1:11" ht="15" hidden="1" outlineLevel="1">
      <c r="A7" s="407"/>
      <c r="B7" s="126" t="s">
        <v>385</v>
      </c>
      <c r="C7" s="93"/>
      <c r="D7" s="94"/>
      <c r="E7" s="157"/>
      <c r="F7" s="616" t="s">
        <v>469</v>
      </c>
      <c r="G7" s="613" t="s">
        <v>703</v>
      </c>
      <c r="H7" s="138"/>
      <c r="I7" s="140"/>
      <c r="J7" s="94"/>
      <c r="K7" s="408"/>
    </row>
    <row r="8" spans="1:11" ht="15" hidden="1" outlineLevel="1">
      <c r="A8" s="407"/>
      <c r="B8" s="126" t="s">
        <v>281</v>
      </c>
      <c r="C8" s="160">
        <v>2025</v>
      </c>
      <c r="D8" s="94"/>
      <c r="E8" s="92"/>
      <c r="F8" s="92"/>
      <c r="G8" s="157"/>
      <c r="H8" s="223"/>
      <c r="I8" s="92"/>
      <c r="J8" s="92"/>
      <c r="K8" s="408"/>
    </row>
    <row r="9" spans="1:11" ht="15.75" hidden="1" outlineLevel="1" thickBot="1">
      <c r="A9" s="407"/>
      <c r="B9" s="126"/>
      <c r="C9" s="129"/>
      <c r="D9" s="94"/>
      <c r="E9" s="92"/>
      <c r="F9" s="92"/>
      <c r="G9" s="92"/>
      <c r="H9" s="92"/>
      <c r="I9" s="92"/>
      <c r="J9" s="92"/>
      <c r="K9" s="408"/>
    </row>
    <row r="10" spans="1:11" ht="15.75" hidden="1" outlineLevel="1" thickBot="1">
      <c r="A10" s="999"/>
      <c r="B10" s="983"/>
      <c r="C10" s="142"/>
      <c r="D10" s="113"/>
      <c r="E10" s="582" t="s">
        <v>700</v>
      </c>
      <c r="F10" s="113"/>
      <c r="G10" s="621" t="s">
        <v>705</v>
      </c>
      <c r="H10" s="621"/>
      <c r="I10" s="113"/>
      <c r="J10" s="113"/>
      <c r="K10" s="409"/>
    </row>
    <row r="11" spans="1:11" ht="15" hidden="1" outlineLevel="1" thickBot="1">
      <c r="A11" s="136"/>
      <c r="B11" s="94"/>
      <c r="C11" s="94"/>
      <c r="D11" s="94"/>
      <c r="E11" s="94"/>
      <c r="F11" s="94"/>
      <c r="G11" s="94"/>
      <c r="H11" s="94"/>
      <c r="I11" s="94"/>
      <c r="J11" s="94"/>
      <c r="K11" s="95"/>
    </row>
    <row r="12" spans="1:11" ht="29.25" customHeight="1" collapsed="1">
      <c r="A12" s="984">
        <f>C8</f>
        <v>2025</v>
      </c>
      <c r="B12" s="985"/>
      <c r="C12" s="985"/>
      <c r="D12" s="161" t="s">
        <v>170</v>
      </c>
      <c r="E12" s="162" t="s">
        <v>171</v>
      </c>
      <c r="F12" s="162" t="s">
        <v>172</v>
      </c>
      <c r="G12" s="162" t="s">
        <v>173</v>
      </c>
      <c r="H12" s="162" t="s">
        <v>174</v>
      </c>
      <c r="I12" s="162" t="s">
        <v>175</v>
      </c>
      <c r="J12" s="162" t="s">
        <v>176</v>
      </c>
      <c r="K12" s="163" t="s">
        <v>177</v>
      </c>
    </row>
    <row r="13" spans="1:11" ht="15.75" thickBot="1">
      <c r="A13" s="165" t="s">
        <v>272</v>
      </c>
      <c r="B13" s="128"/>
      <c r="C13" s="128"/>
      <c r="D13" s="127"/>
      <c r="E13" s="127"/>
      <c r="F13" s="127"/>
      <c r="G13" s="127"/>
      <c r="H13" s="127"/>
      <c r="I13" s="127"/>
      <c r="J13" s="127"/>
      <c r="K13" s="166"/>
    </row>
    <row r="14" spans="1:11" ht="15.75" thickBot="1">
      <c r="A14" s="167" t="s">
        <v>178</v>
      </c>
      <c r="B14" s="168"/>
      <c r="C14" s="168"/>
      <c r="D14" s="169">
        <f>SUM(E14:K14)</f>
        <v>7288408.0315029826</v>
      </c>
      <c r="E14" s="578">
        <v>149997.16540704123</v>
      </c>
      <c r="F14" s="579">
        <v>5970893.3227588581</v>
      </c>
      <c r="G14" s="579">
        <v>760794.41335714411</v>
      </c>
      <c r="H14" s="579">
        <v>84398.365633095353</v>
      </c>
      <c r="I14" s="579">
        <v>15109.582880011538</v>
      </c>
      <c r="J14" s="579">
        <v>6431.1822488677808</v>
      </c>
      <c r="K14" s="580">
        <v>300783.9992179636</v>
      </c>
    </row>
    <row r="15" spans="1:11">
      <c r="A15" s="171" t="s">
        <v>237</v>
      </c>
      <c r="B15" s="172"/>
      <c r="C15" s="172"/>
      <c r="D15" s="173">
        <f>SUM(E15:K15)</f>
        <v>1</v>
      </c>
      <c r="E15" s="174">
        <f>E14/D14</f>
        <v>2.0580237105099274E-2</v>
      </c>
      <c r="F15" s="174">
        <f>F14/D14</f>
        <v>0.81923148332950391</v>
      </c>
      <c r="G15" s="174">
        <f>G14/D14</f>
        <v>0.10438416867836316</v>
      </c>
      <c r="H15" s="174">
        <f>H14/D14</f>
        <v>1.1579808000361239E-2</v>
      </c>
      <c r="I15" s="174">
        <f>I14/D14</f>
        <v>2.0730978307886678E-3</v>
      </c>
      <c r="J15" s="174">
        <f>J14/D14</f>
        <v>8.8238504500159985E-4</v>
      </c>
      <c r="K15" s="175">
        <f>K14/D14</f>
        <v>4.1268820010882029E-2</v>
      </c>
    </row>
    <row r="16" spans="1:11" ht="15" thickBot="1">
      <c r="A16" s="176" t="s">
        <v>81</v>
      </c>
      <c r="B16" s="172"/>
      <c r="C16" s="172"/>
      <c r="D16" s="97"/>
      <c r="E16" s="97"/>
      <c r="F16" s="97"/>
      <c r="G16" s="97"/>
      <c r="H16" s="97"/>
      <c r="I16" s="97"/>
      <c r="J16" s="97"/>
      <c r="K16" s="98"/>
    </row>
    <row r="17" spans="1:12" ht="15" thickBot="1">
      <c r="A17" s="167"/>
      <c r="B17" s="172" t="s">
        <v>499</v>
      </c>
      <c r="C17" s="172"/>
      <c r="D17" s="169">
        <f>SUM(E17:K17)</f>
        <v>7521.7604448514721</v>
      </c>
      <c r="E17" s="100"/>
      <c r="F17" s="597">
        <f>HLOOKUP($A$12,'Repayment Inputs'!$B$2:$J$24,19,FALSE)</f>
        <v>7521.7604448514721</v>
      </c>
      <c r="G17" s="224"/>
      <c r="H17" s="100"/>
      <c r="I17" s="100"/>
      <c r="J17" s="100"/>
      <c r="K17" s="99"/>
    </row>
    <row r="18" spans="1:12">
      <c r="A18" s="167"/>
      <c r="B18" s="172" t="s">
        <v>500</v>
      </c>
      <c r="C18" s="172"/>
      <c r="D18" s="169">
        <f>SUM(E18:K18)</f>
        <v>0</v>
      </c>
      <c r="E18" s="100"/>
      <c r="F18" s="101">
        <f>-(HLOOKUP($A$12,AFUDC!$I$13:$AJ$38,25,FALSE))</f>
        <v>0</v>
      </c>
      <c r="G18" s="100"/>
      <c r="H18" s="100"/>
      <c r="I18" s="100"/>
      <c r="J18" s="100"/>
      <c r="K18" s="99"/>
    </row>
    <row r="19" spans="1:12" ht="15" thickBot="1">
      <c r="A19" s="167"/>
      <c r="B19" s="172" t="s">
        <v>496</v>
      </c>
      <c r="C19" s="172"/>
      <c r="D19" s="169">
        <f>SUM(E19:K19)</f>
        <v>7521.7604448514721</v>
      </c>
      <c r="E19" s="100"/>
      <c r="F19" s="169">
        <f>SUM(F17:F18)</f>
        <v>7521.7604448514721</v>
      </c>
      <c r="G19" s="100"/>
      <c r="H19" s="100"/>
      <c r="I19" s="100"/>
      <c r="J19" s="100"/>
      <c r="K19" s="99"/>
    </row>
    <row r="20" spans="1:12"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2" ht="15.75" thickBot="1">
      <c r="A21" s="179" t="s">
        <v>180</v>
      </c>
      <c r="B21" s="168"/>
      <c r="C21" s="168"/>
      <c r="D21" s="180" t="e">
        <f t="shared" ref="D21:K21" si="0">D20+D19</f>
        <v>#N/A</v>
      </c>
      <c r="E21" s="617" t="e">
        <f t="shared" si="0"/>
        <v>#N/A</v>
      </c>
      <c r="F21" s="618" t="e">
        <f t="shared" si="0"/>
        <v>#N/A</v>
      </c>
      <c r="G21" s="618" t="e">
        <f t="shared" si="0"/>
        <v>#N/A</v>
      </c>
      <c r="H21" s="618" t="e">
        <f t="shared" si="0"/>
        <v>#N/A</v>
      </c>
      <c r="I21" s="618" t="e">
        <f t="shared" si="0"/>
        <v>#N/A</v>
      </c>
      <c r="J21" s="618" t="e">
        <f t="shared" si="0"/>
        <v>#N/A</v>
      </c>
      <c r="K21" s="625" t="e">
        <f t="shared" si="0"/>
        <v>#N/A</v>
      </c>
      <c r="L21" s="286" t="s">
        <v>708</v>
      </c>
    </row>
    <row r="22" spans="1:12" ht="15" thickBot="1">
      <c r="A22" s="176" t="s">
        <v>184</v>
      </c>
      <c r="B22" s="172"/>
      <c r="C22" s="172"/>
      <c r="D22" s="97"/>
      <c r="E22" s="97"/>
      <c r="F22" s="97"/>
      <c r="G22" s="97"/>
      <c r="H22" s="97"/>
      <c r="I22" s="97"/>
      <c r="J22" s="97"/>
      <c r="K22" s="98"/>
    </row>
    <row r="23" spans="1:12" ht="15" thickBot="1">
      <c r="A23" s="167"/>
      <c r="B23" s="172" t="s">
        <v>495</v>
      </c>
      <c r="C23" s="172"/>
      <c r="D23" s="97"/>
      <c r="E23" s="97"/>
      <c r="F23" s="597">
        <f>HLOOKUP($A$12,'Repayment Inputs'!$A$2:$J$43,38,FALSE)</f>
        <v>24376.50005244475</v>
      </c>
      <c r="G23" s="224"/>
      <c r="H23" s="97"/>
      <c r="I23" s="97"/>
      <c r="J23" s="97"/>
      <c r="K23" s="98"/>
    </row>
    <row r="24" spans="1:12" ht="15" thickBot="1">
      <c r="A24" s="167"/>
      <c r="B24" s="172" t="s">
        <v>496</v>
      </c>
      <c r="C24" s="172"/>
      <c r="D24" s="97"/>
      <c r="E24" s="97"/>
      <c r="F24" s="182">
        <f>F19</f>
        <v>7521.7604448514721</v>
      </c>
      <c r="G24" s="107"/>
      <c r="H24" s="97"/>
      <c r="I24" s="97"/>
      <c r="J24" s="97"/>
      <c r="K24" s="98"/>
    </row>
    <row r="25" spans="1:12" ht="15" thickBot="1">
      <c r="A25" s="167"/>
      <c r="B25" s="172" t="s">
        <v>497</v>
      </c>
      <c r="C25" s="172"/>
      <c r="D25" s="97"/>
      <c r="E25" s="97"/>
      <c r="F25" s="581">
        <v>11286.889087545353</v>
      </c>
      <c r="G25" s="225"/>
      <c r="H25" s="97"/>
      <c r="I25" s="97"/>
      <c r="J25" s="97"/>
      <c r="K25" s="98"/>
    </row>
    <row r="26" spans="1:12" ht="15" thickBot="1">
      <c r="A26" s="167"/>
      <c r="B26" s="172" t="s">
        <v>498</v>
      </c>
      <c r="C26" s="172"/>
      <c r="D26" s="182">
        <f>F26</f>
        <v>5567.8505200479249</v>
      </c>
      <c r="E26" s="97"/>
      <c r="F26" s="182">
        <f>F23-F24-F25</f>
        <v>5567.8505200479249</v>
      </c>
      <c r="G26" s="107"/>
      <c r="H26" s="97"/>
      <c r="I26" s="97"/>
      <c r="J26" s="97"/>
      <c r="K26" s="98"/>
    </row>
    <row r="27" spans="1:12" ht="15" thickBot="1">
      <c r="A27" s="185" t="s">
        <v>481</v>
      </c>
      <c r="B27" s="172"/>
      <c r="C27" s="172"/>
      <c r="D27" s="596">
        <f>HLOOKUP($A$12,'Revenue Requirement'!$A$2:$I$32,31,FALSE)-$D$26</f>
        <v>33910.695722715478</v>
      </c>
      <c r="E27" s="169">
        <f>D27*E15</f>
        <v>697.89015837236036</v>
      </c>
      <c r="F27" s="169">
        <f>D27*F15</f>
        <v>27780.709557655664</v>
      </c>
      <c r="G27" s="169">
        <f>D27*G15</f>
        <v>3539.7397823205806</v>
      </c>
      <c r="H27" s="169">
        <f>D27*H15</f>
        <v>392.67934562771637</v>
      </c>
      <c r="I27" s="169">
        <f>D27*I15</f>
        <v>70.300189743296016</v>
      </c>
      <c r="J27" s="169">
        <f>D27*J15</f>
        <v>29.922290771323855</v>
      </c>
      <c r="K27" s="178">
        <f>D27*K15</f>
        <v>1399.454398224532</v>
      </c>
    </row>
    <row r="28" spans="1:12" ht="15.75" thickBot="1">
      <c r="A28" s="179" t="s">
        <v>185</v>
      </c>
      <c r="B28" s="172"/>
      <c r="C28" s="172"/>
      <c r="D28" s="180">
        <f>D27+D26</f>
        <v>39478.546242763405</v>
      </c>
      <c r="E28" s="617">
        <f t="shared" ref="E28:K28" si="1">E27+E26</f>
        <v>697.89015837236036</v>
      </c>
      <c r="F28" s="618">
        <f t="shared" si="1"/>
        <v>33348.560077703587</v>
      </c>
      <c r="G28" s="618">
        <f t="shared" si="1"/>
        <v>3539.7397823205806</v>
      </c>
      <c r="H28" s="618">
        <f t="shared" si="1"/>
        <v>392.67934562771637</v>
      </c>
      <c r="I28" s="618">
        <f t="shared" si="1"/>
        <v>70.300189743296016</v>
      </c>
      <c r="J28" s="618">
        <f t="shared" si="1"/>
        <v>29.922290771323855</v>
      </c>
      <c r="K28" s="625">
        <f t="shared" si="1"/>
        <v>1399.454398224532</v>
      </c>
      <c r="L28" s="286" t="s">
        <v>708</v>
      </c>
    </row>
    <row r="29" spans="1:12" ht="15.75" thickBot="1">
      <c r="A29" s="176" t="s">
        <v>189</v>
      </c>
      <c r="B29" s="172"/>
      <c r="C29" s="172"/>
      <c r="D29" s="122"/>
      <c r="E29" s="122"/>
      <c r="F29" s="122"/>
      <c r="G29" s="122"/>
      <c r="H29" s="122"/>
      <c r="I29" s="122"/>
      <c r="J29" s="122"/>
      <c r="K29" s="121"/>
    </row>
    <row r="30" spans="1:12" ht="15" thickBot="1">
      <c r="A30" s="186" t="s">
        <v>550</v>
      </c>
      <c r="B30" s="172"/>
      <c r="C30" s="172"/>
      <c r="D30" s="169">
        <f>SUM(E30:K30)</f>
        <v>272689.04538600001</v>
      </c>
      <c r="E30" s="583">
        <v>4807</v>
      </c>
      <c r="F30" s="584">
        <v>214171.04538600001</v>
      </c>
      <c r="G30" s="584">
        <v>27784</v>
      </c>
      <c r="H30" s="584">
        <v>3349</v>
      </c>
      <c r="I30" s="584">
        <v>448</v>
      </c>
      <c r="J30" s="584">
        <v>188</v>
      </c>
      <c r="K30" s="585">
        <v>21942</v>
      </c>
    </row>
    <row r="31" spans="1:12" ht="15" thickBot="1">
      <c r="A31" s="186" t="s">
        <v>186</v>
      </c>
      <c r="B31" s="172"/>
      <c r="C31" s="172"/>
      <c r="D31" s="188">
        <f>SUM(E31:K31)</f>
        <v>1</v>
      </c>
      <c r="E31" s="189">
        <f>E49/D49</f>
        <v>1.4806929556999991E-2</v>
      </c>
      <c r="F31" s="189">
        <f>F49/D49</f>
        <v>0.56806754626517664</v>
      </c>
      <c r="G31" s="189">
        <f>G49/D49</f>
        <v>7.8034397597087704E-2</v>
      </c>
      <c r="H31" s="189">
        <f>H49/D49</f>
        <v>7.4689612990270753E-3</v>
      </c>
      <c r="I31" s="189">
        <f>I49/D49</f>
        <v>3.894062943082329E-3</v>
      </c>
      <c r="J31" s="189">
        <f>J49/D49</f>
        <v>9.5891849806064894E-4</v>
      </c>
      <c r="K31" s="190">
        <f>K49/D49</f>
        <v>0.32676918384056558</v>
      </c>
    </row>
    <row r="32" spans="1:12" ht="15" thickBot="1">
      <c r="A32" s="186" t="s">
        <v>187</v>
      </c>
      <c r="B32" s="172"/>
      <c r="C32" s="172"/>
      <c r="D32" s="586">
        <v>79954</v>
      </c>
      <c r="E32" s="169">
        <f>D32*E31</f>
        <v>1183.8732458003774</v>
      </c>
      <c r="F32" s="169">
        <f>D32*F31</f>
        <v>45419.272594085931</v>
      </c>
      <c r="G32" s="169">
        <f>D32*G31</f>
        <v>6239.1622254775502</v>
      </c>
      <c r="H32" s="169">
        <f>D32*H31</f>
        <v>597.17333170241079</v>
      </c>
      <c r="I32" s="169">
        <f>D32*I31</f>
        <v>311.34590855120456</v>
      </c>
      <c r="J32" s="169">
        <f>D32*J31</f>
        <v>76.669369593941127</v>
      </c>
      <c r="K32" s="178">
        <f>D32*K31</f>
        <v>26126.50332478858</v>
      </c>
    </row>
    <row r="33" spans="1:12" ht="15.75" thickBot="1">
      <c r="A33" s="179" t="s">
        <v>188</v>
      </c>
      <c r="B33" s="172"/>
      <c r="C33" s="172"/>
      <c r="D33" s="180">
        <f>SUM(E33:K33)</f>
        <v>352643.04538600001</v>
      </c>
      <c r="E33" s="617">
        <f t="shared" ref="E33:K33" si="2">E32+E30</f>
        <v>5990.8732458003778</v>
      </c>
      <c r="F33" s="618">
        <f t="shared" si="2"/>
        <v>259590.31798008594</v>
      </c>
      <c r="G33" s="618">
        <f t="shared" si="2"/>
        <v>34023.16222547755</v>
      </c>
      <c r="H33" s="618">
        <f t="shared" si="2"/>
        <v>3946.1733317024109</v>
      </c>
      <c r="I33" s="618">
        <f t="shared" si="2"/>
        <v>759.3459085512045</v>
      </c>
      <c r="J33" s="618">
        <f t="shared" si="2"/>
        <v>264.66936959394116</v>
      </c>
      <c r="K33" s="625">
        <f t="shared" si="2"/>
        <v>48068.50332478858</v>
      </c>
      <c r="L33" s="286" t="s">
        <v>708</v>
      </c>
    </row>
    <row r="34" spans="1:12" ht="9" customHeight="1">
      <c r="A34" s="167"/>
      <c r="B34" s="172"/>
      <c r="C34" s="172"/>
      <c r="D34" s="97"/>
      <c r="E34" s="97"/>
      <c r="F34" s="97"/>
      <c r="G34" s="97"/>
      <c r="H34" s="97"/>
      <c r="I34" s="97"/>
      <c r="J34" s="97"/>
      <c r="K34" s="98"/>
    </row>
    <row r="35" spans="1:12" ht="15">
      <c r="A35" s="165" t="s">
        <v>236</v>
      </c>
      <c r="B35" s="172"/>
      <c r="C35" s="172"/>
      <c r="D35" s="97"/>
      <c r="E35" s="97"/>
      <c r="F35" s="97"/>
      <c r="G35" s="97"/>
      <c r="H35" s="97"/>
      <c r="I35" s="97"/>
      <c r="J35" s="97"/>
      <c r="K35" s="98"/>
    </row>
    <row r="36" spans="1:12" ht="15" thickBot="1">
      <c r="A36" s="191" t="s">
        <v>520</v>
      </c>
      <c r="B36" s="172"/>
      <c r="C36" s="172"/>
      <c r="D36" s="97"/>
      <c r="E36" s="97"/>
      <c r="F36" s="97"/>
      <c r="G36" s="97"/>
      <c r="H36" s="97"/>
      <c r="I36" s="97"/>
      <c r="J36" s="97"/>
      <c r="K36" s="98"/>
    </row>
    <row r="37" spans="1:12">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2"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2" ht="15">
      <c r="A39" s="195" t="s">
        <v>301</v>
      </c>
      <c r="B39" s="168"/>
      <c r="C39" s="168"/>
      <c r="D39" s="193">
        <f>SUM(D37:D38)</f>
        <v>192019.62406142859</v>
      </c>
      <c r="E39" s="97"/>
      <c r="F39" s="97"/>
      <c r="G39" s="97"/>
      <c r="H39" s="97"/>
      <c r="I39" s="97"/>
      <c r="J39" s="97"/>
      <c r="K39" s="98"/>
    </row>
    <row r="40" spans="1:12" ht="15" thickBot="1">
      <c r="A40" s="196" t="s">
        <v>239</v>
      </c>
      <c r="B40" s="172"/>
      <c r="C40" s="172"/>
      <c r="D40" s="97"/>
      <c r="E40" s="97"/>
      <c r="F40" s="97"/>
      <c r="G40" s="97"/>
      <c r="H40" s="97"/>
      <c r="I40" s="97"/>
      <c r="J40" s="97"/>
      <c r="K40" s="98"/>
    </row>
    <row r="41" spans="1:12" ht="15" thickBot="1">
      <c r="A41" s="185" t="s">
        <v>240</v>
      </c>
      <c r="B41" s="172"/>
      <c r="C41" s="172"/>
      <c r="D41" s="607">
        <f>SUM((HLOOKUP($A$12,'Expense Input File'!$B$27:$L$70,3,FALSE)),(HLOOKUP($A$12,'Expense Input File'!$B$27:$L$70,4,FALSE)),(HLOOKUP($A$12,'Expense Input File'!$B$27:$L$70,5,FALSE)), (HLOOKUP($A$12,'Expense Input File'!$B$27:$L$70,6,FALSE)),(HLOOKUP($A$12,'Expense Input File'!$B$27:$L$70,7,FALSE)))-$K$41</f>
        <v>32627.227325</v>
      </c>
      <c r="E41" s="97"/>
      <c r="F41" s="606">
        <f>(HLOOKUP($A$12,'Expense Input File'!$A$27:$L$70,33,FALSE))</f>
        <v>0</v>
      </c>
      <c r="G41" s="97"/>
      <c r="H41" s="97"/>
      <c r="I41" s="97"/>
      <c r="J41" s="97"/>
      <c r="K41" s="606">
        <f>SUM((HLOOKUP($A$12,'Expense Input File'!$B$27:$L$70,3,FALSE)),(HLOOKUP($A$12,'Expense Input File'!$B$27:$L$70,4,FALSE)),(HLOOKUP($A$12,'Expense Input File'!$B$27:$L$70,5,FALSE)), (HLOOKUP($A$12,'Expense Input File'!$B$27:$L$70,6,FALSE)))-(HLOOKUP($A$12,'Expense Input File'!$A$27:$L$70,8,FALSE))</f>
        <v>81377.205619999993</v>
      </c>
    </row>
    <row r="42" spans="1:12" ht="15" thickBot="1">
      <c r="A42" s="185" t="s">
        <v>241</v>
      </c>
      <c r="B42" s="172"/>
      <c r="C42" s="172"/>
      <c r="D42" s="609">
        <f>HLOOKUP($A$12,'Expense Input File'!$B$14:$L$24,4,FALSE)</f>
        <v>199815.823378</v>
      </c>
      <c r="E42" s="97"/>
      <c r="F42" s="97"/>
      <c r="G42" s="97"/>
      <c r="H42" s="97"/>
      <c r="I42" s="97"/>
      <c r="J42" s="97"/>
      <c r="K42" s="98"/>
    </row>
    <row r="43" spans="1:12" ht="5.25" customHeight="1">
      <c r="A43" s="185"/>
      <c r="B43" s="172"/>
      <c r="C43" s="172"/>
      <c r="D43" s="100"/>
      <c r="E43" s="97"/>
      <c r="F43" s="97"/>
      <c r="G43" s="97"/>
      <c r="H43" s="97"/>
      <c r="I43" s="97"/>
      <c r="J43" s="97"/>
      <c r="K43" s="98"/>
    </row>
    <row r="44" spans="1:12">
      <c r="A44" s="199" t="s">
        <v>266</v>
      </c>
      <c r="B44" s="172"/>
      <c r="C44" s="172"/>
      <c r="D44" s="182">
        <f>SUM(D41:D42)</f>
        <v>232443.05070299999</v>
      </c>
      <c r="E44" s="97"/>
      <c r="F44" s="97"/>
      <c r="G44" s="97"/>
      <c r="H44" s="97"/>
      <c r="I44" s="97"/>
      <c r="J44" s="97"/>
      <c r="K44" s="98"/>
    </row>
    <row r="45" spans="1:12">
      <c r="A45" s="200" t="s">
        <v>267</v>
      </c>
      <c r="B45" s="172"/>
      <c r="C45" s="172"/>
      <c r="D45" s="182">
        <f>D44-D46</f>
        <v>66890.696691551857</v>
      </c>
      <c r="E45" s="226">
        <f>(E37/D37)*D45</f>
        <v>800.17950111024368</v>
      </c>
      <c r="F45" s="182">
        <f>(F37/D37)*D45</f>
        <v>61507.291376965259</v>
      </c>
      <c r="G45" s="182">
        <f>(G37/D37)*D45</f>
        <v>3402.4870470012629</v>
      </c>
      <c r="H45" s="182">
        <f>(H37/D37)*D45</f>
        <v>1162.3242302539234</v>
      </c>
      <c r="I45" s="182">
        <f>(I37/D37)*D45</f>
        <v>18.414536221173098</v>
      </c>
      <c r="J45" s="182">
        <f>(J37/D37)*D45</f>
        <v>0</v>
      </c>
      <c r="K45" s="98"/>
    </row>
    <row r="46" spans="1:12">
      <c r="A46" s="200" t="s">
        <v>269</v>
      </c>
      <c r="B46" s="172"/>
      <c r="C46" s="172"/>
      <c r="D46" s="169">
        <f>((D38/D39)*D44)</f>
        <v>165552.35401144813</v>
      </c>
      <c r="E46" s="226">
        <f>(E38/D38)*D46</f>
        <v>4312.1353174651731</v>
      </c>
      <c r="F46" s="182">
        <f>(F38/D38)*D46</f>
        <v>134626.56092128545</v>
      </c>
      <c r="G46" s="182">
        <f>(G38/D38)*D46</f>
        <v>23540.060741753485</v>
      </c>
      <c r="H46" s="182">
        <f>(H38/D38)*D46</f>
        <v>1416.4468364545719</v>
      </c>
      <c r="I46" s="182">
        <f>(I38/D38)*D46</f>
        <v>1326.0691807945411</v>
      </c>
      <c r="J46" s="182">
        <f>(J38/D38)*D46</f>
        <v>331.08101369496785</v>
      </c>
      <c r="K46" s="98"/>
    </row>
    <row r="47" spans="1:12" ht="15.75" thickBot="1">
      <c r="A47" s="202" t="s">
        <v>268</v>
      </c>
      <c r="B47" s="168"/>
      <c r="C47" s="168"/>
      <c r="D47" s="182">
        <f>SUM(E47:J47)</f>
        <v>232443.05070300004</v>
      </c>
      <c r="E47" s="182">
        <f t="shared" ref="E47:J47" si="3">SUM(E45:E46)</f>
        <v>5112.3148185754171</v>
      </c>
      <c r="F47" s="182">
        <f t="shared" si="3"/>
        <v>196133.85229825071</v>
      </c>
      <c r="G47" s="182">
        <f t="shared" si="3"/>
        <v>26942.547788754746</v>
      </c>
      <c r="H47" s="182">
        <f t="shared" si="3"/>
        <v>2578.7710667084953</v>
      </c>
      <c r="I47" s="182">
        <f t="shared" si="3"/>
        <v>1344.4837170157143</v>
      </c>
      <c r="J47" s="182">
        <f t="shared" si="3"/>
        <v>331.08101369496785</v>
      </c>
      <c r="K47" s="98"/>
    </row>
    <row r="48" spans="1:12" ht="15" thickBot="1">
      <c r="A48" s="203" t="s">
        <v>25</v>
      </c>
      <c r="B48" s="172"/>
      <c r="C48" s="172"/>
      <c r="D48" s="204">
        <f>K48</f>
        <v>31444.762930000001</v>
      </c>
      <c r="E48" s="119"/>
      <c r="F48" s="119"/>
      <c r="G48" s="119"/>
      <c r="H48" s="119"/>
      <c r="I48" s="119"/>
      <c r="J48" s="119"/>
      <c r="K48" s="607">
        <f>SUM((HLOOKUP($A$12,'Expense Input File'!$A$27:$L$70,24,FALSE)),(HLOOKUP($A$12,'Expense Input File'!$A$27:$L$70,25,FALSE)),(HLOOKUP($A$12,'Expense Input File'!$A$27:$L$70,26,FALSE)),(HLOOKUP($A$12,'Expense Input File'!$A$27:$L$70,27,FALSE)),(HLOOKUP($A$12,'Expense Input File'!$A$27:$L$70,28,FALSE)))</f>
        <v>31444.762930000001</v>
      </c>
    </row>
    <row r="49" spans="1:12" ht="15.75" thickBot="1">
      <c r="A49" s="206" t="s">
        <v>270</v>
      </c>
      <c r="B49" s="168"/>
      <c r="C49" s="168"/>
      <c r="D49" s="180">
        <f>SUM(E49:K49)</f>
        <v>345265.01925300003</v>
      </c>
      <c r="E49" s="180">
        <f t="shared" ref="E49:J49" si="4">E47</f>
        <v>5112.3148185754171</v>
      </c>
      <c r="F49" s="180">
        <f>F47+F41</f>
        <v>196133.85229825071</v>
      </c>
      <c r="G49" s="180">
        <f t="shared" si="4"/>
        <v>26942.547788754746</v>
      </c>
      <c r="H49" s="180">
        <f t="shared" si="4"/>
        <v>2578.7710667084953</v>
      </c>
      <c r="I49" s="180">
        <f t="shared" si="4"/>
        <v>1344.4837170157143</v>
      </c>
      <c r="J49" s="180">
        <f t="shared" si="4"/>
        <v>331.08101369496785</v>
      </c>
      <c r="K49" s="625">
        <f>K48+K41</f>
        <v>112821.96854999999</v>
      </c>
      <c r="L49" s="286" t="s">
        <v>707</v>
      </c>
    </row>
    <row r="50" spans="1:12" ht="15" thickBot="1">
      <c r="A50" s="196" t="s">
        <v>271</v>
      </c>
      <c r="B50" s="172"/>
      <c r="C50" s="172"/>
      <c r="D50" s="97"/>
      <c r="E50" s="97"/>
      <c r="F50" s="97"/>
      <c r="G50" s="97"/>
      <c r="H50" s="97"/>
      <c r="I50" s="97"/>
      <c r="J50" s="97"/>
      <c r="K50" s="98"/>
    </row>
    <row r="51" spans="1:12" ht="15" thickBot="1">
      <c r="A51" s="207" t="s">
        <v>46</v>
      </c>
      <c r="B51" s="172"/>
      <c r="C51" s="172"/>
      <c r="D51" s="607">
        <f>SUM((HLOOKUP($A$12,'Expense Input File'!$A$27:$L$70,10,FALSE)),(HLOOKUP($A$12,'Expense Input File'!$A$27:$L$70,11,FALSE)),(HLOOKUP($A$12,'Expense Input File'!$A$27:$L$70,12,FALSE)),(HLOOKUP($A$12,'Expense Input File'!$A$27:$L$70,13,FALSE)))</f>
        <v>15248.165201</v>
      </c>
      <c r="E51" s="169">
        <f>(E49/D49)*D51</f>
        <v>225.7785080047056</v>
      </c>
      <c r="F51" s="169">
        <f>(F49/D49)*D51</f>
        <v>8661.9877907781247</v>
      </c>
      <c r="G51" s="169">
        <f>(G49/D49)*D51</f>
        <v>1189.8813859209108</v>
      </c>
      <c r="H51" s="169">
        <f>(H49/D49)*D51</f>
        <v>113.8879557674404</v>
      </c>
      <c r="I51" s="169">
        <f>(I49/D49)*D51</f>
        <v>59.377315059211611</v>
      </c>
      <c r="J51" s="169">
        <f>(J49/D49)*D51</f>
        <v>14.621747672723574</v>
      </c>
      <c r="K51" s="623">
        <f>(K49/D49)*D51</f>
        <v>4982.6304977968839</v>
      </c>
      <c r="L51" s="286" t="s">
        <v>707</v>
      </c>
    </row>
    <row r="52" spans="1:12" ht="15" thickBot="1">
      <c r="A52" s="207" t="s">
        <v>47</v>
      </c>
      <c r="B52" s="172"/>
      <c r="C52" s="172"/>
      <c r="D52" s="608">
        <f>SUM((HLOOKUP($A$12,'Expense Input File'!$A$27:$L$70,14,FALSE)),(HLOOKUP($A$12,'Expense Input File'!$A$27:$L$70,16,FALSE)),(HLOOKUP($A$12,'Expense Input File'!$A$27:$L$70,17,FALSE)),(HLOOKUP($A$12,'Expense Input File'!$A$27:$L$70,18,FALSE)),(HLOOKUP($A$12,'Expense Input File'!$A$27:$L$70,19,FALSE)),(HLOOKUP($A$12,'Expense Input File'!$A$27:$L$70,20,FALSE)),(HLOOKUP($A$12,'Expense Input File'!$A$27:$L$70,21,FALSE)),(HLOOKUP($A$12,'Expense Input File'!$A$27:$L$70,30,FALSE)),(HLOOKUP($A$12,'Expense Input File'!$A$27:$L$70,31,FALSE)),(HLOOKUP($A$12,'Expense Input File'!$A$27:$L$70,32,FALSE)))</f>
        <v>25735.676405999999</v>
      </c>
      <c r="E52" s="169">
        <f>(E49/D49)*D52</f>
        <v>381.0663476453887</v>
      </c>
      <c r="F52" s="169">
        <f>(F49/D49)*D52</f>
        <v>14619.602547431019</v>
      </c>
      <c r="G52" s="169">
        <f>(G49/D49)*D52</f>
        <v>2008.2680050957931</v>
      </c>
      <c r="H52" s="169">
        <f>(H49/D49)*D52</f>
        <v>192.21877108069819</v>
      </c>
      <c r="I52" s="169">
        <f>(I49/D49)*D52</f>
        <v>100.21634380776281</v>
      </c>
      <c r="J52" s="169">
        <f>(J49/D49)*D52</f>
        <v>24.678416165816397</v>
      </c>
      <c r="K52" s="626">
        <f>(K49/D49)*D52</f>
        <v>8409.6259747735203</v>
      </c>
      <c r="L52" s="286" t="s">
        <v>707</v>
      </c>
    </row>
    <row r="53" spans="1:12" ht="15" thickBot="1">
      <c r="A53" s="207" t="s">
        <v>273</v>
      </c>
      <c r="B53" s="172"/>
      <c r="C53" s="172"/>
      <c r="D53" s="608">
        <f>HLOOKUP($A$12,'Expense Input File'!$B$14:$L$24,3,FALSE)</f>
        <v>59061.537682999995</v>
      </c>
      <c r="E53" s="610">
        <f>(E49/D49)*(D53-(HLOOKUP($A$12,'Expense Input File'!$A$14:$L$24,10,FALSE)))</f>
        <v>840.46409016725067</v>
      </c>
      <c r="F53" s="591">
        <f>(F49/D49)*(D53-(HLOOKUP($A$12,'Expense Input File'!$A$14:$L$24,10,FALSE)))</f>
        <v>32244.387439500839</v>
      </c>
      <c r="G53" s="611">
        <f>(G49/D49)*(D53-(HLOOKUP($A$12,'Expense Input File'!$A$14:$L$24,10,FALSE)))</f>
        <v>4429.3524005576419</v>
      </c>
      <c r="H53" s="611">
        <f>(H49/D49)*(D53-(HLOOKUP($A$12,'Expense Input File'!$A$14:$L$24,10,FALSE)))</f>
        <v>423.94972830228352</v>
      </c>
      <c r="I53" s="611">
        <f>(I49/D49)*(D53-(HLOOKUP($A$12,'Expense Input File'!$A$14:$L$24,10,FALSE)))</f>
        <v>221.0330005226821</v>
      </c>
      <c r="J53" s="591">
        <f>(J49/D49)*(D53-(HLOOKUP($A$12,'Expense Input File'!$A$14:$L$24,10,FALSE)))</f>
        <v>54.429688472184466</v>
      </c>
      <c r="K53" s="628">
        <f>((K49/D49)*(D53-(HLOOKUP($A$12,'Expense Input File'!$A$14:$L$24,10,FALSE))))+(HLOOKUP($A$12,'Expense Input File'!$A$14:$L$24,10,FALSE))</f>
        <v>20847.921335477105</v>
      </c>
      <c r="L53" s="286" t="s">
        <v>707</v>
      </c>
    </row>
    <row r="54" spans="1:12" ht="15" thickBot="1">
      <c r="A54" s="207" t="s">
        <v>292</v>
      </c>
      <c r="B54" s="172"/>
      <c r="C54" s="172"/>
      <c r="D54" s="609">
        <f>SUM((HLOOKUP($A$12,'Expense Input File'!$A$14:$L$24,7,FALSE)),(HLOOKUP($A$12,'Expense Input File'!$A$14:$L$24,8,FALSE)))</f>
        <v>139935.24331299998</v>
      </c>
      <c r="E54" s="209">
        <f>(E49/D49)*D54</f>
        <v>2072.0112902772448</v>
      </c>
      <c r="F54" s="209">
        <f>(F49/D49)*D54</f>
        <v>79492.670304836371</v>
      </c>
      <c r="G54" s="209">
        <f>(G49/D49)*D54</f>
        <v>10919.76241453185</v>
      </c>
      <c r="H54" s="209">
        <f>(H49/D49)*D54</f>
        <v>1045.1709166747341</v>
      </c>
      <c r="I54" s="209">
        <f>(I49/D49)*D54</f>
        <v>544.91664541636248</v>
      </c>
      <c r="J54" s="209">
        <f>(J49/D49)*D54</f>
        <v>134.18649334345341</v>
      </c>
      <c r="K54" s="627">
        <f>(K49/D49)*D54</f>
        <v>45726.52524791997</v>
      </c>
      <c r="L54" s="286" t="s">
        <v>707</v>
      </c>
    </row>
    <row r="55" spans="1:12" ht="15.75" thickBot="1">
      <c r="A55" s="211" t="s">
        <v>290</v>
      </c>
      <c r="B55" s="172"/>
      <c r="C55" s="172"/>
      <c r="D55" s="180">
        <f>SUM(D51:D54)</f>
        <v>239980.62260299997</v>
      </c>
      <c r="E55" s="180">
        <f t="shared" ref="E55:J55" si="5">SUM(E51:E54)</f>
        <v>3519.3202360945897</v>
      </c>
      <c r="F55" s="180">
        <f t="shared" si="5"/>
        <v>135018.64808254637</v>
      </c>
      <c r="G55" s="180">
        <f t="shared" si="5"/>
        <v>18547.264206106196</v>
      </c>
      <c r="H55" s="180">
        <f t="shared" si="5"/>
        <v>1775.2273718251563</v>
      </c>
      <c r="I55" s="180">
        <f t="shared" si="5"/>
        <v>925.54330480601902</v>
      </c>
      <c r="J55" s="180">
        <f t="shared" si="5"/>
        <v>227.91634565417786</v>
      </c>
      <c r="K55" s="625">
        <f>SUM(K51:K54)</f>
        <v>79966.703055967475</v>
      </c>
      <c r="L55" s="286" t="s">
        <v>707</v>
      </c>
    </row>
    <row r="56" spans="1:12" ht="15.75" thickBot="1">
      <c r="A56" s="165" t="s">
        <v>262</v>
      </c>
      <c r="B56" s="172"/>
      <c r="C56" s="172"/>
      <c r="D56" s="180">
        <f t="shared" ref="D56:K56" si="6">D55+D49</f>
        <v>585245.64185600006</v>
      </c>
      <c r="E56" s="617">
        <f t="shared" si="6"/>
        <v>8631.6350546700069</v>
      </c>
      <c r="F56" s="618">
        <f t="shared" si="6"/>
        <v>331152.50038079708</v>
      </c>
      <c r="G56" s="618">
        <f t="shared" si="6"/>
        <v>45489.811994860938</v>
      </c>
      <c r="H56" s="618">
        <f t="shared" si="6"/>
        <v>4353.998438533652</v>
      </c>
      <c r="I56" s="618">
        <f t="shared" si="6"/>
        <v>2270.0270218217333</v>
      </c>
      <c r="J56" s="618">
        <f t="shared" si="6"/>
        <v>558.99735934914565</v>
      </c>
      <c r="K56" s="619">
        <f t="shared" si="6"/>
        <v>192788.67160596745</v>
      </c>
      <c r="L56" s="286" t="s">
        <v>704</v>
      </c>
    </row>
    <row r="57" spans="1:12">
      <c r="A57" s="212" t="s">
        <v>177</v>
      </c>
      <c r="B57" s="172"/>
      <c r="C57" s="172"/>
      <c r="D57" s="97"/>
      <c r="E57" s="97"/>
      <c r="F57" s="97"/>
      <c r="G57" s="97"/>
      <c r="H57" s="97"/>
      <c r="I57" s="97"/>
      <c r="J57" s="97"/>
      <c r="K57" s="98"/>
    </row>
    <row r="58" spans="1:12" ht="15" thickBot="1">
      <c r="A58" s="185" t="s">
        <v>278</v>
      </c>
      <c r="B58" s="172"/>
      <c r="C58" s="172"/>
      <c r="D58" s="100"/>
      <c r="E58" s="97"/>
      <c r="F58" s="97"/>
      <c r="G58" s="97"/>
      <c r="H58" s="97"/>
      <c r="I58" s="97"/>
      <c r="J58" s="97"/>
      <c r="K58" s="98"/>
    </row>
    <row r="59" spans="1:12" ht="15">
      <c r="A59" s="185" t="s">
        <v>276</v>
      </c>
      <c r="B59" s="172"/>
      <c r="C59" s="172"/>
      <c r="D59" s="607">
        <f>(HLOOKUP($A$12,'Expense Input File'!$A$27:$L$91,37,FALSE))</f>
        <v>5730.9392149999994</v>
      </c>
      <c r="E59" s="100"/>
      <c r="F59" s="213">
        <v>3576.5042495595526</v>
      </c>
      <c r="G59" s="100"/>
      <c r="H59" s="100"/>
      <c r="I59" s="213">
        <v>2154.4349654404464</v>
      </c>
      <c r="J59" s="100"/>
      <c r="K59" s="98"/>
    </row>
    <row r="60" spans="1:12">
      <c r="A60" s="185" t="s">
        <v>277</v>
      </c>
      <c r="B60" s="172"/>
      <c r="C60" s="172"/>
      <c r="D60" s="608">
        <f>(HLOOKUP($A$12,'Expense Input File'!$A$27:$L$91,38,FALSE))</f>
        <v>4697.9110549999996</v>
      </c>
      <c r="E60" s="100"/>
      <c r="F60" s="97"/>
      <c r="G60" s="182">
        <f>D60</f>
        <v>4697.9110549999996</v>
      </c>
      <c r="H60" s="97"/>
      <c r="I60" s="97"/>
      <c r="J60" s="97"/>
      <c r="K60" s="98"/>
    </row>
    <row r="61" spans="1:12" ht="15" thickBot="1">
      <c r="A61" s="185" t="s">
        <v>275</v>
      </c>
      <c r="B61" s="172"/>
      <c r="C61" s="172"/>
      <c r="D61" s="608">
        <f>(HLOOKUP($A$12,'Expense Input File'!$A$27:$L$91,41,FALSE))</f>
        <v>0</v>
      </c>
      <c r="E61" s="100"/>
      <c r="F61" s="182">
        <f>D61</f>
        <v>0</v>
      </c>
      <c r="G61" s="97"/>
      <c r="H61" s="97"/>
      <c r="I61" s="97"/>
      <c r="J61" s="97"/>
      <c r="K61" s="98"/>
    </row>
    <row r="62" spans="1:12" ht="15.75" thickBot="1">
      <c r="A62" s="185" t="s">
        <v>469</v>
      </c>
      <c r="B62" s="172"/>
      <c r="C62" s="172"/>
      <c r="D62" s="608">
        <f>(HLOOKUP($A$12,'Expense Input File'!$A$27:$L$91,39,FALSE))</f>
        <v>0</v>
      </c>
      <c r="E62" s="100"/>
      <c r="F62" s="614">
        <f>$D$62*0.397156801</f>
        <v>0</v>
      </c>
      <c r="G62" s="614">
        <f>$D$62*0.602844218</f>
        <v>0</v>
      </c>
      <c r="H62" s="97"/>
      <c r="I62" s="97"/>
      <c r="J62" s="97"/>
      <c r="K62" s="98"/>
    </row>
    <row r="63" spans="1:12" ht="15" thickBot="1">
      <c r="A63" s="185" t="s">
        <v>274</v>
      </c>
      <c r="B63" s="172"/>
      <c r="C63" s="172"/>
      <c r="D63" s="609">
        <f>HLOOKUP($A$12,'Expense Input File'!$B$27:$L$91,42,FALSE)</f>
        <v>0</v>
      </c>
      <c r="E63" s="169">
        <f>(E38/D38)*D63</f>
        <v>0</v>
      </c>
      <c r="F63" s="169">
        <f>(F38/D38)*D63</f>
        <v>0</v>
      </c>
      <c r="G63" s="169">
        <f>(G38/D38)*D63</f>
        <v>0</v>
      </c>
      <c r="H63" s="169">
        <f>(H38/D38)*D63</f>
        <v>0</v>
      </c>
      <c r="I63" s="169">
        <f>(I38/D38)*D63</f>
        <v>0</v>
      </c>
      <c r="J63" s="169">
        <f>(J38/D38)*D63</f>
        <v>0</v>
      </c>
      <c r="K63" s="98"/>
    </row>
    <row r="64" spans="1:12" ht="15.75" thickBot="1">
      <c r="A64" s="185" t="s">
        <v>263</v>
      </c>
      <c r="B64" s="168"/>
      <c r="C64" s="172"/>
      <c r="D64" s="404">
        <f>K64</f>
        <v>786.119778</v>
      </c>
      <c r="E64" s="100"/>
      <c r="F64" s="97"/>
      <c r="G64" s="97"/>
      <c r="H64" s="97"/>
      <c r="I64" s="97"/>
      <c r="J64" s="97"/>
      <c r="K64" s="588">
        <f>HLOOKUP($A$12,'Expense Input File'!$A$27:$L$91,35,FALSE)</f>
        <v>786.119778</v>
      </c>
    </row>
    <row r="65" spans="1:12" ht="15">
      <c r="A65" s="185" t="s">
        <v>665</v>
      </c>
      <c r="B65" s="168"/>
      <c r="C65" s="172"/>
      <c r="D65" s="404">
        <f>K65</f>
        <v>0</v>
      </c>
      <c r="E65" s="100"/>
      <c r="F65" s="100"/>
      <c r="G65" s="100"/>
      <c r="H65" s="100"/>
      <c r="I65" s="100"/>
      <c r="J65" s="100"/>
      <c r="K65" s="99">
        <f>HLOOKUP($A$12,'Expense Input File'!$H$14:$L$107,MATCH($A$65,'Expense Input File'!$B$14:$B$107,0),0)</f>
        <v>0</v>
      </c>
    </row>
    <row r="66" spans="1:12" ht="15">
      <c r="A66" s="179" t="s">
        <v>288</v>
      </c>
      <c r="B66" s="172"/>
      <c r="C66" s="172"/>
      <c r="D66" s="405">
        <f>SUM(D59:D65)</f>
        <v>11214.970047999999</v>
      </c>
      <c r="E66" s="405">
        <f t="shared" ref="E66:K66" si="7">SUM(E59:E65)</f>
        <v>0</v>
      </c>
      <c r="F66" s="405">
        <f t="shared" si="7"/>
        <v>3576.5042495595526</v>
      </c>
      <c r="G66" s="405">
        <f t="shared" si="7"/>
        <v>4697.9110549999996</v>
      </c>
      <c r="H66" s="405">
        <f t="shared" si="7"/>
        <v>0</v>
      </c>
      <c r="I66" s="405">
        <f t="shared" si="7"/>
        <v>2154.4349654404464</v>
      </c>
      <c r="J66" s="405">
        <f t="shared" si="7"/>
        <v>0</v>
      </c>
      <c r="K66" s="406">
        <f t="shared" si="7"/>
        <v>786.119778</v>
      </c>
    </row>
    <row r="67" spans="1:12" ht="15" thickBot="1">
      <c r="A67" s="185" t="s">
        <v>279</v>
      </c>
      <c r="B67" s="172"/>
      <c r="C67" s="172"/>
      <c r="D67" s="97"/>
      <c r="E67" s="100"/>
      <c r="F67" s="97"/>
      <c r="G67" s="97"/>
      <c r="H67" s="97"/>
      <c r="I67" s="97"/>
      <c r="J67" s="97"/>
      <c r="K67" s="98"/>
    </row>
    <row r="68" spans="1:12" ht="15" thickBot="1">
      <c r="A68" s="185" t="s">
        <v>42</v>
      </c>
      <c r="B68" s="172"/>
      <c r="C68" s="172"/>
      <c r="D68" s="169">
        <f>SUM(E68:K68)</f>
        <v>221.00000399999999</v>
      </c>
      <c r="E68" s="610">
        <f>(HLOOKUP($A$12,'Expense Input File'!$B$71:$L$93,22,FALSE))*E15</f>
        <v>4.5482324825478875</v>
      </c>
      <c r="F68" s="611">
        <f>(HLOOKUP($A$12,'Expense Input File'!$B$71:$L$93,22,FALSE))*F15</f>
        <v>181.05016109274629</v>
      </c>
      <c r="G68" s="611">
        <f>(HLOOKUP($A$12,'Expense Input File'!$B$71:$L$93,22,FALSE))*G15</f>
        <v>23.06890169545493</v>
      </c>
      <c r="H68" s="611">
        <f>(HLOOKUP($A$12,'Expense Input File'!$B$71:$L$93,22,FALSE))*H15</f>
        <v>2.5591376143990656</v>
      </c>
      <c r="I68" s="611">
        <f>(HLOOKUP($A$12,'Expense Input File'!$B$71:$L$93,22,FALSE))*I15</f>
        <v>0.4581546288966869</v>
      </c>
      <c r="J68" s="591">
        <f>(HLOOKUP($A$12,'Expense Input File'!$B$71:$L$93,22,FALSE))*J15</f>
        <v>0.19500709847489373</v>
      </c>
      <c r="K68" s="624">
        <f>((HLOOKUP($A$12,'Expense Input File'!$B$71:$L$93,22,FALSE))*K15)+(HLOOKUP($A$12,'Expense Input File'!$B$71:$L$93,23,FALSE))</f>
        <v>9.1204093874802084</v>
      </c>
      <c r="L68" s="286" t="s">
        <v>707</v>
      </c>
    </row>
    <row r="69" spans="1:12" ht="15" thickBot="1">
      <c r="A69" s="185" t="s">
        <v>43</v>
      </c>
      <c r="B69" s="172"/>
      <c r="C69" s="172"/>
      <c r="D69" s="607">
        <f>HLOOKUP($A$12,'Expense Input File'!$A$27:$L$91,46,FALSE)</f>
        <v>105896.00000399999</v>
      </c>
      <c r="E69" s="100"/>
      <c r="F69" s="182">
        <f>D69</f>
        <v>105896.00000399999</v>
      </c>
      <c r="G69" s="107"/>
      <c r="H69" s="107"/>
      <c r="I69" s="107"/>
      <c r="J69" s="107"/>
      <c r="K69" s="108"/>
    </row>
    <row r="70" spans="1:12" ht="15" thickBot="1">
      <c r="A70" s="185" t="s">
        <v>44</v>
      </c>
      <c r="B70" s="172"/>
      <c r="C70" s="172"/>
      <c r="D70" s="608">
        <f>HLOOKUP($A$12,'Expense Input File'!$A$27:$L$91,47,FALSE)</f>
        <v>2551.0003320000001</v>
      </c>
      <c r="E70" s="201">
        <f>(E49/D49)*D70</f>
        <v>37.772482215807592</v>
      </c>
      <c r="F70" s="169">
        <f>(F49/D49)*D70</f>
        <v>1449.140499120891</v>
      </c>
      <c r="G70" s="169">
        <f>(G49/D49)*D70</f>
        <v>199.06577417759075</v>
      </c>
      <c r="H70" s="169">
        <f>(H49/D49)*D70</f>
        <v>19.053322753513221</v>
      </c>
      <c r="I70" s="169">
        <f>(I49/D49)*D70</f>
        <v>9.9337558606319192</v>
      </c>
      <c r="J70" s="169">
        <f>(J49/D49)*D70</f>
        <v>2.4462014069136568</v>
      </c>
      <c r="K70" s="623">
        <f>(K49/D49)*D70</f>
        <v>833.58829646465188</v>
      </c>
      <c r="L70" s="286" t="s">
        <v>707</v>
      </c>
    </row>
    <row r="71" spans="1:12" ht="15" thickBot="1">
      <c r="A71" s="185" t="s">
        <v>45</v>
      </c>
      <c r="B71" s="172"/>
      <c r="C71" s="172"/>
      <c r="D71" s="609">
        <f>HLOOKUP($A$12,'Expense Input File'!$A$27:$L$91,48,FALSE)</f>
        <v>706</v>
      </c>
      <c r="E71" s="120"/>
      <c r="F71" s="119"/>
      <c r="G71" s="119"/>
      <c r="H71" s="119"/>
      <c r="I71" s="119"/>
      <c r="J71" s="119"/>
      <c r="K71" s="622">
        <f>D71</f>
        <v>706</v>
      </c>
      <c r="L71" s="286" t="s">
        <v>707</v>
      </c>
    </row>
    <row r="72" spans="1:12" ht="15.75" thickBot="1">
      <c r="A72" s="179" t="s">
        <v>289</v>
      </c>
      <c r="B72" s="172"/>
      <c r="C72" s="172"/>
      <c r="D72" s="217">
        <f>SUM(D68:D71)</f>
        <v>109374.00033999998</v>
      </c>
      <c r="E72" s="217">
        <f t="shared" ref="E72:J72" si="8">SUM(E68:E71)</f>
        <v>42.320714698355481</v>
      </c>
      <c r="F72" s="217">
        <f t="shared" si="8"/>
        <v>107526.19066421362</v>
      </c>
      <c r="G72" s="217">
        <f t="shared" si="8"/>
        <v>222.13467587304569</v>
      </c>
      <c r="H72" s="217">
        <f t="shared" si="8"/>
        <v>21.612460367912288</v>
      </c>
      <c r="I72" s="217">
        <f t="shared" si="8"/>
        <v>10.391910489528605</v>
      </c>
      <c r="J72" s="217">
        <f t="shared" si="8"/>
        <v>2.6412085053885503</v>
      </c>
      <c r="K72" s="692">
        <f>SUM(K68:K71)</f>
        <v>1548.708705852132</v>
      </c>
      <c r="L72" s="286" t="s">
        <v>707</v>
      </c>
    </row>
    <row r="73" spans="1:12" ht="15.75" thickBot="1">
      <c r="A73" s="219" t="s">
        <v>280</v>
      </c>
      <c r="B73" s="219"/>
      <c r="C73" s="219"/>
      <c r="D73" s="220">
        <f>SUM(E73:K73)</f>
        <v>120588.97038799997</v>
      </c>
      <c r="E73" s="617">
        <f>E72+E66</f>
        <v>42.320714698355481</v>
      </c>
      <c r="F73" s="618">
        <f t="shared" ref="F73:K73" si="9">F72+F66</f>
        <v>111102.69491377317</v>
      </c>
      <c r="G73" s="618">
        <f t="shared" si="9"/>
        <v>4920.0457308730456</v>
      </c>
      <c r="H73" s="618">
        <f t="shared" si="9"/>
        <v>21.612460367912288</v>
      </c>
      <c r="I73" s="618">
        <f t="shared" si="9"/>
        <v>2164.8268759299749</v>
      </c>
      <c r="J73" s="618">
        <f t="shared" si="9"/>
        <v>2.6412085053885503</v>
      </c>
      <c r="K73" s="619">
        <f t="shared" si="9"/>
        <v>2334.8284838521322</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f>HLOOKUP($A$12,'Expense Input File'!$A$71:$L$94,24,FALSE)</f>
        <v>1361.7050039999999</v>
      </c>
      <c r="E75" s="617"/>
      <c r="F75" s="618">
        <f>+$D75*(F56/SUM($F56:$H56))</f>
        <v>1183.5600609675159</v>
      </c>
      <c r="G75" s="618">
        <f>+$D75*(G56/SUM($F56:$H56))</f>
        <v>162.58347618129753</v>
      </c>
      <c r="H75" s="618">
        <f>+$D75*(H56/SUM($F56:$H56))</f>
        <v>15.561466851186678</v>
      </c>
      <c r="I75" s="618"/>
      <c r="J75" s="618"/>
      <c r="K75" s="619"/>
      <c r="L75" s="286" t="s">
        <v>704</v>
      </c>
    </row>
    <row r="76" spans="1:12">
      <c r="D76" s="229"/>
    </row>
    <row r="77" spans="1:12">
      <c r="D77" s="286" t="s">
        <v>716</v>
      </c>
      <c r="E77" s="111">
        <f>+E73+E75</f>
        <v>42.320714698355481</v>
      </c>
      <c r="F77" s="111">
        <f t="shared" ref="F77:K77" si="10">+F73+F75</f>
        <v>112286.25497474069</v>
      </c>
      <c r="G77" s="111">
        <f t="shared" si="10"/>
        <v>5082.6292070543432</v>
      </c>
      <c r="H77" s="111">
        <f t="shared" si="10"/>
        <v>37.173927219098964</v>
      </c>
      <c r="I77" s="111">
        <f t="shared" si="10"/>
        <v>2164.8268759299749</v>
      </c>
      <c r="J77" s="111">
        <f t="shared" si="10"/>
        <v>2.6412085053885503</v>
      </c>
      <c r="K77" s="111">
        <f t="shared" si="10"/>
        <v>2334.8284838521322</v>
      </c>
      <c r="L77" s="90" t="s">
        <v>719</v>
      </c>
    </row>
  </sheetData>
  <customSheetViews>
    <customSheetView guid="{2226E858-00AE-4A92-8CF6-5B54D2FA62D4}" showPageBreaks="1" fitToPage="1" topLeftCell="A22">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400-000000000000}"/>
    <hyperlink ref="I4" location="AFUDC!A1" display="AFUDC" xr:uid="{00000000-0004-0000-1400-000001000000}"/>
    <hyperlink ref="I3" location="'Repayment Inputs'!A1" display="Repayment Inputs" xr:uid="{00000000-0004-0000-1400-000002000000}"/>
    <hyperlink ref="I6" location="'Expense Input File'!A1" display="Expense Input" xr:uid="{00000000-0004-0000-1400-000003000000}"/>
    <hyperlink ref="G6" r:id="rId2" xr:uid="{00000000-0004-0000-1400-000004000000}"/>
  </hyperlinks>
  <pageMargins left="0.25" right="0.25" top="0.75" bottom="0.75" header="0.3" footer="0.3"/>
  <pageSetup scale="56" orientation="portrait" r:id="rId3"/>
  <legacyDrawing r:id="rId4"/>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18">
    <tabColor rgb="FFCCFF66"/>
    <pageSetUpPr autoPageBreaks="0" fitToPage="1"/>
  </sheetPr>
  <dimension ref="A1:Q84"/>
  <sheetViews>
    <sheetView topLeftCell="A39" workbookViewId="0">
      <selection activeCell="H23" sqref="H23"/>
    </sheetView>
  </sheetViews>
  <sheetFormatPr defaultColWidth="9.140625" defaultRowHeight="14.25" outlineLevelRow="1"/>
  <cols>
    <col min="1" max="2" width="9.140625" style="746"/>
    <col min="3" max="3" width="29.28515625" style="746" customWidth="1"/>
    <col min="4" max="11" width="15.7109375" style="746" customWidth="1"/>
    <col min="12" max="12" width="9.140625" style="746"/>
    <col min="13" max="13" width="9.85546875" style="746" bestFit="1" customWidth="1"/>
    <col min="14" max="16384" width="9.140625" style="746"/>
  </cols>
  <sheetData>
    <row r="1" spans="1:11" ht="18" hidden="1" outlineLevel="1">
      <c r="A1" s="989"/>
      <c r="B1" s="989"/>
      <c r="C1" s="989"/>
      <c r="D1" s="989"/>
      <c r="E1" s="989"/>
      <c r="F1" s="989"/>
      <c r="G1" s="989"/>
      <c r="H1" s="989"/>
      <c r="I1" s="989"/>
      <c r="J1" s="989"/>
      <c r="K1" s="989"/>
    </row>
    <row r="2" spans="1:11" ht="18" hidden="1" outlineLevel="1">
      <c r="B2" s="747"/>
      <c r="C2" s="748"/>
      <c r="D2" s="738"/>
      <c r="F2" s="883"/>
      <c r="G2" s="877"/>
      <c r="H2" s="576"/>
      <c r="I2" s="883"/>
      <c r="J2" s="576"/>
      <c r="K2" s="769"/>
    </row>
    <row r="3" spans="1:11" ht="18" hidden="1" outlineLevel="1">
      <c r="B3" s="747"/>
      <c r="C3" s="418"/>
      <c r="D3" s="738"/>
      <c r="F3" s="883"/>
      <c r="G3" s="883"/>
      <c r="H3" s="576"/>
      <c r="I3" s="878"/>
      <c r="J3" s="576"/>
      <c r="K3" s="769"/>
    </row>
    <row r="4" spans="1:11" ht="18" hidden="1" customHeight="1" outlineLevel="1">
      <c r="B4" s="747"/>
      <c r="C4" s="884"/>
      <c r="D4" s="738"/>
      <c r="F4" s="145"/>
      <c r="G4" s="885"/>
      <c r="H4" s="576"/>
      <c r="I4" s="878"/>
      <c r="J4" s="738"/>
      <c r="K4" s="769"/>
    </row>
    <row r="5" spans="1:11" ht="18" hidden="1" customHeight="1" outlineLevel="1">
      <c r="B5" s="761"/>
      <c r="C5" s="884"/>
      <c r="F5" s="145"/>
      <c r="G5" s="885"/>
      <c r="H5" s="576"/>
      <c r="I5" s="830"/>
      <c r="K5" s="769"/>
    </row>
    <row r="6" spans="1:11" ht="15" hidden="1" outlineLevel="1">
      <c r="B6" s="761"/>
      <c r="C6" s="418"/>
      <c r="E6" s="876"/>
      <c r="F6" s="876"/>
      <c r="G6" s="745"/>
      <c r="H6" s="576"/>
      <c r="I6" s="879"/>
      <c r="K6" s="769"/>
    </row>
    <row r="7" spans="1:11" ht="15" hidden="1" outlineLevel="1">
      <c r="B7" s="761"/>
      <c r="C7" s="418"/>
      <c r="E7" s="876"/>
      <c r="F7" s="886"/>
      <c r="G7" s="885"/>
      <c r="H7" s="576"/>
      <c r="I7" s="828"/>
      <c r="K7" s="769"/>
    </row>
    <row r="8" spans="1:11" ht="15" outlineLevel="1">
      <c r="B8" s="761" t="s">
        <v>281</v>
      </c>
      <c r="C8" s="418">
        <v>2026</v>
      </c>
      <c r="E8" s="769"/>
      <c r="F8" s="769"/>
      <c r="G8" s="876"/>
      <c r="H8" s="830"/>
      <c r="I8" s="769"/>
      <c r="J8" s="769"/>
      <c r="K8" s="769"/>
    </row>
    <row r="9" spans="1:11" ht="15" outlineLevel="1">
      <c r="B9" s="761"/>
      <c r="C9" s="418"/>
      <c r="E9" s="769"/>
      <c r="F9" s="769"/>
      <c r="G9" s="769"/>
      <c r="H9" s="769"/>
      <c r="I9" s="769"/>
      <c r="J9" s="769"/>
      <c r="K9" s="769"/>
    </row>
    <row r="10" spans="1:11" ht="15" outlineLevel="1">
      <c r="A10" s="991"/>
      <c r="B10" s="991"/>
      <c r="C10" s="418"/>
    </row>
    <row r="11" spans="1:11" outlineLevel="1"/>
    <row r="12" spans="1:11" ht="29.25" customHeight="1">
      <c r="A12" s="935">
        <f>C8</f>
        <v>2026</v>
      </c>
      <c r="B12" s="935"/>
      <c r="C12" s="935"/>
      <c r="D12" s="805" t="s">
        <v>170</v>
      </c>
      <c r="E12" s="805" t="s">
        <v>171</v>
      </c>
      <c r="F12" s="805" t="s">
        <v>172</v>
      </c>
      <c r="G12" s="805" t="s">
        <v>173</v>
      </c>
      <c r="H12" s="805" t="s">
        <v>174</v>
      </c>
      <c r="I12" s="805" t="s">
        <v>175</v>
      </c>
      <c r="J12" s="805" t="s">
        <v>176</v>
      </c>
      <c r="K12" s="805" t="s">
        <v>177</v>
      </c>
    </row>
    <row r="13" spans="1:11" ht="15">
      <c r="A13" s="887" t="s">
        <v>272</v>
      </c>
      <c r="B13" s="805"/>
      <c r="C13" s="805"/>
      <c r="D13" s="805"/>
      <c r="E13" s="805"/>
      <c r="F13" s="805"/>
      <c r="G13" s="805"/>
      <c r="H13" s="805"/>
      <c r="I13" s="805"/>
      <c r="J13" s="805"/>
      <c r="K13" s="805"/>
    </row>
    <row r="14" spans="1:11" ht="15">
      <c r="A14" s="746" t="s">
        <v>178</v>
      </c>
      <c r="B14" s="769"/>
      <c r="C14" s="769"/>
      <c r="D14" s="285">
        <f>SUM(E14:K14)</f>
        <v>7828709.9148501875</v>
      </c>
      <c r="E14" s="285">
        <v>146295.03577129162</v>
      </c>
      <c r="F14" s="285">
        <v>6449471.8534090146</v>
      </c>
      <c r="G14" s="285">
        <v>743587.19420364196</v>
      </c>
      <c r="H14" s="285">
        <v>81568.763138799201</v>
      </c>
      <c r="I14" s="285">
        <v>14778.629213325888</v>
      </c>
      <c r="J14" s="285">
        <v>6293.4276090380317</v>
      </c>
      <c r="K14" s="285">
        <v>386715.01150507625</v>
      </c>
    </row>
    <row r="15" spans="1:11">
      <c r="A15" s="816" t="s">
        <v>237</v>
      </c>
      <c r="D15" s="880">
        <f>SUM(E15:K15)</f>
        <v>1</v>
      </c>
      <c r="E15" s="881">
        <f>E14/D14</f>
        <v>1.8686991517438432E-2</v>
      </c>
      <c r="F15" s="881">
        <f>F14/D14</f>
        <v>0.82382307219930162</v>
      </c>
      <c r="G15" s="881">
        <f>G14/D14</f>
        <v>9.4982085463805502E-2</v>
      </c>
      <c r="H15" s="881">
        <f>H14/D14</f>
        <v>1.0419183240404958E-2</v>
      </c>
      <c r="I15" s="881">
        <f>I14/D14</f>
        <v>1.8877477099122654E-3</v>
      </c>
      <c r="J15" s="881">
        <f>J14/D14</f>
        <v>8.0389076584637571E-4</v>
      </c>
      <c r="K15" s="881">
        <f>K14/D14</f>
        <v>4.9397029103290836E-2</v>
      </c>
    </row>
    <row r="16" spans="1:11">
      <c r="A16" s="859" t="s">
        <v>81</v>
      </c>
    </row>
    <row r="17" spans="1:17">
      <c r="B17" s="746" t="s">
        <v>499</v>
      </c>
      <c r="D17" s="285">
        <f>SUM(E17:K17)</f>
        <v>8634.4849339856464</v>
      </c>
      <c r="E17" s="285"/>
      <c r="F17" s="285">
        <f>HLOOKUP($A$12,'Repayment Inputs'!$B$2:$J$24,19,FALSE)</f>
        <v>8634.4849339856464</v>
      </c>
      <c r="G17" s="285"/>
      <c r="H17" s="285"/>
      <c r="I17" s="285"/>
      <c r="J17" s="285"/>
      <c r="K17" s="285"/>
    </row>
    <row r="18" spans="1:17">
      <c r="B18" s="746" t="s">
        <v>500</v>
      </c>
      <c r="D18" s="285">
        <f>SUM(E18:K18)</f>
        <v>0</v>
      </c>
      <c r="E18" s="285"/>
      <c r="F18" s="285">
        <f>-(HLOOKUP($A$12,AFUDC!$I$13:$AJ$38,25,FALSE))</f>
        <v>0</v>
      </c>
      <c r="G18" s="285"/>
      <c r="H18" s="285"/>
      <c r="I18" s="285"/>
      <c r="J18" s="285"/>
      <c r="K18" s="285"/>
      <c r="L18" s="759"/>
      <c r="M18" s="759"/>
      <c r="N18" s="759"/>
      <c r="O18" s="759"/>
      <c r="Q18" s="759"/>
    </row>
    <row r="19" spans="1:17">
      <c r="B19" s="746" t="s">
        <v>496</v>
      </c>
      <c r="D19" s="285">
        <f>SUM(E19:K19)</f>
        <v>8634.4849339856464</v>
      </c>
      <c r="E19" s="285"/>
      <c r="F19" s="285">
        <f>SUM(F17:F18)</f>
        <v>8634.4849339856464</v>
      </c>
      <c r="G19" s="285"/>
      <c r="H19" s="285"/>
      <c r="I19" s="285"/>
      <c r="J19" s="285"/>
      <c r="K19" s="285"/>
    </row>
    <row r="20" spans="1:17">
      <c r="A20" s="840" t="s">
        <v>179</v>
      </c>
      <c r="D20" s="285">
        <f>HLOOKUP($A$12,'Revenue Requirement'!$A$2:$I$26,25,FALSE)-$D$19</f>
        <v>195094.45041901644</v>
      </c>
      <c r="E20" s="285">
        <f>D20*E15</f>
        <v>3645.7283400794731</v>
      </c>
      <c r="F20" s="285">
        <f>D20*F15</f>
        <v>160723.30951322845</v>
      </c>
      <c r="G20" s="285">
        <f>D20*G15</f>
        <v>18530.477763213185</v>
      </c>
      <c r="H20" s="285">
        <f>D20*H15</f>
        <v>2032.7248281018321</v>
      </c>
      <c r="I20" s="285">
        <f>D20*I15</f>
        <v>368.28910199509028</v>
      </c>
      <c r="J20" s="285">
        <f>D20*J15</f>
        <v>156.8346271597209</v>
      </c>
      <c r="K20" s="285">
        <f>D20*K15</f>
        <v>9637.0862452386864</v>
      </c>
    </row>
    <row r="21" spans="1:17" ht="15">
      <c r="A21" s="858" t="s">
        <v>180</v>
      </c>
      <c r="B21" s="769"/>
      <c r="C21" s="769"/>
      <c r="D21" s="821">
        <f>D20+D19</f>
        <v>203728.9353530021</v>
      </c>
      <c r="E21" s="821">
        <f t="shared" ref="E21:K21" si="0">E20+E19</f>
        <v>3645.7283400794731</v>
      </c>
      <c r="F21" s="821">
        <f t="shared" si="0"/>
        <v>169357.79444721411</v>
      </c>
      <c r="G21" s="821">
        <f t="shared" si="0"/>
        <v>18530.477763213185</v>
      </c>
      <c r="H21" s="821">
        <f t="shared" si="0"/>
        <v>2032.7248281018321</v>
      </c>
      <c r="I21" s="821">
        <f t="shared" si="0"/>
        <v>368.28910199509028</v>
      </c>
      <c r="J21" s="821">
        <f t="shared" si="0"/>
        <v>156.8346271597209</v>
      </c>
      <c r="K21" s="821">
        <f t="shared" si="0"/>
        <v>9637.0862452386864</v>
      </c>
    </row>
    <row r="22" spans="1:17">
      <c r="A22" s="859" t="s">
        <v>184</v>
      </c>
    </row>
    <row r="23" spans="1:17">
      <c r="B23" s="746" t="s">
        <v>495</v>
      </c>
      <c r="F23" s="285">
        <f>HLOOKUP($A$12,'Repayment Inputs'!$A$2:$J$43,38,FALSE)</f>
        <v>48108.044061134184</v>
      </c>
      <c r="G23" s="285"/>
    </row>
    <row r="24" spans="1:17">
      <c r="B24" s="746" t="s">
        <v>496</v>
      </c>
      <c r="F24" s="759">
        <f>F19</f>
        <v>8634.4849339856464</v>
      </c>
      <c r="G24" s="759"/>
    </row>
    <row r="25" spans="1:17">
      <c r="B25" s="746" t="s">
        <v>497</v>
      </c>
      <c r="F25" s="861">
        <v>11286.889087545353</v>
      </c>
      <c r="G25" s="861"/>
    </row>
    <row r="26" spans="1:17">
      <c r="B26" s="746" t="s">
        <v>498</v>
      </c>
      <c r="D26" s="759">
        <f>F26</f>
        <v>28186.670039603188</v>
      </c>
      <c r="F26" s="759">
        <f>F23-F24-F25</f>
        <v>28186.670039603188</v>
      </c>
      <c r="G26" s="759"/>
    </row>
    <row r="27" spans="1:17">
      <c r="A27" s="817" t="s">
        <v>481</v>
      </c>
      <c r="D27" s="759">
        <f>HLOOKUP($A$12,'Revenue Requirement'!$A$2:$I$32,31,FALSE)-$D$26</f>
        <v>149214.59572271566</v>
      </c>
      <c r="E27" s="285">
        <f>D27*E15</f>
        <v>2788.3718845483927</v>
      </c>
      <c r="F27" s="285">
        <f>D27*F15</f>
        <v>122926.42666526439</v>
      </c>
      <c r="G27" s="285">
        <f>D27*G15</f>
        <v>14172.713483382166</v>
      </c>
      <c r="H27" s="285">
        <f>D27*H15</f>
        <v>1554.6942149779204</v>
      </c>
      <c r="I27" s="285">
        <f>D27*I15</f>
        <v>281.67951136104102</v>
      </c>
      <c r="J27" s="285">
        <f>D27*J15</f>
        <v>119.95223563099123</v>
      </c>
      <c r="K27" s="285">
        <f>D27*K15</f>
        <v>7370.757727550762</v>
      </c>
    </row>
    <row r="28" spans="1:17" ht="15">
      <c r="A28" s="858" t="s">
        <v>185</v>
      </c>
      <c r="D28" s="821">
        <f>D27+D26</f>
        <v>177401.26576231886</v>
      </c>
      <c r="E28" s="821">
        <f t="shared" ref="E28:K28" si="1">E27+E26</f>
        <v>2788.3718845483927</v>
      </c>
      <c r="F28" s="821">
        <f t="shared" si="1"/>
        <v>151113.09670486758</v>
      </c>
      <c r="G28" s="821">
        <f t="shared" si="1"/>
        <v>14172.713483382166</v>
      </c>
      <c r="H28" s="821">
        <f t="shared" si="1"/>
        <v>1554.6942149779204</v>
      </c>
      <c r="I28" s="821">
        <f t="shared" si="1"/>
        <v>281.67951136104102</v>
      </c>
      <c r="J28" s="821">
        <f t="shared" si="1"/>
        <v>119.95223563099123</v>
      </c>
      <c r="K28" s="821">
        <f t="shared" si="1"/>
        <v>7370.757727550762</v>
      </c>
    </row>
    <row r="29" spans="1:17" ht="15">
      <c r="A29" s="859" t="s">
        <v>189</v>
      </c>
      <c r="D29" s="821"/>
      <c r="E29" s="821"/>
      <c r="F29" s="821"/>
      <c r="G29" s="821"/>
      <c r="H29" s="821"/>
      <c r="I29" s="821"/>
      <c r="J29" s="821"/>
      <c r="K29" s="821"/>
    </row>
    <row r="30" spans="1:17">
      <c r="A30" s="818" t="s">
        <v>791</v>
      </c>
      <c r="D30" s="285">
        <f>SUM(E30:K30)</f>
        <v>288356.04538600001</v>
      </c>
      <c r="E30" s="861">
        <v>4807</v>
      </c>
      <c r="F30" s="861">
        <v>227475.04538600001</v>
      </c>
      <c r="G30" s="861">
        <v>27797</v>
      </c>
      <c r="H30" s="861">
        <v>3349</v>
      </c>
      <c r="I30" s="861">
        <v>448</v>
      </c>
      <c r="J30" s="861">
        <v>188</v>
      </c>
      <c r="K30" s="861">
        <v>24292</v>
      </c>
    </row>
    <row r="31" spans="1:17">
      <c r="A31" s="818" t="s">
        <v>186</v>
      </c>
      <c r="D31" s="888">
        <f>SUM(E31:K31)</f>
        <v>1</v>
      </c>
      <c r="E31" s="882">
        <f>E49/D49</f>
        <v>1.6336383868102187E-2</v>
      </c>
      <c r="F31" s="882">
        <f>F49/D49</f>
        <v>0.62674502928337472</v>
      </c>
      <c r="G31" s="882">
        <f>G49/D49</f>
        <v>8.6094815887029927E-2</v>
      </c>
      <c r="H31" s="882">
        <f>H49/D49</f>
        <v>8.2404537961229367E-3</v>
      </c>
      <c r="I31" s="882">
        <f>I49/D49</f>
        <v>4.2962929485046873E-3</v>
      </c>
      <c r="J31" s="882">
        <f>J49/D49</f>
        <v>1.0579682048353503E-3</v>
      </c>
      <c r="K31" s="882">
        <f>K49/D49</f>
        <v>0.25722905601203017</v>
      </c>
    </row>
    <row r="32" spans="1:17">
      <c r="A32" s="818" t="s">
        <v>187</v>
      </c>
      <c r="D32" s="285">
        <v>88806</v>
      </c>
      <c r="E32" s="285">
        <f>D32*E31</f>
        <v>1450.7689057906828</v>
      </c>
      <c r="F32" s="285">
        <f>D32*F31</f>
        <v>55658.719070539373</v>
      </c>
      <c r="G32" s="285">
        <f>D32*G31</f>
        <v>7645.7362196635795</v>
      </c>
      <c r="H32" s="285">
        <f>D32*H31</f>
        <v>731.8017398184935</v>
      </c>
      <c r="I32" s="285">
        <f>D32*I31</f>
        <v>381.53659158490728</v>
      </c>
      <c r="J32" s="285">
        <f>D32*J31</f>
        <v>93.953924398608123</v>
      </c>
      <c r="K32" s="285">
        <f>D32*K31</f>
        <v>22843.483548204353</v>
      </c>
    </row>
    <row r="33" spans="1:11" ht="15">
      <c r="A33" s="858" t="s">
        <v>188</v>
      </c>
      <c r="D33" s="821">
        <f>SUM(E33:K33)</f>
        <v>377162.04538600007</v>
      </c>
      <c r="E33" s="821">
        <f t="shared" ref="E33:K33" si="2">E32+E30</f>
        <v>6257.7689057906828</v>
      </c>
      <c r="F33" s="821">
        <f>F32+F30</f>
        <v>283133.76445653941</v>
      </c>
      <c r="G33" s="821">
        <f>G32+G30</f>
        <v>35442.73621966358</v>
      </c>
      <c r="H33" s="821">
        <f t="shared" si="2"/>
        <v>4080.8017398184934</v>
      </c>
      <c r="I33" s="821">
        <f t="shared" si="2"/>
        <v>829.53659158490723</v>
      </c>
      <c r="J33" s="821">
        <f t="shared" si="2"/>
        <v>281.95392439860814</v>
      </c>
      <c r="K33" s="821">
        <f t="shared" si="2"/>
        <v>47135.483548204356</v>
      </c>
    </row>
    <row r="34" spans="1:11" ht="9" customHeight="1"/>
    <row r="35" spans="1:11" ht="15">
      <c r="A35" s="887" t="s">
        <v>236</v>
      </c>
    </row>
    <row r="36" spans="1:11">
      <c r="A36" s="889" t="s">
        <v>520</v>
      </c>
    </row>
    <row r="37" spans="1:11">
      <c r="A37" s="890" t="s">
        <v>299</v>
      </c>
      <c r="D37" s="861">
        <f>SUM(E37:J37)</f>
        <v>55257.949820708738</v>
      </c>
      <c r="E37" s="861">
        <v>661.02284632795602</v>
      </c>
      <c r="F37" s="861">
        <v>50810.755286172913</v>
      </c>
      <c r="G37" s="861">
        <v>2810.7714197653595</v>
      </c>
      <c r="H37" s="861">
        <v>960.18814525035441</v>
      </c>
      <c r="I37" s="861">
        <v>15.212123192158659</v>
      </c>
      <c r="J37" s="861">
        <v>0</v>
      </c>
    </row>
    <row r="38" spans="1:11">
      <c r="A38" s="890" t="s">
        <v>300</v>
      </c>
      <c r="D38" s="861">
        <f>SUM(E38:J38)</f>
        <v>136761.67424071985</v>
      </c>
      <c r="E38" s="861">
        <v>3562.2256722987713</v>
      </c>
      <c r="F38" s="861">
        <v>111214.08679934609</v>
      </c>
      <c r="G38" s="861">
        <v>19446.284155813479</v>
      </c>
      <c r="H38" s="861">
        <v>1170.1171027329681</v>
      </c>
      <c r="I38" s="861">
        <v>1095.4567357703675</v>
      </c>
      <c r="J38" s="861">
        <v>273.50377475820966</v>
      </c>
    </row>
    <row r="39" spans="1:11" ht="15">
      <c r="A39" s="891" t="s">
        <v>301</v>
      </c>
      <c r="B39" s="769"/>
      <c r="C39" s="769"/>
      <c r="D39" s="861">
        <f>SUM(D37:D38)</f>
        <v>192019.62406142859</v>
      </c>
    </row>
    <row r="40" spans="1:11">
      <c r="A40" s="883" t="s">
        <v>239</v>
      </c>
    </row>
    <row r="41" spans="1:11">
      <c r="A41" s="817" t="s">
        <v>240</v>
      </c>
      <c r="D41" s="285">
        <f>'Expense Input File'!J33+'Expense Input File'!J67+'Expense Input File'!J70+'Expense Input File'!J94</f>
        <v>32680.865569999998</v>
      </c>
      <c r="F41" s="285">
        <f>(HLOOKUP($A$12,'Expense Input File'!$A$27:$L$70,33,FALSE))</f>
        <v>0</v>
      </c>
      <c r="K41" s="285">
        <f>SUM('Expense Input File'!J29:J32)-'Expense Input File'!J34</f>
        <v>79020.923029999991</v>
      </c>
    </row>
    <row r="42" spans="1:11">
      <c r="A42" s="817" t="s">
        <v>241</v>
      </c>
      <c r="D42" s="285">
        <f>HLOOKUP($A$12,'Expense Input File'!$B$14:$L$24,4,FALSE)</f>
        <v>224667.20569000003</v>
      </c>
    </row>
    <row r="43" spans="1:11" ht="5.25" customHeight="1">
      <c r="A43" s="817"/>
      <c r="D43" s="285"/>
    </row>
    <row r="44" spans="1:11">
      <c r="A44" s="892" t="s">
        <v>266</v>
      </c>
      <c r="D44" s="759">
        <f>SUM(D41:D42)</f>
        <v>257348.07126000003</v>
      </c>
    </row>
    <row r="45" spans="1:11">
      <c r="A45" s="893" t="s">
        <v>267</v>
      </c>
      <c r="D45" s="759">
        <f>D44-D46</f>
        <v>74057.674457231507</v>
      </c>
      <c r="E45" s="843">
        <f>(E37/D37)*D45</f>
        <v>885.91442355326342</v>
      </c>
      <c r="F45" s="759">
        <f>(F37/D37)*D45</f>
        <v>68097.466267183801</v>
      </c>
      <c r="G45" s="759">
        <f>(G37/D37)*D45</f>
        <v>3767.0452026192011</v>
      </c>
      <c r="H45" s="759">
        <f>(H37/D37)*D45</f>
        <v>1286.8610093093682</v>
      </c>
      <c r="I45" s="759">
        <f>(I37/D37)*D45</f>
        <v>20.387554565876904</v>
      </c>
      <c r="J45" s="759">
        <f>(J37/D37)*D45</f>
        <v>0</v>
      </c>
    </row>
    <row r="46" spans="1:11">
      <c r="A46" s="893" t="s">
        <v>269</v>
      </c>
      <c r="D46" s="285">
        <f>((D38/D39)*D44)</f>
        <v>183290.39680276852</v>
      </c>
      <c r="E46" s="843">
        <f>(E38/D38)*D46</f>
        <v>4774.1573843810675</v>
      </c>
      <c r="F46" s="759">
        <f>(F38/D38)*D46</f>
        <v>149051.07160087946</v>
      </c>
      <c r="G46" s="759">
        <f>(G38/D38)*D46</f>
        <v>26062.251424216567</v>
      </c>
      <c r="H46" s="759">
        <f>(H38/D38)*D46</f>
        <v>1568.211483636358</v>
      </c>
      <c r="I46" s="759">
        <f>(I38/D38)*D46</f>
        <v>1468.1503490970961</v>
      </c>
      <c r="J46" s="759">
        <f>(J38/D38)*D46</f>
        <v>366.55456055802824</v>
      </c>
    </row>
    <row r="47" spans="1:11" ht="15">
      <c r="A47" s="894" t="s">
        <v>268</v>
      </c>
      <c r="B47" s="769"/>
      <c r="C47" s="769"/>
      <c r="D47" s="759">
        <f>SUM(E47:J47)</f>
        <v>257348.07126000008</v>
      </c>
      <c r="E47" s="759">
        <f t="shared" ref="E47:J47" si="3">SUM(E45:E46)</f>
        <v>5660.0718079343305</v>
      </c>
      <c r="F47" s="759">
        <f t="shared" si="3"/>
        <v>217148.53786806326</v>
      </c>
      <c r="G47" s="759">
        <f t="shared" si="3"/>
        <v>29829.296626835767</v>
      </c>
      <c r="H47" s="759">
        <f t="shared" si="3"/>
        <v>2855.0724929457265</v>
      </c>
      <c r="I47" s="759">
        <f t="shared" si="3"/>
        <v>1488.5379036629729</v>
      </c>
      <c r="J47" s="759">
        <f t="shared" si="3"/>
        <v>366.55456055802824</v>
      </c>
    </row>
    <row r="48" spans="1:11">
      <c r="A48" s="895" t="s">
        <v>25</v>
      </c>
      <c r="D48" s="759">
        <f>K48</f>
        <v>10101.304990000001</v>
      </c>
      <c r="K48" s="285">
        <f>SUM('Expense Input File'!J61:J65)</f>
        <v>10101.304990000001</v>
      </c>
    </row>
    <row r="49" spans="1:11" ht="15">
      <c r="A49" s="896" t="s">
        <v>270</v>
      </c>
      <c r="B49" s="769"/>
      <c r="C49" s="769"/>
      <c r="D49" s="821">
        <f>SUM(E49:K49)</f>
        <v>346470.29928000009</v>
      </c>
      <c r="E49" s="821">
        <f t="shared" ref="E49:J49" si="4">E47</f>
        <v>5660.0718079343305</v>
      </c>
      <c r="F49" s="821">
        <f>F47+F41</f>
        <v>217148.53786806326</v>
      </c>
      <c r="G49" s="821">
        <f t="shared" si="4"/>
        <v>29829.296626835767</v>
      </c>
      <c r="H49" s="821">
        <f t="shared" si="4"/>
        <v>2855.0724929457265</v>
      </c>
      <c r="I49" s="821">
        <f t="shared" si="4"/>
        <v>1488.5379036629729</v>
      </c>
      <c r="J49" s="821">
        <f t="shared" si="4"/>
        <v>366.55456055802824</v>
      </c>
      <c r="K49" s="821">
        <f>K48+K41</f>
        <v>89122.228019999995</v>
      </c>
    </row>
    <row r="50" spans="1:11">
      <c r="A50" s="883" t="s">
        <v>271</v>
      </c>
    </row>
    <row r="51" spans="1:11">
      <c r="A51" s="897" t="s">
        <v>46</v>
      </c>
      <c r="D51" s="285">
        <f>SUM((HLOOKUP($A$12,'Expense Input File'!$A$27:$L$70,10,FALSE)),(HLOOKUP($A$12,'Expense Input File'!$A$27:$L$70,11,FALSE)),(HLOOKUP($A$12,'Expense Input File'!$A$27:$L$70,12,FALSE)),(HLOOKUP($A$12,'Expense Input File'!$A$27:$L$70,13,FALSE)))</f>
        <v>12120.673289999999</v>
      </c>
      <c r="E51" s="285">
        <f>(E49/D49)*D51</f>
        <v>198.00797160529305</v>
      </c>
      <c r="F51" s="285">
        <f>(F49/D49)*D51</f>
        <v>7596.5717360752669</v>
      </c>
      <c r="G51" s="285">
        <f>(G49/D49)*D51</f>
        <v>1043.5271353293913</v>
      </c>
      <c r="H51" s="285">
        <f>(H49/D49)*D51</f>
        <v>99.879848224146372</v>
      </c>
      <c r="I51" s="285">
        <f>(I49/D49)*D51</f>
        <v>52.073963186956107</v>
      </c>
      <c r="J51" s="285">
        <f>(J49/D49)*D51</f>
        <v>12.823286962017079</v>
      </c>
      <c r="K51" s="285">
        <f>(K49/D49)*D51</f>
        <v>3117.7893486169278</v>
      </c>
    </row>
    <row r="52" spans="1:11">
      <c r="A52" s="897" t="s">
        <v>47</v>
      </c>
      <c r="D52" s="285">
        <f>SUM('Expense Input File'!J42:J58)</f>
        <v>86475.81703999998</v>
      </c>
      <c r="E52" s="285">
        <f>(E49/D49)*D52</f>
        <v>1412.7021424732118</v>
      </c>
      <c r="F52" s="285">
        <f>(F49/D49)*D52</f>
        <v>54198.288483038545</v>
      </c>
      <c r="G52" s="285">
        <f>(G49/D49)*D52</f>
        <v>7445.1195467392836</v>
      </c>
      <c r="H52" s="285">
        <f>(H49/D49)*D52</f>
        <v>712.59997480010031</v>
      </c>
      <c r="I52" s="285">
        <f>(I49/D49)*D52</f>
        <v>371.52544296513338</v>
      </c>
      <c r="J52" s="285">
        <f>(J49/D49)*D52</f>
        <v>91.488664915478978</v>
      </c>
      <c r="K52" s="285">
        <f>(K49/D49)*D52</f>
        <v>22244.092785068227</v>
      </c>
    </row>
    <row r="53" spans="1:11">
      <c r="A53" s="897" t="s">
        <v>273</v>
      </c>
      <c r="D53" s="285">
        <f>HLOOKUP($A$12,'Expense Input File'!$B$14:$L$24,3,FALSE)</f>
        <v>73816.910199999984</v>
      </c>
      <c r="E53" s="285">
        <f>(E49/D49)*(D53-(HLOOKUP($A$12,'Expense Input File'!$A$14:$L$24,10,FALSE)))</f>
        <v>1161.008920680423</v>
      </c>
      <c r="F53" s="285">
        <f>(F49/D49)*(D53-(HLOOKUP($A$12,'Expense Input File'!$A$14:$L$24,10,FALSE)))</f>
        <v>44542.083233665078</v>
      </c>
      <c r="G53" s="285">
        <f>(G49/D49)*(D53-(HLOOKUP($A$12,'Expense Input File'!$A$14:$L$24,10,FALSE)))</f>
        <v>6118.6643308714338</v>
      </c>
      <c r="H53" s="285">
        <f>(H49/D49)*(D53-(HLOOKUP($A$12,'Expense Input File'!$A$14:$L$24,10,FALSE)))</f>
        <v>585.64003178415896</v>
      </c>
      <c r="I53" s="285">
        <f>(I49/D49)*(D53-(HLOOKUP($A$12,'Expense Input File'!$A$14:$L$24,10,FALSE)))</f>
        <v>305.3328373857442</v>
      </c>
      <c r="J53" s="285">
        <f>(J49/D49)*(D53-(HLOOKUP($A$12,'Expense Input File'!$A$14:$L$24,10,FALSE)))</f>
        <v>75.188642329129408</v>
      </c>
      <c r="K53" s="285">
        <f>((K49/D49)*(D53-(HLOOKUP($A$12,'Expense Input File'!$A$14:$L$24,10,FALSE))))+(HLOOKUP($A$12,'Expense Input File'!$A$14:$L$24,10,FALSE))</f>
        <v>21028.992203284011</v>
      </c>
    </row>
    <row r="54" spans="1:11">
      <c r="A54" s="897" t="s">
        <v>292</v>
      </c>
      <c r="D54" s="285">
        <f>SUM((HLOOKUP($A$12,'Expense Input File'!$A$14:$L$24,7,FALSE)),(HLOOKUP($A$12,'Expense Input File'!$A$14:$L$24,8,FALSE)))</f>
        <v>202978.68783000001</v>
      </c>
      <c r="E54" s="285">
        <f>(E49/D49)*D54</f>
        <v>3315.9377614345617</v>
      </c>
      <c r="F54" s="285">
        <f>(F49/D49)*D54</f>
        <v>127215.88364791434</v>
      </c>
      <c r="G54" s="285">
        <f>(G49/D49)*D54</f>
        <v>17475.412757714774</v>
      </c>
      <c r="H54" s="285">
        <f>(H49/D49)*D54</f>
        <v>1672.6364986607762</v>
      </c>
      <c r="I54" s="285">
        <f>(I49/D49)*D54</f>
        <v>872.05590522076318</v>
      </c>
      <c r="J54" s="285">
        <f>(J49/D49)*D54</f>
        <v>214.74499798334008</v>
      </c>
      <c r="K54" s="285">
        <f>(K49/D49)*D54</f>
        <v>52212.016261071461</v>
      </c>
    </row>
    <row r="55" spans="1:11" ht="15">
      <c r="A55" s="898" t="s">
        <v>290</v>
      </c>
      <c r="D55" s="821">
        <f>SUM(D51:D54)</f>
        <v>375392.08835999994</v>
      </c>
      <c r="E55" s="821">
        <f t="shared" ref="E55:J55" si="5">SUM(E51:E54)</f>
        <v>6087.6567961934888</v>
      </c>
      <c r="F55" s="821">
        <f t="shared" si="5"/>
        <v>233552.82710069322</v>
      </c>
      <c r="G55" s="821">
        <f t="shared" si="5"/>
        <v>32082.723770654884</v>
      </c>
      <c r="H55" s="821">
        <f t="shared" si="5"/>
        <v>3070.7563534691817</v>
      </c>
      <c r="I55" s="821">
        <f t="shared" si="5"/>
        <v>1600.9881487585969</v>
      </c>
      <c r="J55" s="821">
        <f t="shared" si="5"/>
        <v>394.24559218996558</v>
      </c>
      <c r="K55" s="821">
        <f>SUM(K51:K54)</f>
        <v>98602.890598040627</v>
      </c>
    </row>
    <row r="56" spans="1:11" ht="15">
      <c r="A56" s="887" t="s">
        <v>262</v>
      </c>
      <c r="D56" s="821">
        <f t="shared" ref="D56:K56" si="6">D55+D49</f>
        <v>721862.38764000009</v>
      </c>
      <c r="E56" s="821">
        <f t="shared" si="6"/>
        <v>11747.72860412782</v>
      </c>
      <c r="F56" s="821">
        <f t="shared" si="6"/>
        <v>450701.36496875645</v>
      </c>
      <c r="G56" s="821">
        <f t="shared" si="6"/>
        <v>61912.020397490647</v>
      </c>
      <c r="H56" s="821">
        <f t="shared" si="6"/>
        <v>5925.8288464149082</v>
      </c>
      <c r="I56" s="821">
        <f t="shared" si="6"/>
        <v>3089.5260524215701</v>
      </c>
      <c r="J56" s="821">
        <f t="shared" si="6"/>
        <v>760.80015274799382</v>
      </c>
      <c r="K56" s="821">
        <f t="shared" si="6"/>
        <v>187725.11861804064</v>
      </c>
    </row>
    <row r="57" spans="1:11">
      <c r="A57" s="776" t="s">
        <v>177</v>
      </c>
    </row>
    <row r="58" spans="1:11">
      <c r="A58" s="817" t="s">
        <v>278</v>
      </c>
      <c r="D58" s="285"/>
    </row>
    <row r="59" spans="1:11" ht="15">
      <c r="A59" s="817" t="s">
        <v>276</v>
      </c>
      <c r="D59" s="285">
        <f>(HLOOKUP($A$12,'Expense Input File'!$A$27:$L$91,48,FALSE))</f>
        <v>7696</v>
      </c>
      <c r="E59" s="285"/>
      <c r="F59" s="567">
        <v>7455.4737930080037</v>
      </c>
      <c r="G59" s="285"/>
      <c r="H59" s="285"/>
      <c r="I59" s="567">
        <f>+D59-F59</f>
        <v>240.52620699199633</v>
      </c>
      <c r="J59" s="285"/>
    </row>
    <row r="60" spans="1:11">
      <c r="A60" s="817" t="s">
        <v>277</v>
      </c>
      <c r="D60" s="285">
        <f>(HLOOKUP($A$12,'Expense Input File'!$A$27:$L$91,49,FALSE))</f>
        <v>714.37513802165006</v>
      </c>
      <c r="E60" s="285"/>
      <c r="G60" s="759">
        <f>D60</f>
        <v>714.37513802165006</v>
      </c>
    </row>
    <row r="61" spans="1:11">
      <c r="A61" s="817" t="s">
        <v>275</v>
      </c>
      <c r="D61" s="285">
        <f>(HLOOKUP($A$12,'Expense Input File'!$A$27:$L$91,52,FALSE))</f>
        <v>244.88281000000001</v>
      </c>
      <c r="E61" s="285"/>
      <c r="F61" s="759">
        <f>D61</f>
        <v>244.88281000000001</v>
      </c>
    </row>
    <row r="62" spans="1:11" ht="15">
      <c r="A62" s="817" t="s">
        <v>469</v>
      </c>
      <c r="D62" s="285">
        <f>(HLOOKUP($A$12,'Expense Input File'!$A$27:$L$91,50,FALSE))</f>
        <v>1636.87612333333</v>
      </c>
      <c r="E62" s="285"/>
      <c r="F62" s="567">
        <f>$D$62*0.397156801</f>
        <v>650.09648477634687</v>
      </c>
      <c r="G62" s="567">
        <f>$D$62*0.602844218</f>
        <v>986.78130653375285</v>
      </c>
    </row>
    <row r="63" spans="1:11">
      <c r="A63" s="817" t="s">
        <v>274</v>
      </c>
      <c r="D63" s="285">
        <f>HLOOKUP($A$12,'Expense Input File'!$B$27:$L$91,53,FALSE)</f>
        <v>3249.529</v>
      </c>
      <c r="E63" s="285">
        <f>(E38/D38)*D63</f>
        <v>84.640347458051309</v>
      </c>
      <c r="F63" s="285">
        <f>(F38/D38)*D63</f>
        <v>2642.5049435040469</v>
      </c>
      <c r="G63" s="285">
        <f>(G38/D38)*D63</f>
        <v>462.05389526989029</v>
      </c>
      <c r="H63" s="285">
        <f>(H38/D38)*D63</f>
        <v>27.802595133736972</v>
      </c>
      <c r="I63" s="285">
        <f>(I38/D38)*D63</f>
        <v>26.028625716189605</v>
      </c>
      <c r="J63" s="285">
        <f>(J38/D38)*D63</f>
        <v>6.4985929180855884</v>
      </c>
    </row>
    <row r="64" spans="1:11" ht="15">
      <c r="A64" s="817" t="s">
        <v>263</v>
      </c>
      <c r="B64" s="769"/>
      <c r="D64" s="285">
        <f>K64</f>
        <v>128028.07520593569</v>
      </c>
      <c r="E64" s="285"/>
      <c r="K64" s="285">
        <f>HLOOKUP($A$12,'Expense Input File'!$A$27:$L$91,46,FALSE)</f>
        <v>128028.07520593569</v>
      </c>
    </row>
    <row r="65" spans="1:11" ht="15">
      <c r="A65" s="817" t="s">
        <v>665</v>
      </c>
      <c r="B65" s="769"/>
      <c r="D65" s="285">
        <f>K65</f>
        <v>0</v>
      </c>
      <c r="E65" s="285"/>
      <c r="F65" s="285"/>
      <c r="G65" s="285"/>
      <c r="H65" s="285"/>
      <c r="I65" s="285"/>
      <c r="J65" s="285"/>
      <c r="K65" s="285">
        <f>HLOOKUP($A$12,'Expense Input File'!$H$14:$L$107,MATCH($A$65,'Expense Input File'!$B$14:$B$107,0),0)</f>
        <v>0</v>
      </c>
    </row>
    <row r="66" spans="1:11" ht="15">
      <c r="A66" s="858" t="s">
        <v>288</v>
      </c>
      <c r="D66" s="567">
        <f>SUM(D59:D65)</f>
        <v>141569.73827729066</v>
      </c>
      <c r="E66" s="567">
        <f t="shared" ref="E66:K66" si="7">SUM(E59:E65)</f>
        <v>84.640347458051309</v>
      </c>
      <c r="F66" s="567">
        <f t="shared" si="7"/>
        <v>10992.958031288397</v>
      </c>
      <c r="G66" s="567">
        <f t="shared" si="7"/>
        <v>2163.210339825293</v>
      </c>
      <c r="H66" s="567">
        <f t="shared" si="7"/>
        <v>27.802595133736972</v>
      </c>
      <c r="I66" s="567">
        <f t="shared" si="7"/>
        <v>266.55483270818593</v>
      </c>
      <c r="J66" s="567">
        <f t="shared" si="7"/>
        <v>6.4985929180855884</v>
      </c>
      <c r="K66" s="567">
        <f t="shared" si="7"/>
        <v>128028.07520593569</v>
      </c>
    </row>
    <row r="67" spans="1:11">
      <c r="A67" s="817" t="s">
        <v>279</v>
      </c>
      <c r="E67" s="285"/>
    </row>
    <row r="68" spans="1:11">
      <c r="A68" s="817" t="s">
        <v>42</v>
      </c>
      <c r="D68" s="285">
        <f>SUM(E68:K68)</f>
        <v>170.48782</v>
      </c>
      <c r="E68" s="285">
        <f>(HLOOKUP($A$12,'Expense Input File'!$B$71:$L$93,22,FALSE))*E15</f>
        <v>3.1859044461665702</v>
      </c>
      <c r="F68" s="285">
        <f>(HLOOKUP($A$12,'Expense Input File'!$B$71:$L$93,22,FALSE))*F15</f>
        <v>140.45179964496154</v>
      </c>
      <c r="G68" s="285">
        <f>(HLOOKUP($A$12,'Expense Input File'!$B$71:$L$93,22,FALSE))*G15</f>
        <v>16.193288689777887</v>
      </c>
      <c r="H68" s="285">
        <f>(HLOOKUP($A$12,'Expense Input File'!$B$71:$L$93,22,FALSE))*H15</f>
        <v>1.7763438368371773</v>
      </c>
      <c r="I68" s="285">
        <f>(HLOOKUP($A$12,'Expense Input File'!$B$71:$L$93,22,FALSE))*I15</f>
        <v>0.32183799177293454</v>
      </c>
      <c r="J68" s="285">
        <f>(HLOOKUP($A$12,'Expense Input File'!$B$71:$L$93,22,FALSE))*J15</f>
        <v>0.13705358418727906</v>
      </c>
      <c r="K68" s="285">
        <f>((HLOOKUP($A$12,'Expense Input File'!$B$71:$L$93,22,FALSE))*K15)+(HLOOKUP($A$12,'Expense Input File'!$B$71:$L$93,23,FALSE))</f>
        <v>8.4215918062966093</v>
      </c>
    </row>
    <row r="69" spans="1:11">
      <c r="A69" s="817" t="s">
        <v>43</v>
      </c>
      <c r="D69" s="285">
        <f>HLOOKUP($A$12,'Expense Input File'!$A$27:$L$91,57,FALSE)</f>
        <v>3664.4019900000003</v>
      </c>
      <c r="E69" s="285"/>
      <c r="F69" s="759">
        <f>D69</f>
        <v>3664.4019900000003</v>
      </c>
      <c r="G69" s="759"/>
      <c r="H69" s="759"/>
      <c r="I69" s="759"/>
      <c r="J69" s="759"/>
      <c r="K69" s="759"/>
    </row>
    <row r="70" spans="1:11">
      <c r="A70" s="817" t="s">
        <v>44</v>
      </c>
      <c r="D70" s="285">
        <f>HLOOKUP($A$12,'Expense Input File'!$A$27:$L$91,58,FALSE)</f>
        <v>0</v>
      </c>
      <c r="E70" s="813">
        <f>(E49/D49)*D70</f>
        <v>0</v>
      </c>
      <c r="F70" s="285">
        <f>(F49/D49)*D70</f>
        <v>0</v>
      </c>
      <c r="G70" s="285">
        <f>(G49/D49)*D70</f>
        <v>0</v>
      </c>
      <c r="H70" s="285">
        <f>(H49/D49)*D70</f>
        <v>0</v>
      </c>
      <c r="I70" s="285">
        <f>(I49/D49)*D70</f>
        <v>0</v>
      </c>
      <c r="J70" s="285">
        <f>(J49/D49)*D70</f>
        <v>0</v>
      </c>
      <c r="K70" s="285">
        <f>(K49/D49)*D70</f>
        <v>0</v>
      </c>
    </row>
    <row r="71" spans="1:11">
      <c r="A71" s="817" t="s">
        <v>773</v>
      </c>
      <c r="D71" s="285">
        <f>HLOOKUP($A$12,'Expense Input File'!$A$27:$L$91,59,FALSE)</f>
        <v>0</v>
      </c>
      <c r="E71" s="285"/>
      <c r="K71" s="759">
        <f>D71</f>
        <v>0</v>
      </c>
    </row>
    <row r="72" spans="1:11" ht="15">
      <c r="A72" s="858" t="s">
        <v>289</v>
      </c>
      <c r="D72" s="567">
        <f>SUM(D68:D71)</f>
        <v>3834.8898100000001</v>
      </c>
      <c r="E72" s="567">
        <f t="shared" ref="E72:J72" si="8">SUM(E68:E71)</f>
        <v>3.1859044461665702</v>
      </c>
      <c r="F72" s="567">
        <f t="shared" si="8"/>
        <v>3804.853789644962</v>
      </c>
      <c r="G72" s="567">
        <f t="shared" si="8"/>
        <v>16.193288689777887</v>
      </c>
      <c r="H72" s="567">
        <f t="shared" si="8"/>
        <v>1.7763438368371773</v>
      </c>
      <c r="I72" s="567">
        <f t="shared" si="8"/>
        <v>0.32183799177293454</v>
      </c>
      <c r="J72" s="567">
        <f t="shared" si="8"/>
        <v>0.13705358418727906</v>
      </c>
      <c r="K72" s="567">
        <f>SUM(K68:K71)</f>
        <v>8.4215918062966093</v>
      </c>
    </row>
    <row r="73" spans="1:11" ht="15">
      <c r="A73" s="899" t="s">
        <v>280</v>
      </c>
      <c r="B73" s="899"/>
      <c r="C73" s="899"/>
      <c r="D73" s="821">
        <f>SUM(E73:K73)</f>
        <v>145404.62975526744</v>
      </c>
      <c r="E73" s="821">
        <f>E72+E66</f>
        <v>87.826251904217884</v>
      </c>
      <c r="F73" s="821">
        <f t="shared" ref="F73:K73" si="9">F72+F66</f>
        <v>14797.811820933359</v>
      </c>
      <c r="G73" s="821">
        <f t="shared" si="9"/>
        <v>2179.403628515071</v>
      </c>
      <c r="H73" s="821">
        <f t="shared" si="9"/>
        <v>29.57893897057415</v>
      </c>
      <c r="I73" s="821">
        <f t="shared" si="9"/>
        <v>266.87667069995888</v>
      </c>
      <c r="J73" s="821">
        <f t="shared" si="9"/>
        <v>6.6356465022728672</v>
      </c>
      <c r="K73" s="821">
        <f t="shared" si="9"/>
        <v>128036.49679774199</v>
      </c>
    </row>
    <row r="74" spans="1:11">
      <c r="A74" s="776" t="s">
        <v>661</v>
      </c>
    </row>
    <row r="75" spans="1:11" ht="15">
      <c r="A75" s="898" t="s">
        <v>662</v>
      </c>
      <c r="D75" s="567">
        <f>HLOOKUP($A$12,'Expense Input File'!$A$71:$L$94,24,FALSE)</f>
        <v>1136.4901200000002</v>
      </c>
      <c r="E75" s="821"/>
      <c r="F75" s="821">
        <f>+$D75*(F56/SUM($F56:$H56))</f>
        <v>987.80889529299213</v>
      </c>
      <c r="G75" s="821">
        <f>+$D75*(G56/SUM($F56:$H56))</f>
        <v>135.69349735260283</v>
      </c>
      <c r="H75" s="821">
        <f>+$D75*(H56/SUM($F56:$H56))</f>
        <v>12.98772735440515</v>
      </c>
      <c r="I75" s="821"/>
      <c r="J75" s="821"/>
      <c r="K75" s="821"/>
    </row>
    <row r="76" spans="1:11">
      <c r="D76" s="900"/>
    </row>
    <row r="77" spans="1:11">
      <c r="E77" s="759"/>
      <c r="F77" s="759"/>
      <c r="G77" s="759"/>
      <c r="H77" s="759"/>
      <c r="I77" s="759"/>
      <c r="J77" s="759"/>
      <c r="K77" s="759"/>
    </row>
    <row r="81" spans="4:4">
      <c r="D81" s="759"/>
    </row>
    <row r="82" spans="4:4">
      <c r="D82" s="759"/>
    </row>
    <row r="83" spans="4:4">
      <c r="D83" s="759"/>
    </row>
    <row r="84" spans="4:4">
      <c r="D84" s="759"/>
    </row>
  </sheetData>
  <customSheetViews>
    <customSheetView guid="{2226E858-00AE-4A92-8CF6-5B54D2FA62D4}" showPageBreaks="1" fitToPage="1" topLeftCell="A31">
      <selection activeCell="D32" sqref="D32"/>
      <pageMargins left="0.25" right="0.25" top="0.75" bottom="0.75" header="0.3" footer="0.3"/>
      <pageSetup scale="55" orientation="portrait" r:id="rId1"/>
    </customSheetView>
  </customSheetViews>
  <mergeCells count="3">
    <mergeCell ref="A1:K1"/>
    <mergeCell ref="A10:B10"/>
    <mergeCell ref="A12:C12"/>
  </mergeCells>
  <pageMargins left="0.25" right="0.25" top="0.75" bottom="0.75" header="0.3" footer="0.3"/>
  <pageSetup scale="56" orientation="portrait"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19">
    <tabColor rgb="FFCCFF66"/>
    <pageSetUpPr autoPageBreaks="0" fitToPage="1"/>
  </sheetPr>
  <dimension ref="A1:K82"/>
  <sheetViews>
    <sheetView topLeftCell="A8" workbookViewId="0">
      <selection activeCell="A10" sqref="A10:K82"/>
    </sheetView>
  </sheetViews>
  <sheetFormatPr defaultColWidth="9.140625" defaultRowHeight="14.25" outlineLevelRow="1"/>
  <cols>
    <col min="1" max="2" width="9.140625" style="746"/>
    <col min="3" max="3" width="29.28515625" style="746" customWidth="1"/>
    <col min="4" max="11" width="15.7109375" style="746" customWidth="1"/>
    <col min="12" max="16384" width="9.140625" style="746"/>
  </cols>
  <sheetData>
    <row r="1" spans="1:11" ht="18" hidden="1" outlineLevel="1">
      <c r="A1" s="989"/>
      <c r="B1" s="989"/>
      <c r="C1" s="989"/>
      <c r="D1" s="989"/>
      <c r="E1" s="989"/>
      <c r="F1" s="989"/>
      <c r="G1" s="989"/>
      <c r="H1" s="989"/>
      <c r="I1" s="989"/>
      <c r="J1" s="989"/>
      <c r="K1" s="989"/>
    </row>
    <row r="2" spans="1:11" ht="18" hidden="1" outlineLevel="1">
      <c r="B2" s="747"/>
      <c r="C2" s="748"/>
      <c r="D2" s="738"/>
      <c r="F2" s="883"/>
      <c r="G2" s="877"/>
      <c r="H2" s="576"/>
      <c r="I2" s="883"/>
      <c r="J2" s="576"/>
      <c r="K2" s="769"/>
    </row>
    <row r="3" spans="1:11" ht="18" hidden="1" outlineLevel="1">
      <c r="B3" s="747"/>
      <c r="C3" s="418"/>
      <c r="D3" s="738"/>
      <c r="F3" s="883"/>
      <c r="G3" s="883"/>
      <c r="H3" s="576"/>
      <c r="I3" s="878"/>
      <c r="J3" s="576"/>
      <c r="K3" s="769"/>
    </row>
    <row r="4" spans="1:11" ht="18" hidden="1" customHeight="1" outlineLevel="1">
      <c r="B4" s="747"/>
      <c r="C4" s="884"/>
      <c r="D4" s="738"/>
      <c r="F4" s="145"/>
      <c r="G4" s="885"/>
      <c r="H4" s="576"/>
      <c r="I4" s="878"/>
      <c r="J4" s="738"/>
      <c r="K4" s="769"/>
    </row>
    <row r="5" spans="1:11" ht="18" hidden="1" customHeight="1" outlineLevel="1">
      <c r="B5" s="761"/>
      <c r="C5" s="884"/>
      <c r="F5" s="145"/>
      <c r="G5" s="885"/>
      <c r="H5" s="576"/>
      <c r="I5" s="830"/>
      <c r="K5" s="769"/>
    </row>
    <row r="6" spans="1:11" ht="15" hidden="1" outlineLevel="1">
      <c r="B6" s="761"/>
      <c r="C6" s="418"/>
      <c r="E6" s="876"/>
      <c r="F6" s="876"/>
      <c r="G6" s="745"/>
      <c r="H6" s="576"/>
      <c r="I6" s="879"/>
      <c r="K6" s="769"/>
    </row>
    <row r="7" spans="1:11" ht="15" hidden="1" outlineLevel="1">
      <c r="B7" s="761"/>
      <c r="C7" s="418"/>
      <c r="E7" s="876"/>
      <c r="F7" s="886"/>
      <c r="G7" s="885"/>
      <c r="H7" s="576"/>
      <c r="I7" s="828"/>
      <c r="K7" s="769"/>
    </row>
    <row r="8" spans="1:11" ht="15" outlineLevel="1">
      <c r="B8" s="761" t="s">
        <v>281</v>
      </c>
      <c r="C8" s="418">
        <v>2027</v>
      </c>
      <c r="E8" s="769"/>
      <c r="F8" s="769"/>
      <c r="G8" s="876"/>
      <c r="H8" s="830"/>
      <c r="I8" s="769"/>
      <c r="J8" s="769"/>
      <c r="K8" s="769"/>
    </row>
    <row r="9" spans="1:11" ht="15" outlineLevel="1">
      <c r="B9" s="761"/>
      <c r="C9" s="418"/>
      <c r="E9" s="769"/>
      <c r="F9" s="769"/>
      <c r="G9" s="769"/>
      <c r="H9" s="769"/>
      <c r="I9" s="769"/>
      <c r="J9" s="769"/>
      <c r="K9" s="769"/>
    </row>
    <row r="10" spans="1:11" ht="15" outlineLevel="1">
      <c r="A10" s="991"/>
      <c r="B10" s="991"/>
      <c r="C10" s="418"/>
    </row>
    <row r="11" spans="1:11" outlineLevel="1"/>
    <row r="12" spans="1:11" ht="29.25" customHeight="1">
      <c r="A12" s="935">
        <f>C8</f>
        <v>2027</v>
      </c>
      <c r="B12" s="935"/>
      <c r="C12" s="935"/>
      <c r="D12" s="805" t="s">
        <v>170</v>
      </c>
      <c r="E12" s="805" t="s">
        <v>171</v>
      </c>
      <c r="F12" s="805" t="s">
        <v>172</v>
      </c>
      <c r="G12" s="805" t="s">
        <v>173</v>
      </c>
      <c r="H12" s="805" t="s">
        <v>174</v>
      </c>
      <c r="I12" s="805" t="s">
        <v>175</v>
      </c>
      <c r="J12" s="805" t="s">
        <v>176</v>
      </c>
      <c r="K12" s="805" t="s">
        <v>177</v>
      </c>
    </row>
    <row r="13" spans="1:11" ht="15">
      <c r="A13" s="887" t="s">
        <v>272</v>
      </c>
      <c r="B13" s="805"/>
      <c r="C13" s="805"/>
      <c r="D13" s="805"/>
      <c r="E13" s="805"/>
      <c r="F13" s="805"/>
      <c r="G13" s="805"/>
      <c r="H13" s="805"/>
      <c r="I13" s="805"/>
      <c r="J13" s="805"/>
      <c r="K13" s="805"/>
    </row>
    <row r="14" spans="1:11" ht="15">
      <c r="A14" s="746" t="s">
        <v>178</v>
      </c>
      <c r="B14" s="769"/>
      <c r="C14" s="769"/>
      <c r="D14" s="285">
        <f>SUM(E14:K14)</f>
        <v>8490800.6228720453</v>
      </c>
      <c r="E14" s="285">
        <v>141543.88560682797</v>
      </c>
      <c r="F14" s="285">
        <v>7019510.2210781267</v>
      </c>
      <c r="G14" s="285">
        <v>720906.5120511977</v>
      </c>
      <c r="H14" s="285">
        <v>78140.223003212086</v>
      </c>
      <c r="I14" s="285">
        <v>14342.493636094434</v>
      </c>
      <c r="J14" s="285">
        <v>6110.9399736998403</v>
      </c>
      <c r="K14" s="285">
        <v>510246.3475228856</v>
      </c>
    </row>
    <row r="15" spans="1:11">
      <c r="A15" s="816" t="s">
        <v>237</v>
      </c>
      <c r="D15" s="880">
        <f>SUM(E15:K15)</f>
        <v>0.99999999999999989</v>
      </c>
      <c r="E15" s="881">
        <f>E14/D14</f>
        <v>1.6670263723487389E-2</v>
      </c>
      <c r="F15" s="881">
        <f>F14/D14</f>
        <v>0.82671947356405495</v>
      </c>
      <c r="G15" s="881">
        <f>G14/D14</f>
        <v>8.4904421157795174E-2</v>
      </c>
      <c r="H15" s="881">
        <f>H14/D14</f>
        <v>9.202927553465608E-3</v>
      </c>
      <c r="I15" s="881">
        <f>I14/D14</f>
        <v>1.6891803580288323E-3</v>
      </c>
      <c r="J15" s="881">
        <f>J14/D14</f>
        <v>7.1971304534445559E-4</v>
      </c>
      <c r="K15" s="881">
        <f>K14/D14</f>
        <v>6.0094020597823539E-2</v>
      </c>
    </row>
    <row r="16" spans="1:11">
      <c r="A16" s="859" t="s">
        <v>81</v>
      </c>
    </row>
    <row r="17" spans="1:11">
      <c r="B17" s="746" t="s">
        <v>499</v>
      </c>
      <c r="D17" s="285">
        <f>SUM(E17:K17)</f>
        <v>8526.2600033176459</v>
      </c>
      <c r="E17" s="285"/>
      <c r="F17" s="285">
        <f>HLOOKUP($A$12,'Repayment Inputs'!$B$2:$J$24,19,FALSE)</f>
        <v>8526.2600033176459</v>
      </c>
      <c r="G17" s="285"/>
      <c r="H17" s="285"/>
      <c r="I17" s="285"/>
      <c r="J17" s="285"/>
      <c r="K17" s="285"/>
    </row>
    <row r="18" spans="1:11">
      <c r="B18" s="746" t="s">
        <v>500</v>
      </c>
      <c r="D18" s="285">
        <f>SUM(E18:K18)</f>
        <v>0</v>
      </c>
      <c r="E18" s="285"/>
      <c r="F18" s="285">
        <f>-(HLOOKUP($A$12,AFUDC!$I$13:$AJ$38,25,FALSE))</f>
        <v>0</v>
      </c>
      <c r="G18" s="285"/>
      <c r="H18" s="285"/>
      <c r="I18" s="285"/>
      <c r="J18" s="285"/>
      <c r="K18" s="285"/>
    </row>
    <row r="19" spans="1:11">
      <c r="B19" s="746" t="s">
        <v>496</v>
      </c>
      <c r="D19" s="285">
        <f>SUM(E19:K19)</f>
        <v>8526.2600033176459</v>
      </c>
      <c r="E19" s="285"/>
      <c r="F19" s="285">
        <f>SUM(F17:F18)</f>
        <v>8526.2600033176459</v>
      </c>
      <c r="G19" s="285"/>
      <c r="H19" s="285"/>
      <c r="I19" s="285"/>
      <c r="J19" s="285"/>
      <c r="K19" s="285"/>
    </row>
    <row r="20" spans="1:11">
      <c r="A20" s="840" t="s">
        <v>179</v>
      </c>
      <c r="D20" s="285">
        <f>HLOOKUP($A$12,'Revenue Requirement'!$A$2:$I$26,25,FALSE)-$D$19</f>
        <v>232632.24757922694</v>
      </c>
      <c r="E20" s="285">
        <f>D20*E15</f>
        <v>3878.040917733324</v>
      </c>
      <c r="F20" s="285">
        <f>D20*F15</f>
        <v>192321.60925272139</v>
      </c>
      <c r="G20" s="285">
        <f>D20*G15</f>
        <v>19751.506323351161</v>
      </c>
      <c r="H20" s="285">
        <f>D20*H15</f>
        <v>2140.8977210715007</v>
      </c>
      <c r="I20" s="285">
        <f>D20*I15</f>
        <v>392.95782325493053</v>
      </c>
      <c r="J20" s="285">
        <f>D20*J15</f>
        <v>167.42846335057078</v>
      </c>
      <c r="K20" s="285">
        <f>D20*K15</f>
        <v>13979.807077744048</v>
      </c>
    </row>
    <row r="21" spans="1:11" ht="15">
      <c r="A21" s="858" t="s">
        <v>180</v>
      </c>
      <c r="B21" s="769"/>
      <c r="C21" s="769"/>
      <c r="D21" s="821">
        <f t="shared" ref="D21:K21" si="0">D20+D19</f>
        <v>241158.50758254458</v>
      </c>
      <c r="E21" s="821">
        <f t="shared" si="0"/>
        <v>3878.040917733324</v>
      </c>
      <c r="F21" s="821">
        <f t="shared" si="0"/>
        <v>200847.86925603903</v>
      </c>
      <c r="G21" s="821">
        <f t="shared" si="0"/>
        <v>19751.506323351161</v>
      </c>
      <c r="H21" s="821">
        <f t="shared" si="0"/>
        <v>2140.8977210715007</v>
      </c>
      <c r="I21" s="821">
        <f t="shared" si="0"/>
        <v>392.95782325493053</v>
      </c>
      <c r="J21" s="821">
        <f t="shared" si="0"/>
        <v>167.42846335057078</v>
      </c>
      <c r="K21" s="821">
        <f t="shared" si="0"/>
        <v>13979.807077744048</v>
      </c>
    </row>
    <row r="22" spans="1:11">
      <c r="A22" s="859" t="s">
        <v>184</v>
      </c>
    </row>
    <row r="23" spans="1:11">
      <c r="B23" s="746" t="s">
        <v>495</v>
      </c>
      <c r="F23" s="285">
        <f>HLOOKUP($A$12,'Repayment Inputs'!$A$2:$J$43,38,FALSE)</f>
        <v>70528.665055584017</v>
      </c>
      <c r="G23" s="285"/>
    </row>
    <row r="24" spans="1:11">
      <c r="B24" s="746" t="s">
        <v>496</v>
      </c>
      <c r="F24" s="759">
        <f>F19</f>
        <v>8526.2600033176459</v>
      </c>
      <c r="G24" s="759"/>
    </row>
    <row r="25" spans="1:11">
      <c r="B25" s="746" t="s">
        <v>497</v>
      </c>
      <c r="F25" s="861">
        <v>11286.889087545353</v>
      </c>
      <c r="G25" s="861"/>
    </row>
    <row r="26" spans="1:11">
      <c r="B26" s="746" t="s">
        <v>498</v>
      </c>
      <c r="D26" s="759">
        <f>F26</f>
        <v>50715.515964721024</v>
      </c>
      <c r="F26" s="759">
        <f>F23-F24-F25</f>
        <v>50715.515964721024</v>
      </c>
      <c r="G26" s="759"/>
    </row>
    <row r="27" spans="1:11">
      <c r="A27" s="817" t="s">
        <v>481</v>
      </c>
      <c r="D27" s="759">
        <f>HLOOKUP($A$12,'Revenue Requirement'!$A$2:$I$32,31,FALSE)-$D$26</f>
        <v>99510.962187373851</v>
      </c>
      <c r="E27" s="285">
        <f>D27*E15</f>
        <v>1658.8739830415036</v>
      </c>
      <c r="F27" s="285">
        <f>D27*F15</f>
        <v>82267.650273398292</v>
      </c>
      <c r="G27" s="285">
        <f>D27*G15</f>
        <v>8448.9206433742202</v>
      </c>
      <c r="H27" s="285">
        <f>D27*H15</f>
        <v>915.7921757860571</v>
      </c>
      <c r="I27" s="285">
        <f>D27*I15</f>
        <v>168.09196273546175</v>
      </c>
      <c r="J27" s="285">
        <f>D27*J15</f>
        <v>71.619337641031805</v>
      </c>
      <c r="K27" s="285">
        <f>D27*K15</f>
        <v>5980.0138113972835</v>
      </c>
    </row>
    <row r="28" spans="1:11" ht="15">
      <c r="A28" s="858" t="s">
        <v>185</v>
      </c>
      <c r="D28" s="821">
        <f>D27+D26</f>
        <v>150226.47815209487</v>
      </c>
      <c r="E28" s="821">
        <f t="shared" ref="E28:K28" si="1">E27+E26</f>
        <v>1658.8739830415036</v>
      </c>
      <c r="F28" s="821">
        <f t="shared" si="1"/>
        <v>132983.1662381193</v>
      </c>
      <c r="G28" s="821">
        <f t="shared" si="1"/>
        <v>8448.9206433742202</v>
      </c>
      <c r="H28" s="821">
        <f t="shared" si="1"/>
        <v>915.7921757860571</v>
      </c>
      <c r="I28" s="821">
        <f t="shared" si="1"/>
        <v>168.09196273546175</v>
      </c>
      <c r="J28" s="821">
        <f t="shared" si="1"/>
        <v>71.619337641031805</v>
      </c>
      <c r="K28" s="821">
        <f t="shared" si="1"/>
        <v>5980.0138113972835</v>
      </c>
    </row>
    <row r="29" spans="1:11" ht="15">
      <c r="A29" s="859" t="s">
        <v>189</v>
      </c>
      <c r="D29" s="821"/>
      <c r="E29" s="821"/>
      <c r="F29" s="821"/>
      <c r="G29" s="821"/>
      <c r="H29" s="821"/>
      <c r="I29" s="821"/>
      <c r="J29" s="821"/>
      <c r="K29" s="821"/>
    </row>
    <row r="30" spans="1:11">
      <c r="A30" s="818" t="s">
        <v>791</v>
      </c>
      <c r="D30" s="285">
        <f>SUM(E30:K30)</f>
        <v>307934.04538600001</v>
      </c>
      <c r="E30" s="861">
        <v>4807</v>
      </c>
      <c r="F30" s="861">
        <v>243824.04538600001</v>
      </c>
      <c r="G30" s="861">
        <v>27824</v>
      </c>
      <c r="H30" s="861">
        <v>3349</v>
      </c>
      <c r="I30" s="861">
        <v>448</v>
      </c>
      <c r="J30" s="861">
        <v>188</v>
      </c>
      <c r="K30" s="861">
        <v>27494</v>
      </c>
    </row>
    <row r="31" spans="1:11">
      <c r="A31" s="818" t="s">
        <v>186</v>
      </c>
      <c r="D31" s="888">
        <f>SUM(E31:K31)</f>
        <v>1</v>
      </c>
      <c r="E31" s="882">
        <f>E49/D49</f>
        <v>1.6398726188756672E-2</v>
      </c>
      <c r="F31" s="882">
        <f>F49/D49</f>
        <v>0.62913679112612131</v>
      </c>
      <c r="G31" s="882">
        <f>G49/D49</f>
        <v>8.6423367827413625E-2</v>
      </c>
      <c r="H31" s="882">
        <f>H49/D49</f>
        <v>8.2719007195696508E-3</v>
      </c>
      <c r="I31" s="882">
        <f>I49/D49</f>
        <v>4.3126883071583381E-3</v>
      </c>
      <c r="J31" s="882">
        <f>J49/D49</f>
        <v>1.0620055850536784E-3</v>
      </c>
      <c r="K31" s="882">
        <f>K49/D49</f>
        <v>0.25439452024592663</v>
      </c>
    </row>
    <row r="32" spans="1:11">
      <c r="A32" s="818" t="s">
        <v>187</v>
      </c>
      <c r="D32" s="285">
        <v>95858.289535341552</v>
      </c>
      <c r="E32" s="285">
        <f>D32*E31</f>
        <v>1571.9538430126252</v>
      </c>
      <c r="F32" s="285">
        <f>D32*F31</f>
        <v>60307.976681103435</v>
      </c>
      <c r="G32" s="285">
        <f>D32*G31</f>
        <v>8284.3962158195372</v>
      </c>
      <c r="H32" s="285">
        <f>D32*H31</f>
        <v>792.93025418410775</v>
      </c>
      <c r="I32" s="285">
        <f>D32*I31</f>
        <v>413.40692442326599</v>
      </c>
      <c r="J32" s="285">
        <f>D32*J31</f>
        <v>101.80203886022531</v>
      </c>
      <c r="K32" s="285">
        <f>D32*K31</f>
        <v>24385.823577938343</v>
      </c>
    </row>
    <row r="33" spans="1:11" ht="15">
      <c r="A33" s="858" t="s">
        <v>188</v>
      </c>
      <c r="D33" s="821">
        <f>SUM(E33:K33)</f>
        <v>403792.33492134151</v>
      </c>
      <c r="E33" s="821">
        <f t="shared" ref="E33:K33" si="2">E32+E30</f>
        <v>6378.9538430126249</v>
      </c>
      <c r="F33" s="821">
        <f>F32+F30</f>
        <v>304132.02206710342</v>
      </c>
      <c r="G33" s="821">
        <f>G32+G30</f>
        <v>36108.396215819535</v>
      </c>
      <c r="H33" s="821">
        <f t="shared" si="2"/>
        <v>4141.930254184108</v>
      </c>
      <c r="I33" s="821">
        <f t="shared" si="2"/>
        <v>861.40692442326599</v>
      </c>
      <c r="J33" s="821">
        <f t="shared" si="2"/>
        <v>289.80203886022531</v>
      </c>
      <c r="K33" s="821">
        <f t="shared" si="2"/>
        <v>51879.823577938339</v>
      </c>
    </row>
    <row r="34" spans="1:11" ht="9" customHeight="1"/>
    <row r="35" spans="1:11" ht="15">
      <c r="A35" s="887" t="s">
        <v>236</v>
      </c>
    </row>
    <row r="36" spans="1:11">
      <c r="A36" s="889" t="s">
        <v>520</v>
      </c>
    </row>
    <row r="37" spans="1:11">
      <c r="A37" s="890" t="s">
        <v>299</v>
      </c>
      <c r="D37" s="861">
        <f>SUM(E37:J37)</f>
        <v>55257.949820708738</v>
      </c>
      <c r="E37" s="861">
        <v>661.02284632795602</v>
      </c>
      <c r="F37" s="861">
        <v>50810.755286172913</v>
      </c>
      <c r="G37" s="861">
        <v>2810.7714197653595</v>
      </c>
      <c r="H37" s="861">
        <v>960.18814525035441</v>
      </c>
      <c r="I37" s="861">
        <v>15.212123192158659</v>
      </c>
      <c r="J37" s="861">
        <v>0</v>
      </c>
    </row>
    <row r="38" spans="1:11">
      <c r="A38" s="890" t="s">
        <v>300</v>
      </c>
      <c r="D38" s="861">
        <f>SUM(E38:J38)</f>
        <v>136761.67424071985</v>
      </c>
      <c r="E38" s="861">
        <v>3562.2256722987713</v>
      </c>
      <c r="F38" s="861">
        <v>111214.08679934609</v>
      </c>
      <c r="G38" s="861">
        <v>19446.284155813479</v>
      </c>
      <c r="H38" s="861">
        <v>1170.1171027329681</v>
      </c>
      <c r="I38" s="861">
        <v>1095.4567357703675</v>
      </c>
      <c r="J38" s="861">
        <v>273.50377475820966</v>
      </c>
    </row>
    <row r="39" spans="1:11" ht="15">
      <c r="A39" s="891" t="s">
        <v>301</v>
      </c>
      <c r="B39" s="769"/>
      <c r="C39" s="769"/>
      <c r="D39" s="861">
        <f>SUM(D37:D38)</f>
        <v>192019.62406142859</v>
      </c>
    </row>
    <row r="40" spans="1:11">
      <c r="A40" s="883" t="s">
        <v>239</v>
      </c>
    </row>
    <row r="41" spans="1:11">
      <c r="A41" s="817" t="s">
        <v>240</v>
      </c>
      <c r="D41" s="285">
        <f>'Expense Input File'!K33+'Expense Input File'!K67+'Expense Input File'!K70+'Expense Input File'!K94</f>
        <v>34093.462639999998</v>
      </c>
      <c r="F41" s="285">
        <f>(HLOOKUP($A$12,'Expense Input File'!$A$27:$L$70,33,FALSE))</f>
        <v>0</v>
      </c>
      <c r="K41" s="285">
        <f>SUM('Expense Input File'!K29:K32)-'Expense Input File'!K34</f>
        <v>82974.95094000001</v>
      </c>
    </row>
    <row r="42" spans="1:11">
      <c r="A42" s="817" t="s">
        <v>241</v>
      </c>
      <c r="D42" s="285">
        <f>HLOOKUP($A$12,'Expense Input File'!$B$14:$L$24,4,FALSE)</f>
        <v>239518.35303999999</v>
      </c>
    </row>
    <row r="43" spans="1:11" ht="5.25" customHeight="1">
      <c r="A43" s="817"/>
      <c r="D43" s="285"/>
    </row>
    <row r="44" spans="1:11">
      <c r="A44" s="892" t="s">
        <v>266</v>
      </c>
      <c r="D44" s="759">
        <f>SUM(D41:D42)</f>
        <v>273611.81568</v>
      </c>
    </row>
    <row r="45" spans="1:11">
      <c r="A45" s="893" t="s">
        <v>267</v>
      </c>
      <c r="D45" s="759">
        <f>D44-D46</f>
        <v>78737.931370814942</v>
      </c>
      <c r="E45" s="843">
        <f>(E37/D37)*D45</f>
        <v>941.90196483195894</v>
      </c>
      <c r="F45" s="759">
        <f>(F37/D37)*D45</f>
        <v>72401.05316253737</v>
      </c>
      <c r="G45" s="759">
        <f>(G37/D37)*D45</f>
        <v>4005.1128908440269</v>
      </c>
      <c r="H45" s="759">
        <f>(H37/D37)*D45</f>
        <v>1368.1873563730928</v>
      </c>
      <c r="I45" s="759">
        <f>(I37/D37)*D45</f>
        <v>21.675996228504452</v>
      </c>
      <c r="J45" s="759">
        <f>(J37/D37)*D45</f>
        <v>0</v>
      </c>
    </row>
    <row r="46" spans="1:11">
      <c r="A46" s="893" t="s">
        <v>269</v>
      </c>
      <c r="D46" s="285">
        <f>((D38/D39)*D44)</f>
        <v>194873.88430918506</v>
      </c>
      <c r="E46" s="843">
        <f>(E38/D38)*D46</f>
        <v>5075.872004351867</v>
      </c>
      <c r="F46" s="759">
        <f>(F38/D38)*D46</f>
        <v>158470.72072502115</v>
      </c>
      <c r="G46" s="759">
        <f>(G38/D38)*D46</f>
        <v>27709.319514130482</v>
      </c>
      <c r="H46" s="759">
        <f>(H38/D38)*D46</f>
        <v>1667.3184660259903</v>
      </c>
      <c r="I46" s="759">
        <f>(I38/D38)*D46</f>
        <v>1560.9337219467227</v>
      </c>
      <c r="J46" s="759">
        <f>(J38/D38)*D46</f>
        <v>389.71987770889268</v>
      </c>
    </row>
    <row r="47" spans="1:11" ht="15">
      <c r="A47" s="894" t="s">
        <v>268</v>
      </c>
      <c r="B47" s="769"/>
      <c r="C47" s="769"/>
      <c r="D47" s="759">
        <f>SUM(E47:J47)</f>
        <v>273611.81568000012</v>
      </c>
      <c r="E47" s="759">
        <f t="shared" ref="E47:J47" si="3">SUM(E45:E46)</f>
        <v>6017.773969183826</v>
      </c>
      <c r="F47" s="759">
        <f t="shared" si="3"/>
        <v>230871.77388755852</v>
      </c>
      <c r="G47" s="759">
        <f t="shared" si="3"/>
        <v>31714.432404974508</v>
      </c>
      <c r="H47" s="759">
        <f t="shared" si="3"/>
        <v>3035.5058223990832</v>
      </c>
      <c r="I47" s="759">
        <f t="shared" si="3"/>
        <v>1582.609718175227</v>
      </c>
      <c r="J47" s="759">
        <f t="shared" si="3"/>
        <v>389.71987770889268</v>
      </c>
    </row>
    <row r="48" spans="1:11">
      <c r="A48" s="895" t="s">
        <v>25</v>
      </c>
      <c r="D48" s="759">
        <f>K48</f>
        <v>10379.173290000001</v>
      </c>
      <c r="K48" s="285">
        <f>SUM('Expense Input File'!K61:K65)</f>
        <v>10379.173290000001</v>
      </c>
    </row>
    <row r="49" spans="1:11" ht="15">
      <c r="A49" s="896" t="s">
        <v>270</v>
      </c>
      <c r="B49" s="769"/>
      <c r="C49" s="769"/>
      <c r="D49" s="821">
        <f>SUM(E49:K49)</f>
        <v>366965.93991000013</v>
      </c>
      <c r="E49" s="821">
        <f t="shared" ref="E49:J49" si="4">E47</f>
        <v>6017.773969183826</v>
      </c>
      <c r="F49" s="821">
        <f>F47+F41</f>
        <v>230871.77388755852</v>
      </c>
      <c r="G49" s="821">
        <f t="shared" si="4"/>
        <v>31714.432404974508</v>
      </c>
      <c r="H49" s="821">
        <f t="shared" si="4"/>
        <v>3035.5058223990832</v>
      </c>
      <c r="I49" s="821">
        <f t="shared" si="4"/>
        <v>1582.609718175227</v>
      </c>
      <c r="J49" s="821">
        <f t="shared" si="4"/>
        <v>389.71987770889268</v>
      </c>
      <c r="K49" s="821">
        <f>K48+K41</f>
        <v>93354.124230000016</v>
      </c>
    </row>
    <row r="50" spans="1:11">
      <c r="A50" s="883" t="s">
        <v>271</v>
      </c>
    </row>
    <row r="51" spans="1:11">
      <c r="A51" s="897" t="s">
        <v>46</v>
      </c>
      <c r="D51" s="285">
        <f>SUM((HLOOKUP($A$12,'Expense Input File'!$A$27:$L$70,10,FALSE)),(HLOOKUP($A$12,'Expense Input File'!$A$27:$L$70,11,FALSE)),(HLOOKUP($A$12,'Expense Input File'!$A$27:$L$70,12,FALSE)),(HLOOKUP($A$12,'Expense Input File'!$A$27:$L$70,13,FALSE)))</f>
        <v>12428.303550000001</v>
      </c>
      <c r="E51" s="285">
        <f>(E49/D49)*D51</f>
        <v>203.80834690720252</v>
      </c>
      <c r="F51" s="285">
        <f>(F49/D49)*D51</f>
        <v>7819.1030145883824</v>
      </c>
      <c r="G51" s="285">
        <f>(G49/D49)*D51</f>
        <v>1074.0958491724007</v>
      </c>
      <c r="H51" s="285">
        <f>(H49/D49)*D51</f>
        <v>102.80569307827506</v>
      </c>
      <c r="I51" s="285">
        <f>(I49/D49)*D51</f>
        <v>53.599399397899468</v>
      </c>
      <c r="J51" s="285">
        <f>(J49/D49)*D51</f>
        <v>13.198927782842459</v>
      </c>
      <c r="K51" s="285">
        <f>(K49/D49)*D51</f>
        <v>3161.6923190729967</v>
      </c>
    </row>
    <row r="52" spans="1:11">
      <c r="A52" s="897" t="s">
        <v>47</v>
      </c>
      <c r="D52" s="285">
        <f>SUM('Expense Input File'!K42:K58)</f>
        <v>97891.482669999998</v>
      </c>
      <c r="E52" s="285">
        <f>(E49/D49)*D52</f>
        <v>1605.2956205167488</v>
      </c>
      <c r="F52" s="285">
        <f>(F49/D49)*D52</f>
        <v>61587.133285582109</v>
      </c>
      <c r="G52" s="285">
        <f>(G49/D49)*D52</f>
        <v>8460.1116139602964</v>
      </c>
      <c r="H52" s="285">
        <f>(H49/D49)*D52</f>
        <v>809.74862593771297</v>
      </c>
      <c r="I52" s="285">
        <f>(I49/D49)*D52</f>
        <v>422.17545268130209</v>
      </c>
      <c r="J52" s="285">
        <f>(J49/D49)*D52</f>
        <v>103.96130132472537</v>
      </c>
      <c r="K52" s="285">
        <f>(K49/D49)*D52</f>
        <v>24903.056769997089</v>
      </c>
    </row>
    <row r="53" spans="1:11">
      <c r="A53" s="897" t="s">
        <v>273</v>
      </c>
      <c r="D53" s="285">
        <f>HLOOKUP($A$12,'Expense Input File'!$B$14:$L$24,3,FALSE)</f>
        <v>77372.536950000009</v>
      </c>
      <c r="E53" s="285">
        <f>(E49/D49)*(D53-(HLOOKUP($A$12,'Expense Input File'!$A$14:$L$24,10,FALSE)))</f>
        <v>1223.7472706758429</v>
      </c>
      <c r="F53" s="285">
        <f>(F49/D49)*(D53-(HLOOKUP($A$12,'Expense Input File'!$A$14:$L$24,10,FALSE)))</f>
        <v>46949.038733887282</v>
      </c>
      <c r="G53" s="285">
        <f>(G49/D49)*(D53-(HLOOKUP($A$12,'Expense Input File'!$A$14:$L$24,10,FALSE)))</f>
        <v>6449.3033961335059</v>
      </c>
      <c r="H53" s="285">
        <f>(H49/D49)*(D53-(HLOOKUP($A$12,'Expense Input File'!$A$14:$L$24,10,FALSE)))</f>
        <v>617.28672168544767</v>
      </c>
      <c r="I53" s="285">
        <f>(I49/D49)*(D53-(HLOOKUP($A$12,'Expense Input File'!$A$14:$L$24,10,FALSE)))</f>
        <v>321.8323474892278</v>
      </c>
      <c r="J53" s="285">
        <f>(J49/D49)*(D53-(HLOOKUP($A$12,'Expense Input File'!$A$14:$L$24,10,FALSE)))</f>
        <v>79.25166998903812</v>
      </c>
      <c r="K53" s="285">
        <f>((K49/D49)*(D53-(HLOOKUP($A$12,'Expense Input File'!$A$14:$L$24,10,FALSE))))+(HLOOKUP($A$12,'Expense Input File'!$A$14:$L$24,10,FALSE))</f>
        <v>21732.07681013965</v>
      </c>
    </row>
    <row r="54" spans="1:11">
      <c r="A54" s="897" t="s">
        <v>292</v>
      </c>
      <c r="D54" s="285">
        <f>SUM((HLOOKUP($A$12,'Expense Input File'!$A$14:$L$24,7,FALSE)),(HLOOKUP($A$12,'Expense Input File'!$A$14:$L$24,8,FALSE)))</f>
        <v>219690.97290999998</v>
      </c>
      <c r="E54" s="285">
        <f>(E49/D49)*D54</f>
        <v>3602.6521108926495</v>
      </c>
      <c r="F54" s="285">
        <f>(F49/D49)*D54</f>
        <v>138215.67373597305</v>
      </c>
      <c r="G54" s="285">
        <f>(G49/D49)*D54</f>
        <v>18986.433760163291</v>
      </c>
      <c r="H54" s="285">
        <f>(H49/D49)*D54</f>
        <v>1817.2619168971855</v>
      </c>
      <c r="I54" s="285">
        <f>(I49/D49)*D54</f>
        <v>947.45869005719612</v>
      </c>
      <c r="J54" s="285">
        <f>(J49/D49)*D54</f>
        <v>233.31304021629634</v>
      </c>
      <c r="K54" s="285">
        <f>(K49/D49)*D54</f>
        <v>55888.179655800312</v>
      </c>
    </row>
    <row r="55" spans="1:11" ht="15">
      <c r="A55" s="898" t="s">
        <v>290</v>
      </c>
      <c r="D55" s="821">
        <f>SUM(D51:D54)</f>
        <v>407383.29608</v>
      </c>
      <c r="E55" s="821">
        <f t="shared" ref="E55:J55" si="5">SUM(E51:E54)</f>
        <v>6635.5033489924444</v>
      </c>
      <c r="F55" s="821">
        <f t="shared" si="5"/>
        <v>254570.94877003081</v>
      </c>
      <c r="G55" s="821">
        <f t="shared" si="5"/>
        <v>34969.944619429494</v>
      </c>
      <c r="H55" s="821">
        <f t="shared" si="5"/>
        <v>3347.1029575986213</v>
      </c>
      <c r="I55" s="821">
        <f t="shared" si="5"/>
        <v>1745.0658896256255</v>
      </c>
      <c r="J55" s="821">
        <f t="shared" si="5"/>
        <v>429.72493931290228</v>
      </c>
      <c r="K55" s="821">
        <f>SUM(K51:K54)</f>
        <v>105685.00555501005</v>
      </c>
    </row>
    <row r="56" spans="1:11" ht="15">
      <c r="A56" s="887" t="s">
        <v>262</v>
      </c>
      <c r="D56" s="821">
        <f t="shared" ref="D56:K56" si="6">D55+D49</f>
        <v>774349.23599000019</v>
      </c>
      <c r="E56" s="821">
        <f t="shared" si="6"/>
        <v>12653.277318176271</v>
      </c>
      <c r="F56" s="821">
        <f t="shared" si="6"/>
        <v>485442.72265758936</v>
      </c>
      <c r="G56" s="821">
        <f t="shared" si="6"/>
        <v>66684.377024404006</v>
      </c>
      <c r="H56" s="821">
        <f t="shared" si="6"/>
        <v>6382.6087799977049</v>
      </c>
      <c r="I56" s="821">
        <f t="shared" si="6"/>
        <v>3327.6756078008525</v>
      </c>
      <c r="J56" s="821">
        <f t="shared" si="6"/>
        <v>819.44481702179496</v>
      </c>
      <c r="K56" s="821">
        <f t="shared" si="6"/>
        <v>199039.12978501007</v>
      </c>
    </row>
    <row r="57" spans="1:11">
      <c r="A57" s="776" t="s">
        <v>177</v>
      </c>
    </row>
    <row r="58" spans="1:11">
      <c r="A58" s="817" t="s">
        <v>278</v>
      </c>
      <c r="D58" s="285"/>
    </row>
    <row r="59" spans="1:11" ht="15">
      <c r="A59" s="817" t="s">
        <v>276</v>
      </c>
      <c r="D59" s="285">
        <f>(HLOOKUP($A$12,'Expense Input File'!$A$27:$L$91,48,FALSE))</f>
        <v>7696</v>
      </c>
      <c r="E59" s="285"/>
      <c r="F59" s="567">
        <v>7455.4737930080037</v>
      </c>
      <c r="G59" s="285"/>
      <c r="H59" s="285"/>
      <c r="I59" s="567">
        <f>+D59-F59</f>
        <v>240.52620699199633</v>
      </c>
      <c r="J59" s="285"/>
    </row>
    <row r="60" spans="1:11">
      <c r="A60" s="817" t="s">
        <v>277</v>
      </c>
      <c r="D60" s="285">
        <f>(HLOOKUP($A$12,'Expense Input File'!$A$27:$L$91,49,FALSE))</f>
        <v>553</v>
      </c>
      <c r="E60" s="285"/>
      <c r="G60" s="759">
        <f>D60</f>
        <v>553</v>
      </c>
    </row>
    <row r="61" spans="1:11">
      <c r="A61" s="817" t="s">
        <v>275</v>
      </c>
      <c r="D61" s="285">
        <f>(HLOOKUP($A$12,'Expense Input File'!$A$27:$L$91,52,FALSE))</f>
        <v>332</v>
      </c>
      <c r="E61" s="285"/>
      <c r="F61" s="759">
        <f>D61</f>
        <v>332</v>
      </c>
    </row>
    <row r="62" spans="1:11" ht="15">
      <c r="A62" s="817" t="s">
        <v>469</v>
      </c>
      <c r="D62" s="285">
        <f>(HLOOKUP($A$12,'Expense Input File'!$A$27:$L$91,50,FALSE))</f>
        <v>1292</v>
      </c>
      <c r="E62" s="285"/>
      <c r="F62" s="567">
        <f>$D$62*0.397156801</f>
        <v>513.12658689199998</v>
      </c>
      <c r="G62" s="567">
        <f>$D$62*0.602844218</f>
        <v>778.874729656</v>
      </c>
    </row>
    <row r="63" spans="1:11">
      <c r="A63" s="817" t="s">
        <v>274</v>
      </c>
      <c r="D63" s="285">
        <f>HLOOKUP($A$12,'Expense Input File'!$B$27:$L$91,53,FALSE)</f>
        <v>3307</v>
      </c>
      <c r="E63" s="285">
        <f>(E38/D38)*D63</f>
        <v>86.137292217972416</v>
      </c>
      <c r="F63" s="285">
        <f>(F38/D38)*D63</f>
        <v>2689.2401477776884</v>
      </c>
      <c r="G63" s="285">
        <f>(G38/D38)*D63</f>
        <v>470.22575630422972</v>
      </c>
      <c r="H63" s="285">
        <f>(H38/D38)*D63</f>
        <v>28.294310377678787</v>
      </c>
      <c r="I63" s="285">
        <f>(I38/D38)*D63</f>
        <v>26.488966629760505</v>
      </c>
      <c r="J63" s="285">
        <f>(J38/D38)*D63</f>
        <v>6.613526692671166</v>
      </c>
    </row>
    <row r="64" spans="1:11" ht="15">
      <c r="A64" s="817" t="s">
        <v>263</v>
      </c>
      <c r="B64" s="769"/>
      <c r="D64" s="285">
        <f>K64</f>
        <v>128028.07520593569</v>
      </c>
      <c r="E64" s="285"/>
      <c r="K64" s="285">
        <f>HLOOKUP($A$12,'Expense Input File'!$A$27:$L$91,46,FALSE)</f>
        <v>128028.07520593569</v>
      </c>
    </row>
    <row r="65" spans="1:11" ht="15">
      <c r="A65" s="817" t="s">
        <v>665</v>
      </c>
      <c r="B65" s="769"/>
      <c r="D65" s="285">
        <f>K65</f>
        <v>0</v>
      </c>
      <c r="E65" s="285"/>
      <c r="F65" s="285"/>
      <c r="G65" s="285"/>
      <c r="H65" s="285"/>
      <c r="I65" s="285"/>
      <c r="J65" s="285"/>
      <c r="K65" s="285">
        <f>HLOOKUP($A$12,'Expense Input File'!$H$14:$L$107,MATCH($A$65,'Expense Input File'!$B$14:$B$107,0),0)</f>
        <v>0</v>
      </c>
    </row>
    <row r="66" spans="1:11" ht="15">
      <c r="A66" s="858" t="s">
        <v>288</v>
      </c>
      <c r="D66" s="567">
        <f>SUM(D59:D65)</f>
        <v>141208.07520593569</v>
      </c>
      <c r="E66" s="567">
        <f t="shared" ref="E66:K66" si="7">SUM(E59:E65)</f>
        <v>86.137292217972416</v>
      </c>
      <c r="F66" s="567">
        <f t="shared" si="7"/>
        <v>10989.84052767769</v>
      </c>
      <c r="G66" s="567">
        <f t="shared" si="7"/>
        <v>1802.1004859602297</v>
      </c>
      <c r="H66" s="567">
        <f t="shared" si="7"/>
        <v>28.294310377678787</v>
      </c>
      <c r="I66" s="567">
        <f t="shared" si="7"/>
        <v>267.01517362175684</v>
      </c>
      <c r="J66" s="567">
        <f t="shared" si="7"/>
        <v>6.613526692671166</v>
      </c>
      <c r="K66" s="567">
        <f t="shared" si="7"/>
        <v>128028.07520593569</v>
      </c>
    </row>
    <row r="67" spans="1:11">
      <c r="A67" s="817" t="s">
        <v>279</v>
      </c>
      <c r="E67" s="285"/>
    </row>
    <row r="68" spans="1:11">
      <c r="A68" s="817" t="s">
        <v>42</v>
      </c>
      <c r="D68" s="285">
        <f>SUM(E68:K68)</f>
        <v>170.48782</v>
      </c>
      <c r="E68" s="285">
        <f>(HLOOKUP($A$12,'Expense Input File'!$B$71:$L$93,22,FALSE))*E15</f>
        <v>2.8420769210424477</v>
      </c>
      <c r="F68" s="285">
        <f>(HLOOKUP($A$12,'Expense Input File'!$B$71:$L$93,22,FALSE))*F15</f>
        <v>140.94560079948337</v>
      </c>
      <c r="G68" s="285">
        <f>(HLOOKUP($A$12,'Expense Input File'!$B$71:$L$93,22,FALSE))*G15</f>
        <v>14.475169671554376</v>
      </c>
      <c r="H68" s="285">
        <f>(HLOOKUP($A$12,'Expense Input File'!$B$71:$L$93,22,FALSE))*H15</f>
        <v>1.568987056208285</v>
      </c>
      <c r="I68" s="285">
        <f>(HLOOKUP($A$12,'Expense Input File'!$B$71:$L$93,22,FALSE))*I15</f>
        <v>0.28798467682715512</v>
      </c>
      <c r="J68" s="285">
        <f>(HLOOKUP($A$12,'Expense Input File'!$B$71:$L$93,22,FALSE))*J15</f>
        <v>0.12270230812633738</v>
      </c>
      <c r="K68" s="285">
        <f>((HLOOKUP($A$12,'Expense Input File'!$B$71:$L$93,22,FALSE))*K15)+(HLOOKUP($A$12,'Expense Input File'!$B$71:$L$93,23,FALSE))</f>
        <v>10.245298566758033</v>
      </c>
    </row>
    <row r="69" spans="1:11">
      <c r="A69" s="817" t="s">
        <v>43</v>
      </c>
      <c r="D69" s="285">
        <f>HLOOKUP($A$12,'Expense Input File'!$A$27:$L$91,57,FALSE)</f>
        <v>3664.4019900000003</v>
      </c>
      <c r="E69" s="285"/>
      <c r="F69" s="759">
        <f>D69</f>
        <v>3664.4019900000003</v>
      </c>
      <c r="G69" s="759"/>
      <c r="H69" s="759"/>
      <c r="I69" s="759"/>
      <c r="J69" s="759"/>
      <c r="K69" s="759"/>
    </row>
    <row r="70" spans="1:11">
      <c r="A70" s="817" t="s">
        <v>44</v>
      </c>
      <c r="D70" s="285">
        <f>HLOOKUP($A$12,'Expense Input File'!$A$27:$L$91,58,FALSE)</f>
        <v>0</v>
      </c>
      <c r="E70" s="813">
        <f>(E49/D49)*D70</f>
        <v>0</v>
      </c>
      <c r="F70" s="285">
        <f>(F49/D49)*D70</f>
        <v>0</v>
      </c>
      <c r="G70" s="285">
        <f>(G49/D49)*D70</f>
        <v>0</v>
      </c>
      <c r="H70" s="285">
        <f>(H49/D49)*D70</f>
        <v>0</v>
      </c>
      <c r="I70" s="285">
        <f>(I49/D49)*D70</f>
        <v>0</v>
      </c>
      <c r="J70" s="285">
        <f>(J49/D49)*D70</f>
        <v>0</v>
      </c>
      <c r="K70" s="285">
        <f>(K49/D49)*D70</f>
        <v>0</v>
      </c>
    </row>
    <row r="71" spans="1:11">
      <c r="A71" s="817" t="s">
        <v>45</v>
      </c>
      <c r="D71" s="285">
        <f>HLOOKUP($A$12,'Expense Input File'!$A$27:$L$91,59,FALSE)</f>
        <v>0</v>
      </c>
      <c r="E71" s="285"/>
      <c r="K71" s="759">
        <f>D71</f>
        <v>0</v>
      </c>
    </row>
    <row r="72" spans="1:11" ht="15">
      <c r="A72" s="858" t="s">
        <v>289</v>
      </c>
      <c r="D72" s="567">
        <f>SUM(D68:D71)</f>
        <v>3834.8898100000001</v>
      </c>
      <c r="E72" s="567">
        <f t="shared" ref="E72:J72" si="8">SUM(E68:E71)</f>
        <v>2.8420769210424477</v>
      </c>
      <c r="F72" s="567">
        <f t="shared" si="8"/>
        <v>3805.3475907994834</v>
      </c>
      <c r="G72" s="567">
        <f t="shared" si="8"/>
        <v>14.475169671554376</v>
      </c>
      <c r="H72" s="567">
        <f t="shared" si="8"/>
        <v>1.568987056208285</v>
      </c>
      <c r="I72" s="567">
        <f t="shared" si="8"/>
        <v>0.28798467682715512</v>
      </c>
      <c r="J72" s="567">
        <f t="shared" si="8"/>
        <v>0.12270230812633738</v>
      </c>
      <c r="K72" s="567">
        <f>SUM(K68:K71)</f>
        <v>10.245298566758033</v>
      </c>
    </row>
    <row r="73" spans="1:11" ht="15">
      <c r="A73" s="899" t="s">
        <v>280</v>
      </c>
      <c r="B73" s="899"/>
      <c r="C73" s="899"/>
      <c r="D73" s="821">
        <f>SUM(E73:K73)</f>
        <v>145042.96633248369</v>
      </c>
      <c r="E73" s="821">
        <f>E72+E66</f>
        <v>88.979369139014864</v>
      </c>
      <c r="F73" s="821">
        <f t="shared" ref="F73:K73" si="9">F72+F66</f>
        <v>14795.188118477174</v>
      </c>
      <c r="G73" s="821">
        <f t="shared" si="9"/>
        <v>1816.575655631784</v>
      </c>
      <c r="H73" s="821">
        <f t="shared" si="9"/>
        <v>29.863297433887073</v>
      </c>
      <c r="I73" s="821">
        <f t="shared" si="9"/>
        <v>267.30315829858398</v>
      </c>
      <c r="J73" s="821">
        <f t="shared" si="9"/>
        <v>6.7362290007975032</v>
      </c>
      <c r="K73" s="821">
        <f t="shared" si="9"/>
        <v>128038.32050450245</v>
      </c>
    </row>
    <row r="74" spans="1:11">
      <c r="A74" s="776" t="s">
        <v>661</v>
      </c>
    </row>
    <row r="75" spans="1:11" ht="15">
      <c r="A75" s="898" t="s">
        <v>662</v>
      </c>
      <c r="D75" s="567">
        <f>HLOOKUP($A$12,'Expense Input File'!$A$71:$L$94,24,FALSE)</f>
        <v>1136.4901200000002</v>
      </c>
      <c r="E75" s="821"/>
      <c r="F75" s="821">
        <f>+$D75*(F56/SUM($F56:$H56))</f>
        <v>987.80889529299213</v>
      </c>
      <c r="G75" s="821">
        <f>+$D75*(G56/SUM($F56:$H56))</f>
        <v>135.69349735260283</v>
      </c>
      <c r="H75" s="821">
        <f>+$D75*(H56/SUM($F56:$H56))</f>
        <v>12.98772735440515</v>
      </c>
      <c r="I75" s="821"/>
      <c r="J75" s="821"/>
      <c r="K75" s="821"/>
    </row>
    <row r="76" spans="1:11">
      <c r="D76" s="900"/>
    </row>
    <row r="77" spans="1:11">
      <c r="E77" s="759"/>
      <c r="F77" s="759"/>
      <c r="G77" s="759"/>
      <c r="H77" s="759"/>
      <c r="I77" s="759"/>
      <c r="J77" s="759"/>
      <c r="K77" s="759"/>
    </row>
    <row r="81" spans="4:4">
      <c r="D81" s="759"/>
    </row>
    <row r="82" spans="4:4">
      <c r="D82" s="759"/>
    </row>
  </sheetData>
  <customSheetViews>
    <customSheetView guid="{2226E858-00AE-4A92-8CF6-5B54D2FA62D4}" showPageBreaks="1" fitToPage="1" topLeftCell="A31">
      <selection activeCell="D32" sqref="D32"/>
      <pageMargins left="0.25" right="0.25" top="0.75" bottom="0.75" header="0.3" footer="0.3"/>
      <pageSetup scale="55" orientation="portrait" r:id="rId1"/>
    </customSheetView>
  </customSheetViews>
  <mergeCells count="3">
    <mergeCell ref="A1:K1"/>
    <mergeCell ref="A10:B10"/>
    <mergeCell ref="A12:C12"/>
  </mergeCells>
  <pageMargins left="0.25" right="0.25" top="0.75" bottom="0.75" header="0.3" footer="0.3"/>
  <pageSetup scale="56" orientation="portrait"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codeName="Sheet20">
    <tabColor rgb="FFCCFF66"/>
    <pageSetUpPr autoPageBreaks="0" fitToPage="1"/>
  </sheetPr>
  <dimension ref="A1:K81"/>
  <sheetViews>
    <sheetView topLeftCell="A8" workbookViewId="0">
      <selection activeCell="A10" sqref="A10:M81"/>
    </sheetView>
  </sheetViews>
  <sheetFormatPr defaultColWidth="9.140625" defaultRowHeight="14.25" outlineLevelRow="1"/>
  <cols>
    <col min="1" max="2" width="9.140625" style="746"/>
    <col min="3" max="3" width="29.28515625" style="746" customWidth="1"/>
    <col min="4" max="11" width="15.7109375" style="746" customWidth="1"/>
    <col min="12" max="16384" width="9.140625" style="746"/>
  </cols>
  <sheetData>
    <row r="1" spans="1:11" ht="18" hidden="1" outlineLevel="1">
      <c r="A1" s="989"/>
      <c r="B1" s="989"/>
      <c r="C1" s="989"/>
      <c r="D1" s="989"/>
      <c r="E1" s="989"/>
      <c r="F1" s="989"/>
      <c r="G1" s="989"/>
      <c r="H1" s="989"/>
      <c r="I1" s="989"/>
      <c r="J1" s="989"/>
      <c r="K1" s="989"/>
    </row>
    <row r="2" spans="1:11" ht="18" hidden="1" outlineLevel="1">
      <c r="B2" s="747"/>
      <c r="C2" s="748"/>
      <c r="D2" s="738"/>
      <c r="F2" s="883"/>
      <c r="G2" s="877"/>
      <c r="H2" s="576"/>
      <c r="I2" s="883"/>
      <c r="J2" s="576"/>
      <c r="K2" s="769"/>
    </row>
    <row r="3" spans="1:11" ht="18" hidden="1" outlineLevel="1">
      <c r="B3" s="747"/>
      <c r="C3" s="418"/>
      <c r="D3" s="738"/>
      <c r="F3" s="883"/>
      <c r="G3" s="883"/>
      <c r="H3" s="576"/>
      <c r="I3" s="878"/>
      <c r="J3" s="576"/>
      <c r="K3" s="769"/>
    </row>
    <row r="4" spans="1:11" ht="18" hidden="1" customHeight="1" outlineLevel="1">
      <c r="B4" s="747"/>
      <c r="C4" s="884"/>
      <c r="D4" s="738"/>
      <c r="F4" s="145"/>
      <c r="G4" s="885"/>
      <c r="H4" s="576"/>
      <c r="I4" s="878"/>
      <c r="J4" s="738"/>
      <c r="K4" s="769"/>
    </row>
    <row r="5" spans="1:11" ht="18" hidden="1" customHeight="1" outlineLevel="1">
      <c r="B5" s="761"/>
      <c r="C5" s="884"/>
      <c r="F5" s="145"/>
      <c r="G5" s="885"/>
      <c r="H5" s="576"/>
      <c r="I5" s="830"/>
      <c r="K5" s="769"/>
    </row>
    <row r="6" spans="1:11" ht="15" hidden="1" outlineLevel="1">
      <c r="B6" s="761"/>
      <c r="C6" s="418"/>
      <c r="E6" s="876"/>
      <c r="F6" s="876"/>
      <c r="G6" s="745"/>
      <c r="H6" s="576"/>
      <c r="I6" s="879"/>
      <c r="K6" s="769"/>
    </row>
    <row r="7" spans="1:11" ht="15" hidden="1" outlineLevel="1">
      <c r="B7" s="761"/>
      <c r="C7" s="418"/>
      <c r="E7" s="876"/>
      <c r="F7" s="886"/>
      <c r="G7" s="885"/>
      <c r="H7" s="576"/>
      <c r="I7" s="828"/>
      <c r="K7" s="769"/>
    </row>
    <row r="8" spans="1:11" ht="15" outlineLevel="1">
      <c r="B8" s="761" t="s">
        <v>281</v>
      </c>
      <c r="C8" s="418">
        <v>2028</v>
      </c>
      <c r="E8" s="769"/>
      <c r="F8" s="769"/>
      <c r="G8" s="876"/>
      <c r="H8" s="830"/>
      <c r="I8" s="769"/>
      <c r="J8" s="769"/>
      <c r="K8" s="769"/>
    </row>
    <row r="9" spans="1:11" ht="15" outlineLevel="1">
      <c r="B9" s="761"/>
      <c r="C9" s="418"/>
      <c r="E9" s="769"/>
      <c r="F9" s="769"/>
      <c r="G9" s="769"/>
      <c r="H9" s="769"/>
      <c r="I9" s="769"/>
      <c r="J9" s="769"/>
      <c r="K9" s="769"/>
    </row>
    <row r="10" spans="1:11" ht="15" outlineLevel="1">
      <c r="A10" s="991"/>
      <c r="B10" s="991"/>
      <c r="C10" s="418"/>
    </row>
    <row r="11" spans="1:11" outlineLevel="1"/>
    <row r="12" spans="1:11" ht="29.25" customHeight="1">
      <c r="A12" s="935">
        <f>C8</f>
        <v>2028</v>
      </c>
      <c r="B12" s="935"/>
      <c r="C12" s="935"/>
      <c r="D12" s="805" t="s">
        <v>170</v>
      </c>
      <c r="E12" s="805" t="s">
        <v>171</v>
      </c>
      <c r="F12" s="805" t="s">
        <v>172</v>
      </c>
      <c r="G12" s="805" t="s">
        <v>173</v>
      </c>
      <c r="H12" s="805" t="s">
        <v>174</v>
      </c>
      <c r="I12" s="805" t="s">
        <v>175</v>
      </c>
      <c r="J12" s="805" t="s">
        <v>176</v>
      </c>
      <c r="K12" s="805" t="s">
        <v>177</v>
      </c>
    </row>
    <row r="13" spans="1:11" ht="15">
      <c r="A13" s="887" t="s">
        <v>272</v>
      </c>
      <c r="B13" s="805"/>
      <c r="C13" s="805"/>
      <c r="D13" s="805"/>
      <c r="E13" s="805"/>
      <c r="F13" s="805"/>
      <c r="G13" s="805"/>
      <c r="H13" s="805"/>
      <c r="I13" s="805"/>
      <c r="J13" s="805"/>
      <c r="K13" s="805"/>
    </row>
    <row r="14" spans="1:11" ht="15">
      <c r="A14" s="746" t="s">
        <v>178</v>
      </c>
      <c r="B14" s="769"/>
      <c r="C14" s="769"/>
      <c r="D14" s="285">
        <f>SUM(E14:K14)</f>
        <v>9266825.3186121527</v>
      </c>
      <c r="E14" s="285">
        <v>136228.65676783293</v>
      </c>
      <c r="F14" s="285">
        <v>7692060.5721269827</v>
      </c>
      <c r="G14" s="285">
        <v>695814.17902113055</v>
      </c>
      <c r="H14" s="285">
        <v>74393.878619493116</v>
      </c>
      <c r="I14" s="285">
        <v>13849.560423614175</v>
      </c>
      <c r="J14" s="285">
        <v>5904.2789549137933</v>
      </c>
      <c r="K14" s="285">
        <v>648574.1926981844</v>
      </c>
    </row>
    <row r="15" spans="1:11">
      <c r="A15" s="816" t="s">
        <v>237</v>
      </c>
      <c r="D15" s="880">
        <f>SUM(E15:K15)</f>
        <v>0.99999999999999989</v>
      </c>
      <c r="E15" s="881">
        <f>E14/D14</f>
        <v>1.4700682497405188E-2</v>
      </c>
      <c r="F15" s="881">
        <f>F14/D14</f>
        <v>0.83006426771396025</v>
      </c>
      <c r="G15" s="881">
        <f>G14/D14</f>
        <v>7.5086575509695622E-2</v>
      </c>
      <c r="H15" s="881">
        <f>H14/D14</f>
        <v>8.0279789530590534E-3</v>
      </c>
      <c r="I15" s="881">
        <f>I14/D14</f>
        <v>1.4945312928039908E-3</v>
      </c>
      <c r="J15" s="881">
        <f>J14/D14</f>
        <v>6.3714149688947068E-4</v>
      </c>
      <c r="K15" s="881">
        <f>K14/D14</f>
        <v>6.9988822536186338E-2</v>
      </c>
    </row>
    <row r="16" spans="1:11">
      <c r="A16" s="859" t="s">
        <v>81</v>
      </c>
    </row>
    <row r="17" spans="1:11">
      <c r="B17" s="746" t="s">
        <v>499</v>
      </c>
      <c r="D17" s="285">
        <f>SUM(E17:K17)</f>
        <v>7054.0287660433196</v>
      </c>
      <c r="E17" s="285"/>
      <c r="F17" s="285">
        <f>HLOOKUP($A$12,'Repayment Inputs'!$B$2:$J$24,19,FALSE)</f>
        <v>7054.0287660433196</v>
      </c>
      <c r="G17" s="285"/>
      <c r="H17" s="285"/>
      <c r="I17" s="285"/>
      <c r="J17" s="285"/>
      <c r="K17" s="285"/>
    </row>
    <row r="18" spans="1:11">
      <c r="B18" s="746" t="s">
        <v>500</v>
      </c>
      <c r="D18" s="285">
        <f>SUM(E18:K18)</f>
        <v>0</v>
      </c>
      <c r="E18" s="285"/>
      <c r="F18" s="285">
        <f>-(HLOOKUP($A$12,AFUDC!$I$13:$AJ$38,25,FALSE))</f>
        <v>0</v>
      </c>
      <c r="G18" s="285"/>
      <c r="H18" s="285"/>
      <c r="I18" s="285"/>
      <c r="J18" s="285"/>
      <c r="K18" s="285"/>
    </row>
    <row r="19" spans="1:11">
      <c r="B19" s="746" t="s">
        <v>496</v>
      </c>
      <c r="D19" s="285">
        <f>SUM(E19:K19)</f>
        <v>7054.0287660433196</v>
      </c>
      <c r="E19" s="285"/>
      <c r="F19" s="285">
        <f>SUM(F17:F18)</f>
        <v>7054.0287660433196</v>
      </c>
      <c r="G19" s="285"/>
      <c r="H19" s="285"/>
      <c r="I19" s="285"/>
      <c r="J19" s="285"/>
      <c r="K19" s="285"/>
    </row>
    <row r="20" spans="1:11">
      <c r="A20" s="840" t="s">
        <v>179</v>
      </c>
      <c r="D20" s="285">
        <f>HLOOKUP($A$12,'Revenue Requirement'!$A$2:$I$26,25,FALSE)-$D$19</f>
        <v>274002.27440475591</v>
      </c>
      <c r="E20" s="285">
        <f>D20*E15</f>
        <v>4028.0204395912087</v>
      </c>
      <c r="F20" s="285">
        <f>D20*F15</f>
        <v>227439.49725574331</v>
      </c>
      <c r="G20" s="285">
        <f>D20*G15</f>
        <v>20573.892466921043</v>
      </c>
      <c r="H20" s="285">
        <f>D20*H15</f>
        <v>2199.6844920116919</v>
      </c>
      <c r="I20" s="285">
        <f>D20*I15</f>
        <v>409.5049733973737</v>
      </c>
      <c r="J20" s="285">
        <f>D20*J15</f>
        <v>174.57821926536568</v>
      </c>
      <c r="K20" s="285">
        <f>D20*K15</f>
        <v>19177.096557825895</v>
      </c>
    </row>
    <row r="21" spans="1:11" ht="15">
      <c r="A21" s="858" t="s">
        <v>180</v>
      </c>
      <c r="B21" s="769"/>
      <c r="C21" s="769"/>
      <c r="D21" s="821">
        <f t="shared" ref="D21:K21" si="0">D20+D19</f>
        <v>281056.30317079922</v>
      </c>
      <c r="E21" s="821">
        <f t="shared" si="0"/>
        <v>4028.0204395912087</v>
      </c>
      <c r="F21" s="821">
        <f t="shared" si="0"/>
        <v>234493.52602178662</v>
      </c>
      <c r="G21" s="821">
        <f t="shared" si="0"/>
        <v>20573.892466921043</v>
      </c>
      <c r="H21" s="821">
        <f t="shared" si="0"/>
        <v>2199.6844920116919</v>
      </c>
      <c r="I21" s="821">
        <f t="shared" si="0"/>
        <v>409.5049733973737</v>
      </c>
      <c r="J21" s="821">
        <f t="shared" si="0"/>
        <v>174.57821926536568</v>
      </c>
      <c r="K21" s="821">
        <f t="shared" si="0"/>
        <v>19177.096557825895</v>
      </c>
    </row>
    <row r="22" spans="1:11">
      <c r="A22" s="859" t="s">
        <v>184</v>
      </c>
    </row>
    <row r="23" spans="1:11">
      <c r="B23" s="746" t="s">
        <v>495</v>
      </c>
      <c r="F23" s="285">
        <f>HLOOKUP($A$12,'Repayment Inputs'!$A$2:$J$43,38,FALSE)</f>
        <v>69806.194408808558</v>
      </c>
      <c r="G23" s="285"/>
    </row>
    <row r="24" spans="1:11">
      <c r="B24" s="746" t="s">
        <v>496</v>
      </c>
      <c r="F24" s="759">
        <f>F19</f>
        <v>7054.0287660433196</v>
      </c>
      <c r="G24" s="759"/>
    </row>
    <row r="25" spans="1:11">
      <c r="B25" s="746" t="s">
        <v>497</v>
      </c>
      <c r="F25" s="861">
        <v>11286.889087545353</v>
      </c>
      <c r="G25" s="861"/>
    </row>
    <row r="26" spans="1:11">
      <c r="B26" s="746" t="s">
        <v>498</v>
      </c>
      <c r="D26" s="759">
        <f>F26</f>
        <v>51465.276555219891</v>
      </c>
      <c r="F26" s="759">
        <f>F23-F24-F25</f>
        <v>51465.276555219891</v>
      </c>
      <c r="G26" s="759"/>
    </row>
    <row r="27" spans="1:11">
      <c r="A27" s="817" t="s">
        <v>481</v>
      </c>
      <c r="D27" s="759">
        <f>HLOOKUP($A$12,'Revenue Requirement'!$A$2:$I$32,31,FALSE)-$D$26</f>
        <v>121445.51160225878</v>
      </c>
      <c r="E27" s="285">
        <f>D27*E15</f>
        <v>1785.3319067997443</v>
      </c>
      <c r="F27" s="285">
        <f>D27*F15</f>
        <v>100807.57965527619</v>
      </c>
      <c r="G27" s="285">
        <f>D27*G15</f>
        <v>9118.92757723662</v>
      </c>
      <c r="H27" s="285">
        <f>D27*H15</f>
        <v>974.96201108642254</v>
      </c>
      <c r="I27" s="285">
        <f>D27*I15</f>
        <v>181.50411746016587</v>
      </c>
      <c r="J27" s="285">
        <f>D27*J15</f>
        <v>77.377975052770736</v>
      </c>
      <c r="K27" s="285">
        <f>D27*K15</f>
        <v>8499.8283593468477</v>
      </c>
    </row>
    <row r="28" spans="1:11" ht="15">
      <c r="A28" s="858" t="s">
        <v>185</v>
      </c>
      <c r="D28" s="821">
        <f>D27+D26</f>
        <v>172910.78815747867</v>
      </c>
      <c r="E28" s="821">
        <f t="shared" ref="E28:K28" si="1">E27+E26</f>
        <v>1785.3319067997443</v>
      </c>
      <c r="F28" s="821">
        <f t="shared" si="1"/>
        <v>152272.85621049607</v>
      </c>
      <c r="G28" s="821">
        <f t="shared" si="1"/>
        <v>9118.92757723662</v>
      </c>
      <c r="H28" s="821">
        <f t="shared" si="1"/>
        <v>974.96201108642254</v>
      </c>
      <c r="I28" s="821">
        <f t="shared" si="1"/>
        <v>181.50411746016587</v>
      </c>
      <c r="J28" s="821">
        <f t="shared" si="1"/>
        <v>77.377975052770736</v>
      </c>
      <c r="K28" s="821">
        <f t="shared" si="1"/>
        <v>8499.8283593468477</v>
      </c>
    </row>
    <row r="29" spans="1:11" ht="15">
      <c r="A29" s="859" t="s">
        <v>189</v>
      </c>
      <c r="D29" s="821"/>
      <c r="E29" s="821"/>
      <c r="F29" s="821"/>
      <c r="G29" s="821"/>
      <c r="H29" s="821"/>
      <c r="I29" s="821"/>
      <c r="J29" s="821"/>
      <c r="K29" s="821"/>
    </row>
    <row r="30" spans="1:11">
      <c r="A30" s="818" t="s">
        <v>791</v>
      </c>
      <c r="D30" s="285">
        <f>SUM(E30:K30)</f>
        <v>328999.11971900123</v>
      </c>
      <c r="E30" s="861">
        <v>4807</v>
      </c>
      <c r="F30" s="861">
        <v>263117.04538600001</v>
      </c>
      <c r="G30" s="861">
        <v>27866</v>
      </c>
      <c r="H30" s="861">
        <v>3349</v>
      </c>
      <c r="I30" s="861">
        <v>448</v>
      </c>
      <c r="J30" s="861">
        <v>188</v>
      </c>
      <c r="K30" s="861">
        <v>29224.074333001208</v>
      </c>
    </row>
    <row r="31" spans="1:11">
      <c r="A31" s="818" t="s">
        <v>186</v>
      </c>
      <c r="D31" s="888">
        <f>SUM(E31:K31)</f>
        <v>1.0000000000000002</v>
      </c>
      <c r="E31" s="882">
        <f>E49/D49</f>
        <v>1.6413961598815644E-2</v>
      </c>
      <c r="F31" s="882">
        <f>F49/D49</f>
        <v>0.62972129731798432</v>
      </c>
      <c r="G31" s="882">
        <f>G49/D49</f>
        <v>8.6503660371625435E-2</v>
      </c>
      <c r="H31" s="882">
        <f>H49/D49</f>
        <v>8.2795858164472474E-3</v>
      </c>
      <c r="I31" s="882">
        <f>I49/D49</f>
        <v>4.3166950558569768E-3</v>
      </c>
      <c r="J31" s="882">
        <f>J49/D49</f>
        <v>1.0629922525781542E-3</v>
      </c>
      <c r="K31" s="882">
        <f>K49/D49</f>
        <v>0.25370180758669231</v>
      </c>
    </row>
    <row r="32" spans="1:11">
      <c r="A32" s="818" t="s">
        <v>187</v>
      </c>
      <c r="D32" s="285">
        <v>102925.5647596777</v>
      </c>
      <c r="E32" s="285">
        <f>D32*E31</f>
        <v>1689.4162675017624</v>
      </c>
      <c r="F32" s="285">
        <f>D32*F31</f>
        <v>64814.420167650445</v>
      </c>
      <c r="G32" s="285">
        <f>D32*G31</f>
        <v>8903.4380975288987</v>
      </c>
      <c r="H32" s="285">
        <f>D32*H31</f>
        <v>852.18104613405012</v>
      </c>
      <c r="I32" s="285">
        <f>D32*I31</f>
        <v>444.2982765193878</v>
      </c>
      <c r="J32" s="285">
        <f>D32*J31</f>
        <v>109.40907793176848</v>
      </c>
      <c r="K32" s="285">
        <f>D32*K31</f>
        <v>26112.401826411391</v>
      </c>
    </row>
    <row r="33" spans="1:11" ht="15">
      <c r="A33" s="858" t="s">
        <v>188</v>
      </c>
      <c r="D33" s="821">
        <f>SUM(E33:K33)</f>
        <v>431924.68447867892</v>
      </c>
      <c r="E33" s="821">
        <f t="shared" ref="E33:K33" si="2">E32+E30</f>
        <v>6496.4162675017624</v>
      </c>
      <c r="F33" s="821">
        <f>F32+F30</f>
        <v>327931.46555365046</v>
      </c>
      <c r="G33" s="821">
        <f>G32+G30</f>
        <v>36769.438097528895</v>
      </c>
      <c r="H33" s="821">
        <f t="shared" si="2"/>
        <v>4201.1810461340501</v>
      </c>
      <c r="I33" s="821">
        <f t="shared" si="2"/>
        <v>892.29827651938785</v>
      </c>
      <c r="J33" s="821">
        <f t="shared" si="2"/>
        <v>297.40907793176848</v>
      </c>
      <c r="K33" s="821">
        <f t="shared" si="2"/>
        <v>55336.476159412603</v>
      </c>
    </row>
    <row r="34" spans="1:11" ht="9" customHeight="1"/>
    <row r="35" spans="1:11" ht="15">
      <c r="A35" s="887" t="s">
        <v>236</v>
      </c>
    </row>
    <row r="36" spans="1:11">
      <c r="A36" s="889" t="s">
        <v>520</v>
      </c>
    </row>
    <row r="37" spans="1:11">
      <c r="A37" s="890" t="s">
        <v>299</v>
      </c>
      <c r="D37" s="861">
        <f>SUM(E37:J37)</f>
        <v>55257.949820708738</v>
      </c>
      <c r="E37" s="861">
        <v>661.02284632795602</v>
      </c>
      <c r="F37" s="861">
        <v>50810.755286172913</v>
      </c>
      <c r="G37" s="861">
        <v>2810.7714197653595</v>
      </c>
      <c r="H37" s="861">
        <v>960.18814525035441</v>
      </c>
      <c r="I37" s="861">
        <v>15.212123192158659</v>
      </c>
      <c r="J37" s="861">
        <v>0</v>
      </c>
    </row>
    <row r="38" spans="1:11">
      <c r="A38" s="890" t="s">
        <v>300</v>
      </c>
      <c r="D38" s="861">
        <f>SUM(E38:J38)</f>
        <v>136761.67424071985</v>
      </c>
      <c r="E38" s="861">
        <v>3562.2256722987713</v>
      </c>
      <c r="F38" s="861">
        <v>111214.08679934609</v>
      </c>
      <c r="G38" s="861">
        <v>19446.284155813479</v>
      </c>
      <c r="H38" s="861">
        <v>1170.1171027329681</v>
      </c>
      <c r="I38" s="861">
        <v>1095.4567357703675</v>
      </c>
      <c r="J38" s="861">
        <v>273.50377475820966</v>
      </c>
    </row>
    <row r="39" spans="1:11" ht="15">
      <c r="A39" s="891" t="s">
        <v>301</v>
      </c>
      <c r="B39" s="769"/>
      <c r="C39" s="769"/>
      <c r="D39" s="861">
        <f>SUM(D37:D38)</f>
        <v>192019.62406142859</v>
      </c>
    </row>
    <row r="40" spans="1:11">
      <c r="A40" s="883" t="s">
        <v>239</v>
      </c>
    </row>
    <row r="41" spans="1:11">
      <c r="A41" s="817" t="s">
        <v>240</v>
      </c>
      <c r="D41" s="285">
        <f>'Expense Input File'!L33+'Expense Input File'!L67+'Expense Input File'!L70+'Expense Input File'!L94</f>
        <v>35564.150970000002</v>
      </c>
      <c r="F41" s="285">
        <f>(HLOOKUP($A$12,'Expense Input File'!$A$27:$L$70,33,FALSE))</f>
        <v>0</v>
      </c>
      <c r="K41" s="285">
        <f>SUM('Expense Input File'!L29:L32)-'Expense Input File'!L34</f>
        <v>87384.404639999993</v>
      </c>
    </row>
    <row r="42" spans="1:11">
      <c r="A42" s="817" t="s">
        <v>241</v>
      </c>
      <c r="D42" s="285">
        <f>HLOOKUP($A$12,'Expense Input File'!$B$14:$L$24,4,FALSE)</f>
        <v>252997.98772000003</v>
      </c>
    </row>
    <row r="43" spans="1:11" ht="5.25" customHeight="1">
      <c r="A43" s="817"/>
      <c r="D43" s="285"/>
    </row>
    <row r="44" spans="1:11">
      <c r="A44" s="892" t="s">
        <v>266</v>
      </c>
      <c r="D44" s="759">
        <f>SUM(D41:D42)</f>
        <v>288562.13869000005</v>
      </c>
    </row>
    <row r="45" spans="1:11">
      <c r="A45" s="893" t="s">
        <v>267</v>
      </c>
      <c r="D45" s="759">
        <f>D44-D46</f>
        <v>83040.221841010236</v>
      </c>
      <c r="E45" s="843">
        <f>(E37/D37)*D45</f>
        <v>993.36808511990944</v>
      </c>
      <c r="F45" s="759">
        <f>(F37/D37)*D45</f>
        <v>76357.09259144144</v>
      </c>
      <c r="G45" s="759">
        <f>(G37/D37)*D45</f>
        <v>4223.9547974364759</v>
      </c>
      <c r="H45" s="759">
        <f>(H37/D37)*D45</f>
        <v>1442.9459806128386</v>
      </c>
      <c r="I45" s="759">
        <f>(I37/D37)*D45</f>
        <v>22.860386399573262</v>
      </c>
      <c r="J45" s="759">
        <f>(J37/D37)*D45</f>
        <v>0</v>
      </c>
    </row>
    <row r="46" spans="1:11">
      <c r="A46" s="893" t="s">
        <v>269</v>
      </c>
      <c r="D46" s="285">
        <f>((D38/D39)*D44)</f>
        <v>205521.91684898981</v>
      </c>
      <c r="E46" s="843">
        <f>(E38/D38)*D46</f>
        <v>5353.2208674990216</v>
      </c>
      <c r="F46" s="759">
        <f>(F38/D38)*D46</f>
        <v>167129.66133611466</v>
      </c>
      <c r="G46" s="759">
        <f>(G38/D38)*D46</f>
        <v>29223.374293139172</v>
      </c>
      <c r="H46" s="759">
        <f>(H38/D38)*D46</f>
        <v>1758.4218036712457</v>
      </c>
      <c r="I46" s="759">
        <f>(I38/D38)*D46</f>
        <v>1646.22412975425</v>
      </c>
      <c r="J46" s="759">
        <f>(J38/D38)*D46</f>
        <v>411.01441881153249</v>
      </c>
    </row>
    <row r="47" spans="1:11" ht="15">
      <c r="A47" s="894" t="s">
        <v>268</v>
      </c>
      <c r="B47" s="769"/>
      <c r="C47" s="769"/>
      <c r="D47" s="759">
        <f>SUM(E47:J47)</f>
        <v>288562.13869000011</v>
      </c>
      <c r="E47" s="759">
        <f t="shared" ref="E47:J47" si="3">SUM(E45:E46)</f>
        <v>6346.5889526189312</v>
      </c>
      <c r="F47" s="759">
        <f t="shared" si="3"/>
        <v>243486.7539275561</v>
      </c>
      <c r="G47" s="759">
        <f t="shared" si="3"/>
        <v>33447.329090575644</v>
      </c>
      <c r="H47" s="759">
        <f t="shared" si="3"/>
        <v>3201.3677842840843</v>
      </c>
      <c r="I47" s="759">
        <f t="shared" si="3"/>
        <v>1669.0845161538234</v>
      </c>
      <c r="J47" s="759">
        <f t="shared" si="3"/>
        <v>411.01441881153249</v>
      </c>
    </row>
    <row r="48" spans="1:11">
      <c r="A48" s="895" t="s">
        <v>25</v>
      </c>
      <c r="D48" s="759">
        <f>K48</f>
        <v>10711.41943</v>
      </c>
      <c r="K48" s="285">
        <f>SUM('Expense Input File'!L61:L65)</f>
        <v>10711.41943</v>
      </c>
    </row>
    <row r="49" spans="1:11" ht="15">
      <c r="A49" s="896" t="s">
        <v>270</v>
      </c>
      <c r="B49" s="769"/>
      <c r="C49" s="769"/>
      <c r="D49" s="821">
        <f>SUM(E49:K49)</f>
        <v>386657.96276000008</v>
      </c>
      <c r="E49" s="821">
        <f t="shared" ref="E49:J49" si="4">E47</f>
        <v>6346.5889526189312</v>
      </c>
      <c r="F49" s="821">
        <f>F47+F41</f>
        <v>243486.7539275561</v>
      </c>
      <c r="G49" s="821">
        <f t="shared" si="4"/>
        <v>33447.329090575644</v>
      </c>
      <c r="H49" s="821">
        <f t="shared" si="4"/>
        <v>3201.3677842840843</v>
      </c>
      <c r="I49" s="821">
        <f t="shared" si="4"/>
        <v>1669.0845161538234</v>
      </c>
      <c r="J49" s="821">
        <f t="shared" si="4"/>
        <v>411.01441881153249</v>
      </c>
      <c r="K49" s="821">
        <f>K48+K41</f>
        <v>98095.824069999988</v>
      </c>
    </row>
    <row r="50" spans="1:11">
      <c r="A50" s="883" t="s">
        <v>271</v>
      </c>
    </row>
    <row r="51" spans="1:11">
      <c r="A51" s="897" t="s">
        <v>46</v>
      </c>
      <c r="D51" s="285">
        <f>SUM((HLOOKUP($A$12,'Expense Input File'!$A$27:$L$70,10,FALSE)),(HLOOKUP($A$12,'Expense Input File'!$A$27:$L$70,11,FALSE)),(HLOOKUP($A$12,'Expense Input File'!$A$27:$L$70,12,FALSE)),(HLOOKUP($A$12,'Expense Input File'!$A$27:$L$70,13,FALSE)))</f>
        <v>12907.840950000002</v>
      </c>
      <c r="E51" s="285">
        <f>(E49/D49)*D51</f>
        <v>211.86880567692006</v>
      </c>
      <c r="F51" s="285">
        <f>(F49/D49)*D51</f>
        <v>8128.3423486082038</v>
      </c>
      <c r="G51" s="285">
        <f>(G49/D49)*D51</f>
        <v>1116.5754896697592</v>
      </c>
      <c r="H51" s="285">
        <f>(H49/D49)*D51</f>
        <v>106.87157685057697</v>
      </c>
      <c r="I51" s="285">
        <f>(I49/D49)*D51</f>
        <v>55.71921321065323</v>
      </c>
      <c r="J51" s="285">
        <f>(J49/D49)*D51</f>
        <v>13.720934927361043</v>
      </c>
      <c r="K51" s="285">
        <f>(K49/D49)*D51</f>
        <v>3274.7425810565283</v>
      </c>
    </row>
    <row r="52" spans="1:11">
      <c r="A52" s="897" t="s">
        <v>47</v>
      </c>
      <c r="D52" s="285">
        <f>SUM('Expense Input File'!L42:L58)</f>
        <v>107208.73902000001</v>
      </c>
      <c r="E52" s="285">
        <f>(E49/D49)*D52</f>
        <v>1759.7201253317285</v>
      </c>
      <c r="F52" s="285">
        <f>(F49/D49)*D52</f>
        <v>67511.626219499609</v>
      </c>
      <c r="G52" s="285">
        <f>(G49/D49)*D52</f>
        <v>9273.9483490563089</v>
      </c>
      <c r="H52" s="285">
        <f>(H49/D49)*D52</f>
        <v>887.64395498918668</v>
      </c>
      <c r="I52" s="285">
        <f>(I49/D49)*D52</f>
        <v>462.78743367229498</v>
      </c>
      <c r="J52" s="285">
        <f>(J49/D49)*D52</f>
        <v>113.96205898693326</v>
      </c>
      <c r="K52" s="285">
        <f>(K49/D49)*D52</f>
        <v>27199.050878463953</v>
      </c>
    </row>
    <row r="53" spans="1:11">
      <c r="A53" s="897" t="s">
        <v>273</v>
      </c>
      <c r="D53" s="285">
        <f>HLOOKUP($A$12,'Expense Input File'!$B$14:$L$24,3,FALSE)</f>
        <v>80792.517080000005</v>
      </c>
      <c r="E53" s="285">
        <f>(E49/D49)*(D53-(HLOOKUP($A$12,'Expense Input File'!$A$14:$L$24,10,FALSE)))</f>
        <v>1281.0196285470538</v>
      </c>
      <c r="F53" s="285">
        <f>(F49/D49)*(D53-(HLOOKUP($A$12,'Expense Input File'!$A$14:$L$24,10,FALSE)))</f>
        <v>49146.291559294237</v>
      </c>
      <c r="G53" s="285">
        <f>(G49/D49)*(D53-(HLOOKUP($A$12,'Expense Input File'!$A$14:$L$24,10,FALSE)))</f>
        <v>6751.1359893284907</v>
      </c>
      <c r="H53" s="285">
        <f>(H49/D49)*(D53-(HLOOKUP($A$12,'Expense Input File'!$A$14:$L$24,10,FALSE)))</f>
        <v>646.17623742180615</v>
      </c>
      <c r="I53" s="285">
        <f>(I49/D49)*(D53-(HLOOKUP($A$12,'Expense Input File'!$A$14:$L$24,10,FALSE)))</f>
        <v>336.8943605548468</v>
      </c>
      <c r="J53" s="285">
        <f>(J49/D49)*(D53-(HLOOKUP($A$12,'Expense Input File'!$A$14:$L$24,10,FALSE)))</f>
        <v>82.960711973660153</v>
      </c>
      <c r="K53" s="285">
        <f>((K49/D49)*(D53-(HLOOKUP($A$12,'Expense Input File'!$A$14:$L$24,10,FALSE))))+(HLOOKUP($A$12,'Expense Input File'!$A$14:$L$24,10,FALSE))</f>
        <v>22548.038592879915</v>
      </c>
    </row>
    <row r="54" spans="1:11">
      <c r="A54" s="897" t="s">
        <v>292</v>
      </c>
      <c r="D54" s="285">
        <f>SUM((HLOOKUP($A$12,'Expense Input File'!$A$14:$L$24,7,FALSE)),(HLOOKUP($A$12,'Expense Input File'!$A$14:$L$24,8,FALSE)))</f>
        <v>230576.46523000003</v>
      </c>
      <c r="E54" s="285">
        <f>(E49/D49)*D54</f>
        <v>3784.6732458758711</v>
      </c>
      <c r="F54" s="285">
        <f>(F49/D49)*D54</f>
        <v>145198.91081563072</v>
      </c>
      <c r="G54" s="285">
        <f>(G49/D49)*D54</f>
        <v>19945.708237945822</v>
      </c>
      <c r="H54" s="285">
        <f>(H49/D49)*D54</f>
        <v>1909.0776311248501</v>
      </c>
      <c r="I54" s="285">
        <f>(I49/D49)*D54</f>
        <v>995.32828745531924</v>
      </c>
      <c r="J54" s="285">
        <f>(J49/D49)*D54</f>
        <v>245.10099616634616</v>
      </c>
      <c r="K54" s="285">
        <f>(K49/D49)*D54</f>
        <v>58497.666015801115</v>
      </c>
    </row>
    <row r="55" spans="1:11" ht="15">
      <c r="A55" s="898" t="s">
        <v>290</v>
      </c>
      <c r="D55" s="821">
        <f>SUM(D51:D54)</f>
        <v>431485.56228000007</v>
      </c>
      <c r="E55" s="821">
        <f t="shared" ref="E55:J55" si="5">SUM(E51:E54)</f>
        <v>7037.281805431574</v>
      </c>
      <c r="F55" s="821">
        <f t="shared" si="5"/>
        <v>269985.17094303278</v>
      </c>
      <c r="G55" s="821">
        <f t="shared" si="5"/>
        <v>37087.368066000381</v>
      </c>
      <c r="H55" s="821">
        <f t="shared" si="5"/>
        <v>3549.7694003864199</v>
      </c>
      <c r="I55" s="821">
        <f t="shared" si="5"/>
        <v>1850.7292948931142</v>
      </c>
      <c r="J55" s="821">
        <f t="shared" si="5"/>
        <v>455.74470205430066</v>
      </c>
      <c r="K55" s="821">
        <f>SUM(K51:K54)</f>
        <v>111519.4980682015</v>
      </c>
    </row>
    <row r="56" spans="1:11" ht="15">
      <c r="A56" s="887" t="s">
        <v>262</v>
      </c>
      <c r="D56" s="821">
        <f t="shared" ref="D56:K56" si="6">D55+D49</f>
        <v>818143.52504000021</v>
      </c>
      <c r="E56" s="821">
        <f t="shared" si="6"/>
        <v>13383.870758050505</v>
      </c>
      <c r="F56" s="821">
        <f t="shared" si="6"/>
        <v>513471.92487058887</v>
      </c>
      <c r="G56" s="821">
        <f t="shared" si="6"/>
        <v>70534.697156576032</v>
      </c>
      <c r="H56" s="821">
        <f t="shared" si="6"/>
        <v>6751.1371846705042</v>
      </c>
      <c r="I56" s="821">
        <f t="shared" si="6"/>
        <v>3519.8138110469376</v>
      </c>
      <c r="J56" s="821">
        <f t="shared" si="6"/>
        <v>866.75912086583321</v>
      </c>
      <c r="K56" s="821">
        <f t="shared" si="6"/>
        <v>209615.3221382015</v>
      </c>
    </row>
    <row r="57" spans="1:11">
      <c r="A57" s="776" t="s">
        <v>177</v>
      </c>
    </row>
    <row r="58" spans="1:11">
      <c r="A58" s="817" t="s">
        <v>278</v>
      </c>
      <c r="D58" s="285"/>
    </row>
    <row r="59" spans="1:11" ht="15">
      <c r="A59" s="817" t="s">
        <v>276</v>
      </c>
      <c r="D59" s="285">
        <f>(HLOOKUP($A$12,'Expense Input File'!$A$27:$L$91,48,FALSE))</f>
        <v>7696</v>
      </c>
      <c r="E59" s="285"/>
      <c r="F59" s="567">
        <v>7455.4737930080037</v>
      </c>
      <c r="G59" s="285"/>
      <c r="H59" s="285"/>
      <c r="I59" s="567">
        <f>+D59-F59</f>
        <v>240.52620699199633</v>
      </c>
      <c r="J59" s="285"/>
    </row>
    <row r="60" spans="1:11">
      <c r="A60" s="817" t="s">
        <v>277</v>
      </c>
      <c r="D60" s="285">
        <f>(HLOOKUP($A$12,'Expense Input File'!$A$27:$L$91,49,FALSE))</f>
        <v>553</v>
      </c>
      <c r="E60" s="285"/>
      <c r="G60" s="759">
        <f>D60</f>
        <v>553</v>
      </c>
    </row>
    <row r="61" spans="1:11">
      <c r="A61" s="817" t="s">
        <v>275</v>
      </c>
      <c r="D61" s="285">
        <f>(HLOOKUP($A$12,'Expense Input File'!$A$27:$L$91,52,FALSE))</f>
        <v>332</v>
      </c>
      <c r="E61" s="285"/>
      <c r="F61" s="759">
        <f>D61</f>
        <v>332</v>
      </c>
    </row>
    <row r="62" spans="1:11" ht="15">
      <c r="A62" s="817" t="s">
        <v>469</v>
      </c>
      <c r="D62" s="285">
        <f>(HLOOKUP($A$12,'Expense Input File'!$A$27:$L$91,50,FALSE))</f>
        <v>1292</v>
      </c>
      <c r="E62" s="285"/>
      <c r="F62" s="567">
        <f>$D$62*0.397156801</f>
        <v>513.12658689199998</v>
      </c>
      <c r="G62" s="567">
        <f>$D$62*0.602844218</f>
        <v>778.874729656</v>
      </c>
    </row>
    <row r="63" spans="1:11">
      <c r="A63" s="817" t="s">
        <v>274</v>
      </c>
      <c r="D63" s="285">
        <f>HLOOKUP($A$12,'Expense Input File'!$B$27:$L$91,53,FALSE)</f>
        <v>3307</v>
      </c>
      <c r="E63" s="285">
        <f>(E38/D38)*D63</f>
        <v>86.137292217972416</v>
      </c>
      <c r="F63" s="285">
        <f>(F38/D38)*D63</f>
        <v>2689.2401477776884</v>
      </c>
      <c r="G63" s="285">
        <f>(G38/D38)*D63</f>
        <v>470.22575630422972</v>
      </c>
      <c r="H63" s="285">
        <f>(H38/D38)*D63</f>
        <v>28.294310377678787</v>
      </c>
      <c r="I63" s="285">
        <f>(I38/D38)*D63</f>
        <v>26.488966629760505</v>
      </c>
      <c r="J63" s="285">
        <f>(J38/D38)*D63</f>
        <v>6.613526692671166</v>
      </c>
    </row>
    <row r="64" spans="1:11" ht="15">
      <c r="A64" s="817" t="s">
        <v>263</v>
      </c>
      <c r="B64" s="769"/>
      <c r="D64" s="285">
        <f>K64</f>
        <v>128028.07520593569</v>
      </c>
      <c r="E64" s="285"/>
      <c r="K64" s="285">
        <f>HLOOKUP($A$12,'Expense Input File'!$A$27:$L$91,46,FALSE)</f>
        <v>128028.07520593569</v>
      </c>
    </row>
    <row r="65" spans="1:11" ht="15">
      <c r="A65" s="817" t="s">
        <v>665</v>
      </c>
      <c r="B65" s="769"/>
      <c r="D65" s="285">
        <f>K65</f>
        <v>0</v>
      </c>
      <c r="E65" s="285"/>
      <c r="F65" s="285"/>
      <c r="G65" s="285"/>
      <c r="H65" s="285"/>
      <c r="I65" s="285"/>
      <c r="J65" s="285"/>
      <c r="K65" s="285">
        <f>HLOOKUP($A$12,'Expense Input File'!$H$14:$L$107,MATCH($A$65,'Expense Input File'!$B$14:$B$107,0),0)</f>
        <v>0</v>
      </c>
    </row>
    <row r="66" spans="1:11" ht="15">
      <c r="A66" s="858" t="s">
        <v>288</v>
      </c>
      <c r="D66" s="567">
        <f>SUM(D59:D65)</f>
        <v>141208.07520593569</v>
      </c>
      <c r="E66" s="567">
        <f t="shared" ref="E66:K66" si="7">SUM(E59:E65)</f>
        <v>86.137292217972416</v>
      </c>
      <c r="F66" s="567">
        <f t="shared" si="7"/>
        <v>10989.84052767769</v>
      </c>
      <c r="G66" s="567">
        <f t="shared" si="7"/>
        <v>1802.1004859602297</v>
      </c>
      <c r="H66" s="567">
        <f t="shared" si="7"/>
        <v>28.294310377678787</v>
      </c>
      <c r="I66" s="567">
        <f t="shared" si="7"/>
        <v>267.01517362175684</v>
      </c>
      <c r="J66" s="567">
        <f t="shared" si="7"/>
        <v>6.613526692671166</v>
      </c>
      <c r="K66" s="567">
        <f t="shared" si="7"/>
        <v>128028.07520593569</v>
      </c>
    </row>
    <row r="67" spans="1:11">
      <c r="A67" s="817" t="s">
        <v>279</v>
      </c>
      <c r="E67" s="285"/>
    </row>
    <row r="68" spans="1:11">
      <c r="A68" s="817" t="s">
        <v>42</v>
      </c>
      <c r="D68" s="285">
        <f>SUM(E68:K68)</f>
        <v>170.48782</v>
      </c>
      <c r="E68" s="285">
        <f>(HLOOKUP($A$12,'Expense Input File'!$B$71:$L$93,22,FALSE))*E15</f>
        <v>2.5062873114947659</v>
      </c>
      <c r="F68" s="285">
        <f>(HLOOKUP($A$12,'Expense Input File'!$B$71:$L$93,22,FALSE))*F15</f>
        <v>141.51584746244947</v>
      </c>
      <c r="G68" s="285">
        <f>(HLOOKUP($A$12,'Expense Input File'!$B$71:$L$93,22,FALSE))*G15</f>
        <v>12.801346569913395</v>
      </c>
      <c r="H68" s="285">
        <f>(HLOOKUP($A$12,'Expense Input File'!$B$71:$L$93,22,FALSE))*H15</f>
        <v>1.3686726307129204</v>
      </c>
      <c r="I68" s="285">
        <f>(HLOOKUP($A$12,'Expense Input File'!$B$71:$L$93,22,FALSE))*I15</f>
        <v>0.25479938203193409</v>
      </c>
      <c r="J68" s="285">
        <f>(HLOOKUP($A$12,'Expense Input File'!$B$71:$L$93,22,FALSE))*J15</f>
        <v>0.10862486483622263</v>
      </c>
      <c r="K68" s="285">
        <f>((HLOOKUP($A$12,'Expense Input File'!$B$71:$L$93,22,FALSE))*K15)+(HLOOKUP($A$12,'Expense Input File'!$B$71:$L$93,23,FALSE))</f>
        <v>11.932241778561279</v>
      </c>
    </row>
    <row r="69" spans="1:11">
      <c r="A69" s="817" t="s">
        <v>43</v>
      </c>
      <c r="D69" s="285">
        <f>HLOOKUP($A$12,'Expense Input File'!$A$27:$L$91,57,FALSE)</f>
        <v>3664.4019900000003</v>
      </c>
      <c r="E69" s="285"/>
      <c r="F69" s="759">
        <f>D69</f>
        <v>3664.4019900000003</v>
      </c>
      <c r="G69" s="759"/>
      <c r="H69" s="759"/>
      <c r="I69" s="759"/>
      <c r="J69" s="759"/>
      <c r="K69" s="759"/>
    </row>
    <row r="70" spans="1:11">
      <c r="A70" s="817" t="s">
        <v>44</v>
      </c>
      <c r="D70" s="285">
        <f>HLOOKUP($A$12,'Expense Input File'!$A$27:$L$91,58,FALSE)</f>
        <v>0</v>
      </c>
      <c r="E70" s="813">
        <f>(E49/D49)*D70</f>
        <v>0</v>
      </c>
      <c r="F70" s="285">
        <f>(F49/D49)*D70</f>
        <v>0</v>
      </c>
      <c r="G70" s="285">
        <f>(G49/D49)*D70</f>
        <v>0</v>
      </c>
      <c r="H70" s="285">
        <f>(H49/D49)*D70</f>
        <v>0</v>
      </c>
      <c r="I70" s="285">
        <f>(I49/D49)*D70</f>
        <v>0</v>
      </c>
      <c r="J70" s="285">
        <f>(J49/D49)*D70</f>
        <v>0</v>
      </c>
      <c r="K70" s="285">
        <f>(K49/D49)*D70</f>
        <v>0</v>
      </c>
    </row>
    <row r="71" spans="1:11">
      <c r="A71" s="817" t="s">
        <v>45</v>
      </c>
      <c r="D71" s="285">
        <f>HLOOKUP($A$12,'Expense Input File'!$A$27:$L$91,59,FALSE)</f>
        <v>0</v>
      </c>
      <c r="E71" s="285"/>
      <c r="K71" s="759">
        <f>D71</f>
        <v>0</v>
      </c>
    </row>
    <row r="72" spans="1:11" ht="15">
      <c r="A72" s="858" t="s">
        <v>289</v>
      </c>
      <c r="D72" s="567">
        <f>SUM(D68:D71)</f>
        <v>3834.8898100000001</v>
      </c>
      <c r="E72" s="567">
        <f t="shared" ref="E72:J72" si="8">SUM(E68:E71)</f>
        <v>2.5062873114947659</v>
      </c>
      <c r="F72" s="567">
        <f t="shared" si="8"/>
        <v>3805.9178374624498</v>
      </c>
      <c r="G72" s="567">
        <f t="shared" si="8"/>
        <v>12.801346569913395</v>
      </c>
      <c r="H72" s="567">
        <f t="shared" si="8"/>
        <v>1.3686726307129204</v>
      </c>
      <c r="I72" s="567">
        <f t="shared" si="8"/>
        <v>0.25479938203193409</v>
      </c>
      <c r="J72" s="567">
        <f t="shared" si="8"/>
        <v>0.10862486483622263</v>
      </c>
      <c r="K72" s="567">
        <f>SUM(K68:K71)</f>
        <v>11.932241778561279</v>
      </c>
    </row>
    <row r="73" spans="1:11" ht="15">
      <c r="A73" s="899" t="s">
        <v>280</v>
      </c>
      <c r="B73" s="899"/>
      <c r="C73" s="899"/>
      <c r="D73" s="821">
        <f>SUM(E73:K73)</f>
        <v>145042.96633248369</v>
      </c>
      <c r="E73" s="821">
        <f>E72+E66</f>
        <v>88.643579529467175</v>
      </c>
      <c r="F73" s="821">
        <f t="shared" ref="F73:K73" si="9">F72+F66</f>
        <v>14795.75836514014</v>
      </c>
      <c r="G73" s="821">
        <f t="shared" si="9"/>
        <v>1814.9018325301431</v>
      </c>
      <c r="H73" s="821">
        <f t="shared" si="9"/>
        <v>29.662983008391709</v>
      </c>
      <c r="I73" s="821">
        <f t="shared" si="9"/>
        <v>267.26997300378878</v>
      </c>
      <c r="J73" s="821">
        <f t="shared" si="9"/>
        <v>6.7221515575073889</v>
      </c>
      <c r="K73" s="821">
        <f t="shared" si="9"/>
        <v>128040.00744771425</v>
      </c>
    </row>
    <row r="74" spans="1:11">
      <c r="A74" s="776" t="s">
        <v>661</v>
      </c>
    </row>
    <row r="75" spans="1:11" ht="15">
      <c r="A75" s="898" t="s">
        <v>662</v>
      </c>
      <c r="D75" s="567">
        <f>HLOOKUP($A$12,'Expense Input File'!$A$71:$L$94,24,FALSE)</f>
        <v>1136.4901200000002</v>
      </c>
      <c r="E75" s="821"/>
      <c r="F75" s="821">
        <f>+$D75*(F56/SUM($F56:$H56))</f>
        <v>987.80889529299213</v>
      </c>
      <c r="G75" s="821">
        <f>+$D75*(G56/SUM($F56:$H56))</f>
        <v>135.69349735260283</v>
      </c>
      <c r="H75" s="821">
        <f>+$D75*(H56/SUM($F56:$H56))</f>
        <v>12.987727354405148</v>
      </c>
      <c r="I75" s="821"/>
      <c r="J75" s="821"/>
      <c r="K75" s="821"/>
    </row>
    <row r="76" spans="1:11">
      <c r="D76" s="900"/>
    </row>
    <row r="77" spans="1:11">
      <c r="E77" s="759"/>
      <c r="F77" s="759"/>
      <c r="G77" s="759"/>
      <c r="H77" s="759"/>
      <c r="I77" s="759"/>
      <c r="J77" s="759"/>
      <c r="K77" s="759"/>
    </row>
    <row r="80" spans="1:11">
      <c r="D80" s="759"/>
    </row>
    <row r="81" spans="4:4">
      <c r="D81" s="759"/>
    </row>
  </sheetData>
  <customSheetViews>
    <customSheetView guid="{2226E858-00AE-4A92-8CF6-5B54D2FA62D4}" showPageBreaks="1" fitToPage="1" topLeftCell="A31">
      <selection activeCell="D32" sqref="D32"/>
      <pageMargins left="0.25" right="0.25" top="0.75" bottom="0.75" header="0.3" footer="0.3"/>
      <pageSetup scale="55" orientation="portrait" r:id="rId1"/>
    </customSheetView>
  </customSheetViews>
  <mergeCells count="3">
    <mergeCell ref="A1:K1"/>
    <mergeCell ref="A10:B10"/>
    <mergeCell ref="A12:C12"/>
  </mergeCells>
  <pageMargins left="0.25" right="0.25" top="0.75" bottom="0.75" header="0.3" footer="0.3"/>
  <pageSetup scale="56" orientation="portrait" r:id="rId2"/>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codeName="Sheet21">
    <tabColor rgb="FFCCFF66"/>
    <pageSetUpPr autoPageBreaks="0" fitToPage="1"/>
  </sheetPr>
  <dimension ref="A1:L77"/>
  <sheetViews>
    <sheetView topLeftCell="A52" workbookViewId="0">
      <selection activeCell="D69" sqref="D69:D71"/>
    </sheetView>
  </sheetViews>
  <sheetFormatPr defaultColWidth="9.140625" defaultRowHeight="14.25" outlineLevelRow="1"/>
  <cols>
    <col min="1" max="2" width="9.140625" style="90"/>
    <col min="3" max="3" width="29.28515625" style="90" customWidth="1"/>
    <col min="4" max="11" width="15.7109375" style="90" customWidth="1"/>
    <col min="12" max="16384" width="9.140625" style="90"/>
  </cols>
  <sheetData>
    <row r="1" spans="1:11" ht="18" outlineLevel="1">
      <c r="A1" s="996" t="s">
        <v>302</v>
      </c>
      <c r="B1" s="997"/>
      <c r="C1" s="997"/>
      <c r="D1" s="997"/>
      <c r="E1" s="997"/>
      <c r="F1" s="997"/>
      <c r="G1" s="997"/>
      <c r="H1" s="997"/>
      <c r="I1" s="997"/>
      <c r="J1" s="997"/>
      <c r="K1" s="998"/>
    </row>
    <row r="2" spans="1:11" ht="18" outlineLevel="1">
      <c r="A2" s="407"/>
      <c r="B2" s="125" t="s">
        <v>115</v>
      </c>
      <c r="C2" s="91"/>
      <c r="D2" s="3"/>
      <c r="E2" s="94"/>
      <c r="F2" s="147" t="s">
        <v>397</v>
      </c>
      <c r="G2" s="148"/>
      <c r="H2" s="138"/>
      <c r="I2" s="147" t="s">
        <v>399</v>
      </c>
      <c r="J2" s="139"/>
      <c r="K2" s="408"/>
    </row>
    <row r="3" spans="1:11" ht="18" outlineLevel="1">
      <c r="A3" s="407"/>
      <c r="B3" s="125" t="s">
        <v>73</v>
      </c>
      <c r="C3" s="735" t="s">
        <v>765</v>
      </c>
      <c r="D3" s="3"/>
      <c r="E3" s="94"/>
      <c r="F3" s="150" t="s">
        <v>398</v>
      </c>
      <c r="G3" s="151" t="s">
        <v>235</v>
      </c>
      <c r="H3" s="138"/>
      <c r="I3" s="152" t="s">
        <v>238</v>
      </c>
      <c r="J3" s="138"/>
      <c r="K3" s="408"/>
    </row>
    <row r="4" spans="1:11" ht="18" customHeight="1" outlineLevel="1">
      <c r="A4" s="407"/>
      <c r="B4" s="125" t="s">
        <v>10</v>
      </c>
      <c r="C4" s="153"/>
      <c r="D4" s="3"/>
      <c r="E4" s="94"/>
      <c r="F4" s="144"/>
      <c r="G4" s="331" t="s">
        <v>769</v>
      </c>
      <c r="H4" s="138"/>
      <c r="I4" s="155" t="s">
        <v>87</v>
      </c>
      <c r="J4" s="3"/>
      <c r="K4" s="408"/>
    </row>
    <row r="5" spans="1:11" ht="18" customHeight="1" outlineLevel="1">
      <c r="A5" s="407"/>
      <c r="B5" s="126" t="s">
        <v>9</v>
      </c>
      <c r="C5" s="153" t="e">
        <f>'Revenue Requirement'!#REF!</f>
        <v>#REF!</v>
      </c>
      <c r="D5" s="94"/>
      <c r="F5" s="144" t="str">
        <f>IF('20 Seg Dev'!F5=0," ",'20 Seg Dev'!F5)</f>
        <v xml:space="preserve"> </v>
      </c>
      <c r="G5" s="605" t="s">
        <v>770</v>
      </c>
      <c r="H5" s="138"/>
      <c r="I5" s="141" t="s">
        <v>390</v>
      </c>
      <c r="J5" s="94"/>
      <c r="K5" s="408"/>
    </row>
    <row r="6" spans="1:11" ht="15" outlineLevel="1">
      <c r="A6" s="407"/>
      <c r="B6" s="126" t="s">
        <v>386</v>
      </c>
      <c r="C6" s="93"/>
      <c r="D6" s="94"/>
      <c r="E6" s="157"/>
      <c r="F6" s="157"/>
      <c r="G6" s="158" t="s">
        <v>465</v>
      </c>
      <c r="H6" s="138"/>
      <c r="I6" s="159" t="s">
        <v>387</v>
      </c>
      <c r="J6" s="94"/>
      <c r="K6" s="408"/>
    </row>
    <row r="7" spans="1:11" ht="15" outlineLevel="1">
      <c r="A7" s="407"/>
      <c r="B7" s="126" t="s">
        <v>385</v>
      </c>
      <c r="C7" s="93"/>
      <c r="D7" s="94"/>
      <c r="E7" s="157"/>
      <c r="F7" s="616" t="s">
        <v>469</v>
      </c>
      <c r="G7" s="613" t="s">
        <v>703</v>
      </c>
      <c r="H7" s="138"/>
      <c r="I7" s="140"/>
      <c r="J7" s="94"/>
      <c r="K7" s="408"/>
    </row>
    <row r="8" spans="1:11" ht="15" outlineLevel="1">
      <c r="A8" s="407"/>
      <c r="B8" s="126" t="s">
        <v>281</v>
      </c>
      <c r="C8" s="160">
        <v>2029</v>
      </c>
      <c r="D8" s="94"/>
      <c r="E8" s="92"/>
      <c r="F8" s="92"/>
      <c r="G8" s="157"/>
      <c r="H8" s="223"/>
      <c r="I8" s="92"/>
      <c r="J8" s="92"/>
      <c r="K8" s="408"/>
    </row>
    <row r="9" spans="1:11" ht="15.75" outlineLevel="1" thickBot="1">
      <c r="A9" s="407"/>
      <c r="B9" s="126"/>
      <c r="C9" s="129"/>
      <c r="D9" s="94"/>
      <c r="E9" s="92"/>
      <c r="F9" s="92"/>
      <c r="G9" s="92"/>
      <c r="H9" s="92"/>
      <c r="I9" s="92"/>
      <c r="J9" s="92"/>
      <c r="K9" s="408"/>
    </row>
    <row r="10" spans="1:11" ht="15.75" outlineLevel="1" thickBot="1">
      <c r="A10" s="999"/>
      <c r="B10" s="983"/>
      <c r="C10" s="142"/>
      <c r="D10" s="113"/>
      <c r="E10" s="582" t="s">
        <v>700</v>
      </c>
      <c r="F10" s="113"/>
      <c r="G10" s="621" t="s">
        <v>705</v>
      </c>
      <c r="H10" s="621"/>
      <c r="I10" s="113"/>
      <c r="J10" s="113"/>
      <c r="K10" s="409"/>
    </row>
    <row r="11" spans="1:11" ht="15" outlineLevel="1" thickBot="1">
      <c r="A11" s="136"/>
      <c r="B11" s="94"/>
      <c r="C11" s="94"/>
      <c r="D11" s="94"/>
      <c r="E11" s="94"/>
      <c r="F11" s="94"/>
      <c r="G11" s="94"/>
      <c r="H11" s="94"/>
      <c r="I11" s="94"/>
      <c r="J11" s="94"/>
      <c r="K11" s="95"/>
    </row>
    <row r="12" spans="1:11" ht="29.25" customHeight="1">
      <c r="A12" s="984">
        <f>C8</f>
        <v>2029</v>
      </c>
      <c r="B12" s="985"/>
      <c r="C12" s="985"/>
      <c r="D12" s="161" t="s">
        <v>170</v>
      </c>
      <c r="E12" s="162" t="s">
        <v>171</v>
      </c>
      <c r="F12" s="162" t="s">
        <v>172</v>
      </c>
      <c r="G12" s="162" t="s">
        <v>173</v>
      </c>
      <c r="H12" s="162" t="s">
        <v>174</v>
      </c>
      <c r="I12" s="162" t="s">
        <v>175</v>
      </c>
      <c r="J12" s="162" t="s">
        <v>176</v>
      </c>
      <c r="K12" s="163" t="s">
        <v>177</v>
      </c>
    </row>
    <row r="13" spans="1:11" ht="15.75" thickBot="1">
      <c r="A13" s="165" t="s">
        <v>272</v>
      </c>
      <c r="B13" s="128"/>
      <c r="C13" s="128"/>
      <c r="D13" s="127"/>
      <c r="E13" s="127"/>
      <c r="F13" s="127"/>
      <c r="G13" s="127"/>
      <c r="H13" s="127"/>
      <c r="I13" s="127"/>
      <c r="J13" s="127"/>
      <c r="K13" s="166"/>
    </row>
    <row r="14" spans="1:11" ht="15.75" thickBot="1">
      <c r="A14" s="167" t="s">
        <v>178</v>
      </c>
      <c r="B14" s="168"/>
      <c r="C14" s="168"/>
      <c r="D14" s="169">
        <f>SUM(E14:K14)</f>
        <v>10083066.246153466</v>
      </c>
      <c r="E14" s="578">
        <v>130581.45809777947</v>
      </c>
      <c r="F14" s="579">
        <v>8410794.0289476067</v>
      </c>
      <c r="G14" s="579">
        <v>668113.25021694484</v>
      </c>
      <c r="H14" s="579">
        <v>70464.676436078254</v>
      </c>
      <c r="I14" s="579">
        <v>13322.966100715263</v>
      </c>
      <c r="J14" s="579">
        <v>5683.2741761254638</v>
      </c>
      <c r="K14" s="580">
        <v>784106.59217821585</v>
      </c>
    </row>
    <row r="15" spans="1:11">
      <c r="A15" s="171" t="s">
        <v>237</v>
      </c>
      <c r="B15" s="172"/>
      <c r="C15" s="172"/>
      <c r="D15" s="173">
        <f>SUM(E15:K15)</f>
        <v>1</v>
      </c>
      <c r="E15" s="174">
        <f>E14/D14</f>
        <v>1.2950570283875133E-2</v>
      </c>
      <c r="F15" s="174">
        <f>F14/D14</f>
        <v>0.83415042841320164</v>
      </c>
      <c r="G15" s="174">
        <f>G14/D14</f>
        <v>6.6260920429023235E-2</v>
      </c>
      <c r="H15" s="174">
        <f>H14/D14</f>
        <v>6.9884174829218677E-3</v>
      </c>
      <c r="I15" s="174">
        <f>I14/D14</f>
        <v>1.3213208934135256E-3</v>
      </c>
      <c r="J15" s="174">
        <f>J14/D14</f>
        <v>5.6364542663731336E-4</v>
      </c>
      <c r="K15" s="175">
        <f>K14/D14</f>
        <v>7.7764697070927244E-2</v>
      </c>
    </row>
    <row r="16" spans="1:11" ht="15" thickBot="1">
      <c r="A16" s="176" t="s">
        <v>81</v>
      </c>
      <c r="B16" s="172"/>
      <c r="C16" s="172"/>
      <c r="D16" s="97"/>
      <c r="E16" s="97"/>
      <c r="F16" s="97"/>
      <c r="G16" s="97"/>
      <c r="H16" s="97"/>
      <c r="I16" s="97"/>
      <c r="J16" s="97"/>
      <c r="K16" s="98"/>
    </row>
    <row r="17" spans="1:12" ht="15" thickBot="1">
      <c r="A17" s="167"/>
      <c r="B17" s="172" t="s">
        <v>499</v>
      </c>
      <c r="C17" s="172"/>
      <c r="D17" s="169" t="e">
        <f>SUM(E17:K17)</f>
        <v>#N/A</v>
      </c>
      <c r="E17" s="100"/>
      <c r="F17" s="597" t="e">
        <f>HLOOKUP($A$12,'Repayment Inputs'!$B$2:$J$24,19,FALSE)</f>
        <v>#N/A</v>
      </c>
      <c r="G17" s="224"/>
      <c r="H17" s="100"/>
      <c r="I17" s="100"/>
      <c r="J17" s="100"/>
      <c r="K17" s="99"/>
    </row>
    <row r="18" spans="1:12">
      <c r="A18" s="167"/>
      <c r="B18" s="172" t="s">
        <v>500</v>
      </c>
      <c r="C18" s="172"/>
      <c r="D18" s="169">
        <f>SUM(E18:K18)</f>
        <v>0</v>
      </c>
      <c r="E18" s="100"/>
      <c r="F18" s="101">
        <f>-(HLOOKUP($A$12,AFUDC!$I$13:$AJ$38,25,FALSE))</f>
        <v>0</v>
      </c>
      <c r="G18" s="100"/>
      <c r="H18" s="100"/>
      <c r="I18" s="100"/>
      <c r="J18" s="100"/>
      <c r="K18" s="99"/>
    </row>
    <row r="19" spans="1:12" ht="15" thickBot="1">
      <c r="A19" s="167"/>
      <c r="B19" s="172" t="s">
        <v>496</v>
      </c>
      <c r="C19" s="172"/>
      <c r="D19" s="169" t="e">
        <f>SUM(E19:K19)</f>
        <v>#N/A</v>
      </c>
      <c r="E19" s="100"/>
      <c r="F19" s="169" t="e">
        <f>SUM(F17:F18)</f>
        <v>#N/A</v>
      </c>
      <c r="G19" s="100"/>
      <c r="H19" s="100"/>
      <c r="I19" s="100"/>
      <c r="J19" s="100"/>
      <c r="K19" s="99"/>
    </row>
    <row r="20" spans="1:12"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2" ht="15.75" thickBot="1">
      <c r="A21" s="179" t="s">
        <v>180</v>
      </c>
      <c r="B21" s="168"/>
      <c r="C21" s="168"/>
      <c r="D21" s="180" t="e">
        <f t="shared" ref="D21:K21" si="0">D20+D19</f>
        <v>#N/A</v>
      </c>
      <c r="E21" s="617" t="e">
        <f t="shared" si="0"/>
        <v>#N/A</v>
      </c>
      <c r="F21" s="618" t="e">
        <f t="shared" si="0"/>
        <v>#N/A</v>
      </c>
      <c r="G21" s="618" t="e">
        <f t="shared" si="0"/>
        <v>#N/A</v>
      </c>
      <c r="H21" s="618" t="e">
        <f t="shared" si="0"/>
        <v>#N/A</v>
      </c>
      <c r="I21" s="618" t="e">
        <f t="shared" si="0"/>
        <v>#N/A</v>
      </c>
      <c r="J21" s="618" t="e">
        <f t="shared" si="0"/>
        <v>#N/A</v>
      </c>
      <c r="K21" s="625" t="e">
        <f t="shared" si="0"/>
        <v>#N/A</v>
      </c>
      <c r="L21" s="286" t="s">
        <v>708</v>
      </c>
    </row>
    <row r="22" spans="1:12" ht="15" thickBot="1">
      <c r="A22" s="176" t="s">
        <v>184</v>
      </c>
      <c r="B22" s="172"/>
      <c r="C22" s="172"/>
      <c r="D22" s="97"/>
      <c r="E22" s="97"/>
      <c r="F22" s="97"/>
      <c r="G22" s="97"/>
      <c r="H22" s="97"/>
      <c r="I22" s="97"/>
      <c r="J22" s="97"/>
      <c r="K22" s="98"/>
    </row>
    <row r="23" spans="1:12" ht="15" thickBot="1">
      <c r="A23" s="167"/>
      <c r="B23" s="172" t="s">
        <v>495</v>
      </c>
      <c r="C23" s="172"/>
      <c r="D23" s="97"/>
      <c r="E23" s="97"/>
      <c r="F23" s="597" t="e">
        <f>HLOOKUP($A$12,'Repayment Inputs'!$A$2:$J$43,38,FALSE)</f>
        <v>#N/A</v>
      </c>
      <c r="G23" s="224"/>
      <c r="H23" s="97"/>
      <c r="I23" s="97"/>
      <c r="J23" s="97"/>
      <c r="K23" s="98"/>
    </row>
    <row r="24" spans="1:12" ht="15" thickBot="1">
      <c r="A24" s="167"/>
      <c r="B24" s="172" t="s">
        <v>496</v>
      </c>
      <c r="C24" s="172"/>
      <c r="D24" s="97"/>
      <c r="E24" s="97"/>
      <c r="F24" s="182" t="e">
        <f>F19</f>
        <v>#N/A</v>
      </c>
      <c r="G24" s="107"/>
      <c r="H24" s="97"/>
      <c r="I24" s="97"/>
      <c r="J24" s="97"/>
      <c r="K24" s="98"/>
    </row>
    <row r="25" spans="1:12" ht="15" thickBot="1">
      <c r="A25" s="167"/>
      <c r="B25" s="172" t="s">
        <v>497</v>
      </c>
      <c r="C25" s="172"/>
      <c r="D25" s="97"/>
      <c r="E25" s="97"/>
      <c r="F25" s="581">
        <v>11286.889087545353</v>
      </c>
      <c r="G25" s="225"/>
      <c r="H25" s="97"/>
      <c r="I25" s="97"/>
      <c r="J25" s="97"/>
      <c r="K25" s="98"/>
    </row>
    <row r="26" spans="1:12" ht="15" thickBot="1">
      <c r="A26" s="167"/>
      <c r="B26" s="172" t="s">
        <v>498</v>
      </c>
      <c r="C26" s="172"/>
      <c r="D26" s="182" t="e">
        <f>F26</f>
        <v>#N/A</v>
      </c>
      <c r="E26" s="97"/>
      <c r="F26" s="182" t="e">
        <f>F23-F24-F25</f>
        <v>#N/A</v>
      </c>
      <c r="G26" s="107"/>
      <c r="H26" s="97"/>
      <c r="I26" s="97"/>
      <c r="J26" s="97"/>
      <c r="K26" s="98"/>
    </row>
    <row r="27" spans="1:12" ht="15" thickBot="1">
      <c r="A27" s="185" t="s">
        <v>481</v>
      </c>
      <c r="B27" s="172"/>
      <c r="C27" s="172"/>
      <c r="D27" s="596"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2" ht="15.75" thickBot="1">
      <c r="A28" s="179" t="s">
        <v>185</v>
      </c>
      <c r="B28" s="172"/>
      <c r="C28" s="172"/>
      <c r="D28" s="180" t="e">
        <f>D27+D26</f>
        <v>#N/A</v>
      </c>
      <c r="E28" s="617" t="e">
        <f t="shared" ref="E28:K28" si="1">E27+E26</f>
        <v>#N/A</v>
      </c>
      <c r="F28" s="618" t="e">
        <f t="shared" si="1"/>
        <v>#N/A</v>
      </c>
      <c r="G28" s="618" t="e">
        <f t="shared" si="1"/>
        <v>#N/A</v>
      </c>
      <c r="H28" s="618" t="e">
        <f t="shared" si="1"/>
        <v>#N/A</v>
      </c>
      <c r="I28" s="618" t="e">
        <f t="shared" si="1"/>
        <v>#N/A</v>
      </c>
      <c r="J28" s="618" t="e">
        <f t="shared" si="1"/>
        <v>#N/A</v>
      </c>
      <c r="K28" s="625" t="e">
        <f t="shared" si="1"/>
        <v>#N/A</v>
      </c>
      <c r="L28" s="286" t="s">
        <v>708</v>
      </c>
    </row>
    <row r="29" spans="1:12" ht="15.75" thickBot="1">
      <c r="A29" s="176" t="s">
        <v>189</v>
      </c>
      <c r="B29" s="172"/>
      <c r="C29" s="172"/>
      <c r="D29" s="122"/>
      <c r="E29" s="122"/>
      <c r="F29" s="122"/>
      <c r="G29" s="122"/>
      <c r="H29" s="122"/>
      <c r="I29" s="122"/>
      <c r="J29" s="122"/>
      <c r="K29" s="121"/>
    </row>
    <row r="30" spans="1:12" ht="15" thickBot="1">
      <c r="A30" s="186" t="s">
        <v>550</v>
      </c>
      <c r="B30" s="172"/>
      <c r="C30" s="172"/>
      <c r="D30" s="169">
        <f>SUM(E30:K30)</f>
        <v>343734.34580203763</v>
      </c>
      <c r="E30" s="583">
        <v>4807</v>
      </c>
      <c r="F30" s="584">
        <v>284147.04538600001</v>
      </c>
      <c r="G30" s="584">
        <v>27895</v>
      </c>
      <c r="H30" s="584">
        <v>3349</v>
      </c>
      <c r="I30" s="584">
        <v>448</v>
      </c>
      <c r="J30" s="584">
        <v>188</v>
      </c>
      <c r="K30" s="585">
        <v>22900.300416037593</v>
      </c>
    </row>
    <row r="31" spans="1:12" ht="15" thickBot="1">
      <c r="A31" s="186" t="s">
        <v>186</v>
      </c>
      <c r="B31" s="172"/>
      <c r="C31" s="172"/>
      <c r="D31" s="188" t="e">
        <f>SUM(E31:K31)</f>
        <v>#REF!</v>
      </c>
      <c r="E31" s="189" t="e">
        <f>E49/D49</f>
        <v>#REF!</v>
      </c>
      <c r="F31" s="189" t="e">
        <f>F49/D49</f>
        <v>#REF!</v>
      </c>
      <c r="G31" s="189" t="e">
        <f>G49/D49</f>
        <v>#REF!</v>
      </c>
      <c r="H31" s="189" t="e">
        <f>H49/D49</f>
        <v>#REF!</v>
      </c>
      <c r="I31" s="189" t="e">
        <f>I49/D49</f>
        <v>#REF!</v>
      </c>
      <c r="J31" s="189" t="e">
        <f>J49/D49</f>
        <v>#REF!</v>
      </c>
      <c r="K31" s="190" t="e">
        <f>K49/D49</f>
        <v>#REF!</v>
      </c>
    </row>
    <row r="32" spans="1:12" ht="15" thickBot="1">
      <c r="A32" s="186" t="s">
        <v>187</v>
      </c>
      <c r="B32" s="172"/>
      <c r="C32" s="172"/>
      <c r="D32" s="586">
        <v>106921.13747488779</v>
      </c>
      <c r="E32" s="169" t="e">
        <f>D32*E31</f>
        <v>#REF!</v>
      </c>
      <c r="F32" s="169" t="e">
        <f>D32*F31</f>
        <v>#REF!</v>
      </c>
      <c r="G32" s="169" t="e">
        <f>D32*G31</f>
        <v>#REF!</v>
      </c>
      <c r="H32" s="169" t="e">
        <f>D32*H31</f>
        <v>#REF!</v>
      </c>
      <c r="I32" s="169" t="e">
        <f>D32*I31</f>
        <v>#REF!</v>
      </c>
      <c r="J32" s="169" t="e">
        <f>D32*J31</f>
        <v>#REF!</v>
      </c>
      <c r="K32" s="178" t="e">
        <f>D32*K31</f>
        <v>#REF!</v>
      </c>
    </row>
    <row r="33" spans="1:12" ht="15.75" thickBot="1">
      <c r="A33" s="179" t="s">
        <v>188</v>
      </c>
      <c r="B33" s="172"/>
      <c r="C33" s="172"/>
      <c r="D33" s="180" t="e">
        <f>SUM(E33:K33)</f>
        <v>#REF!</v>
      </c>
      <c r="E33" s="617" t="e">
        <f t="shared" ref="E33:K33" si="2">E32+E30</f>
        <v>#REF!</v>
      </c>
      <c r="F33" s="618" t="e">
        <f>F32+F30</f>
        <v>#REF!</v>
      </c>
      <c r="G33" s="618" t="e">
        <f>G32+G30</f>
        <v>#REF!</v>
      </c>
      <c r="H33" s="618" t="e">
        <f t="shared" si="2"/>
        <v>#REF!</v>
      </c>
      <c r="I33" s="618" t="e">
        <f t="shared" si="2"/>
        <v>#REF!</v>
      </c>
      <c r="J33" s="618" t="e">
        <f t="shared" si="2"/>
        <v>#REF!</v>
      </c>
      <c r="K33" s="625" t="e">
        <f t="shared" si="2"/>
        <v>#REF!</v>
      </c>
      <c r="L33" s="286" t="s">
        <v>708</v>
      </c>
    </row>
    <row r="34" spans="1:12" ht="9" customHeight="1">
      <c r="A34" s="167"/>
      <c r="B34" s="172"/>
      <c r="C34" s="172"/>
      <c r="D34" s="97"/>
      <c r="E34" s="97"/>
      <c r="F34" s="97"/>
      <c r="G34" s="97"/>
      <c r="H34" s="97"/>
      <c r="I34" s="97"/>
      <c r="J34" s="97"/>
      <c r="K34" s="98"/>
    </row>
    <row r="35" spans="1:12" ht="15">
      <c r="A35" s="165" t="s">
        <v>236</v>
      </c>
      <c r="B35" s="172"/>
      <c r="C35" s="172"/>
      <c r="D35" s="97"/>
      <c r="E35" s="97"/>
      <c r="F35" s="97"/>
      <c r="G35" s="97"/>
      <c r="H35" s="97"/>
      <c r="I35" s="97"/>
      <c r="J35" s="97"/>
      <c r="K35" s="98"/>
    </row>
    <row r="36" spans="1:12" ht="15" thickBot="1">
      <c r="A36" s="191" t="s">
        <v>520</v>
      </c>
      <c r="B36" s="172"/>
      <c r="C36" s="172"/>
      <c r="D36" s="97"/>
      <c r="E36" s="97"/>
      <c r="F36" s="97"/>
      <c r="G36" s="97"/>
      <c r="H36" s="97"/>
      <c r="I36" s="97"/>
      <c r="J36" s="97"/>
      <c r="K36" s="98"/>
    </row>
    <row r="37" spans="1:12">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2"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2" ht="15">
      <c r="A39" s="195" t="s">
        <v>301</v>
      </c>
      <c r="B39" s="168"/>
      <c r="C39" s="168"/>
      <c r="D39" s="193">
        <f>SUM(D37:D38)</f>
        <v>192019.62406142859</v>
      </c>
      <c r="E39" s="97"/>
      <c r="F39" s="97"/>
      <c r="G39" s="97"/>
      <c r="H39" s="97"/>
      <c r="I39" s="97"/>
      <c r="J39" s="97"/>
      <c r="K39" s="98"/>
    </row>
    <row r="40" spans="1:12" ht="15" thickBot="1">
      <c r="A40" s="196" t="s">
        <v>239</v>
      </c>
      <c r="B40" s="172"/>
      <c r="C40" s="172"/>
      <c r="D40" s="97"/>
      <c r="E40" s="97"/>
      <c r="F40" s="97"/>
      <c r="G40" s="97"/>
      <c r="H40" s="97"/>
      <c r="I40" s="97"/>
      <c r="J40" s="97"/>
      <c r="K40" s="98"/>
    </row>
    <row r="41" spans="1:12" ht="15" thickBot="1">
      <c r="A41" s="185" t="s">
        <v>240</v>
      </c>
      <c r="B41" s="172"/>
      <c r="C41" s="172"/>
      <c r="D41" s="606" t="e">
        <f>'Expense Input File'!#REF!+'Expense Input File'!#REF!+'Expense Input File'!#REF!+'Expense Input File'!#REF!</f>
        <v>#REF!</v>
      </c>
      <c r="E41" s="97"/>
      <c r="F41" s="606" t="e">
        <f>(HLOOKUP($A$12,'Expense Input File'!$A$27:$L$70,33,FALSE))</f>
        <v>#N/A</v>
      </c>
      <c r="G41" s="97"/>
      <c r="H41" s="97"/>
      <c r="I41" s="97"/>
      <c r="J41" s="97"/>
      <c r="K41" s="606" t="e">
        <f>SUM('Expense Input File'!#REF!,'Expense Input File'!#REF!)</f>
        <v>#REF!</v>
      </c>
    </row>
    <row r="42" spans="1:12" ht="15" thickBot="1">
      <c r="A42" s="185" t="s">
        <v>241</v>
      </c>
      <c r="B42" s="172"/>
      <c r="C42" s="172"/>
      <c r="D42" s="606" t="e">
        <f>HLOOKUP($A$12,'Expense Input File'!$B$14:$L$24,4,FALSE)</f>
        <v>#N/A</v>
      </c>
      <c r="E42" s="97"/>
      <c r="F42" s="97"/>
      <c r="G42" s="97"/>
      <c r="H42" s="97"/>
      <c r="I42" s="97"/>
      <c r="J42" s="97"/>
      <c r="K42" s="98"/>
    </row>
    <row r="43" spans="1:12" ht="5.25" customHeight="1">
      <c r="A43" s="185"/>
      <c r="B43" s="172"/>
      <c r="C43" s="172"/>
      <c r="D43" s="100"/>
      <c r="E43" s="97"/>
      <c r="F43" s="97"/>
      <c r="G43" s="97"/>
      <c r="H43" s="97"/>
      <c r="I43" s="97"/>
      <c r="J43" s="97"/>
      <c r="K43" s="98"/>
    </row>
    <row r="44" spans="1:12">
      <c r="A44" s="199" t="s">
        <v>266</v>
      </c>
      <c r="B44" s="172"/>
      <c r="C44" s="172"/>
      <c r="D44" s="182" t="e">
        <f>SUM(D41:D42)</f>
        <v>#REF!</v>
      </c>
      <c r="E44" s="97"/>
      <c r="F44" s="97"/>
      <c r="G44" s="97"/>
      <c r="H44" s="97"/>
      <c r="I44" s="97"/>
      <c r="J44" s="97"/>
      <c r="K44" s="98"/>
    </row>
    <row r="45" spans="1:12">
      <c r="A45" s="200" t="s">
        <v>267</v>
      </c>
      <c r="B45" s="172"/>
      <c r="C45" s="172"/>
      <c r="D45" s="182" t="e">
        <f>D44-D46</f>
        <v>#REF!</v>
      </c>
      <c r="E45" s="226" t="e">
        <f>(E37/D37)*D45</f>
        <v>#REF!</v>
      </c>
      <c r="F45" s="182" t="e">
        <f>(F37/D37)*D45</f>
        <v>#REF!</v>
      </c>
      <c r="G45" s="182" t="e">
        <f>(G37/D37)*D45</f>
        <v>#REF!</v>
      </c>
      <c r="H45" s="182" t="e">
        <f>(H37/D37)*D45</f>
        <v>#REF!</v>
      </c>
      <c r="I45" s="182" t="e">
        <f>(I37/D37)*D45</f>
        <v>#REF!</v>
      </c>
      <c r="J45" s="182" t="e">
        <f>(J37/D37)*D45</f>
        <v>#REF!</v>
      </c>
      <c r="K45" s="98"/>
    </row>
    <row r="46" spans="1:12">
      <c r="A46" s="200" t="s">
        <v>269</v>
      </c>
      <c r="B46" s="172"/>
      <c r="C46" s="172"/>
      <c r="D46" s="169" t="e">
        <f>((D38/D39)*D44)</f>
        <v>#REF!</v>
      </c>
      <c r="E46" s="226" t="e">
        <f>(E38/D38)*D46</f>
        <v>#REF!</v>
      </c>
      <c r="F46" s="182" t="e">
        <f>(F38/D38)*D46</f>
        <v>#REF!</v>
      </c>
      <c r="G46" s="182" t="e">
        <f>(G38/D38)*D46</f>
        <v>#REF!</v>
      </c>
      <c r="H46" s="182" t="e">
        <f>(H38/D38)*D46</f>
        <v>#REF!</v>
      </c>
      <c r="I46" s="182" t="e">
        <f>(I38/D38)*D46</f>
        <v>#REF!</v>
      </c>
      <c r="J46" s="182" t="e">
        <f>(J38/D38)*D46</f>
        <v>#REF!</v>
      </c>
      <c r="K46" s="98"/>
    </row>
    <row r="47" spans="1:12" ht="15.75" thickBot="1">
      <c r="A47" s="202" t="s">
        <v>268</v>
      </c>
      <c r="B47" s="168"/>
      <c r="C47" s="168"/>
      <c r="D47" s="182" t="e">
        <f>SUM(E47:J47)</f>
        <v>#REF!</v>
      </c>
      <c r="E47" s="182" t="e">
        <f t="shared" ref="E47:J47" si="3">SUM(E45:E46)</f>
        <v>#REF!</v>
      </c>
      <c r="F47" s="182" t="e">
        <f t="shared" si="3"/>
        <v>#REF!</v>
      </c>
      <c r="G47" s="182" t="e">
        <f t="shared" si="3"/>
        <v>#REF!</v>
      </c>
      <c r="H47" s="182" t="e">
        <f t="shared" si="3"/>
        <v>#REF!</v>
      </c>
      <c r="I47" s="182" t="e">
        <f t="shared" si="3"/>
        <v>#REF!</v>
      </c>
      <c r="J47" s="182" t="e">
        <f t="shared" si="3"/>
        <v>#REF!</v>
      </c>
      <c r="K47" s="98"/>
    </row>
    <row r="48" spans="1:12" ht="15" thickBot="1">
      <c r="A48" s="203" t="s">
        <v>25</v>
      </c>
      <c r="B48" s="172"/>
      <c r="C48" s="172"/>
      <c r="D48" s="204" t="e">
        <f>K48</f>
        <v>#REF!</v>
      </c>
      <c r="E48" s="119"/>
      <c r="F48" s="119"/>
      <c r="G48" s="119"/>
      <c r="H48" s="119"/>
      <c r="I48" s="119"/>
      <c r="J48" s="119"/>
      <c r="K48" s="607" t="e">
        <f>SUM('Expense Input File'!#REF!)</f>
        <v>#REF!</v>
      </c>
    </row>
    <row r="49" spans="1:12" ht="15.75" thickBot="1">
      <c r="A49" s="206" t="s">
        <v>270</v>
      </c>
      <c r="B49" s="168"/>
      <c r="C49" s="168"/>
      <c r="D49" s="180" t="e">
        <f>SUM(E49:K49)</f>
        <v>#REF!</v>
      </c>
      <c r="E49" s="180" t="e">
        <f t="shared" ref="E49:J49" si="4">E47</f>
        <v>#REF!</v>
      </c>
      <c r="F49" s="180" t="e">
        <f>F47+F41</f>
        <v>#REF!</v>
      </c>
      <c r="G49" s="180" t="e">
        <f t="shared" si="4"/>
        <v>#REF!</v>
      </c>
      <c r="H49" s="180" t="e">
        <f t="shared" si="4"/>
        <v>#REF!</v>
      </c>
      <c r="I49" s="180" t="e">
        <f t="shared" si="4"/>
        <v>#REF!</v>
      </c>
      <c r="J49" s="180" t="e">
        <f t="shared" si="4"/>
        <v>#REF!</v>
      </c>
      <c r="K49" s="625" t="e">
        <f>K48+K41</f>
        <v>#REF!</v>
      </c>
      <c r="L49" s="286" t="s">
        <v>707</v>
      </c>
    </row>
    <row r="50" spans="1:12" ht="15" thickBot="1">
      <c r="A50" s="196" t="s">
        <v>271</v>
      </c>
      <c r="B50" s="172"/>
      <c r="C50" s="172"/>
      <c r="D50" s="97"/>
      <c r="E50" s="97"/>
      <c r="F50" s="97"/>
      <c r="G50" s="97"/>
      <c r="H50" s="97"/>
      <c r="I50" s="97"/>
      <c r="J50" s="97"/>
      <c r="K50" s="98"/>
    </row>
    <row r="51" spans="1:12" ht="15" thickBot="1">
      <c r="A51" s="207" t="s">
        <v>46</v>
      </c>
      <c r="B51" s="172"/>
      <c r="C51" s="172"/>
      <c r="D51" s="607" t="e">
        <f>SUM((HLOOKUP($A$12,'Expense Input File'!$A$27:$L$70,10,FALSE)),(HLOOKUP($A$12,'Expense Input File'!$A$27:$L$70,11,FALSE)),(HLOOKUP($A$12,'Expense Input File'!$A$27:$L$70,12,FALSE)),(HLOOKUP($A$12,'Expense Input File'!$A$27:$L$70,13,FALSE)))</f>
        <v>#N/A</v>
      </c>
      <c r="E51" s="169" t="e">
        <f>(E49/D49)*D51</f>
        <v>#REF!</v>
      </c>
      <c r="F51" s="169" t="e">
        <f>(F49/D49)*D51</f>
        <v>#REF!</v>
      </c>
      <c r="G51" s="169" t="e">
        <f>(G49/D49)*D51</f>
        <v>#REF!</v>
      </c>
      <c r="H51" s="169" t="e">
        <f>(H49/D49)*D51</f>
        <v>#REF!</v>
      </c>
      <c r="I51" s="169" t="e">
        <f>(I49/D49)*D51</f>
        <v>#REF!</v>
      </c>
      <c r="J51" s="169" t="e">
        <f>(J49/D49)*D51</f>
        <v>#REF!</v>
      </c>
      <c r="K51" s="623" t="e">
        <f>(K49/D49)*D51</f>
        <v>#REF!</v>
      </c>
      <c r="L51" s="286" t="s">
        <v>707</v>
      </c>
    </row>
    <row r="52" spans="1:12" ht="15" thickBot="1">
      <c r="A52" s="207" t="s">
        <v>47</v>
      </c>
      <c r="B52" s="172"/>
      <c r="C52" s="172"/>
      <c r="D52" s="608" t="e">
        <f>SUM('Expense Input File'!#REF!)</f>
        <v>#REF!</v>
      </c>
      <c r="E52" s="169" t="e">
        <f>(E49/D49)*D52</f>
        <v>#REF!</v>
      </c>
      <c r="F52" s="169" t="e">
        <f>(F49/D49)*D52</f>
        <v>#REF!</v>
      </c>
      <c r="G52" s="169" t="e">
        <f>(G49/D49)*D52</f>
        <v>#REF!</v>
      </c>
      <c r="H52" s="169" t="e">
        <f>(H49/D49)*D52</f>
        <v>#REF!</v>
      </c>
      <c r="I52" s="169" t="e">
        <f>(I49/D49)*D52</f>
        <v>#REF!</v>
      </c>
      <c r="J52" s="169" t="e">
        <f>(J49/D49)*D52</f>
        <v>#REF!</v>
      </c>
      <c r="K52" s="626" t="e">
        <f>(K49/D49)*D52</f>
        <v>#REF!</v>
      </c>
      <c r="L52" s="286" t="s">
        <v>707</v>
      </c>
    </row>
    <row r="53" spans="1:12" ht="15" thickBot="1">
      <c r="A53" s="207" t="s">
        <v>273</v>
      </c>
      <c r="B53" s="172"/>
      <c r="C53" s="172"/>
      <c r="D53" s="608" t="e">
        <f>HLOOKUP($A$12,'Expense Input File'!$B$14:$L$24,3,FALSE)</f>
        <v>#N/A</v>
      </c>
      <c r="E53" s="611" t="e">
        <f>(E49/D49)*(D53-(HLOOKUP($A$12,'Expense Input File'!$A$14:$L$24,10,FALSE)))</f>
        <v>#REF!</v>
      </c>
      <c r="F53" s="591" t="e">
        <f>(F49/D49)*(D53-(HLOOKUP($A$12,'Expense Input File'!$A$14:$L$24,10,FALSE)))</f>
        <v>#REF!</v>
      </c>
      <c r="G53" s="611" t="e">
        <f>(G49/D49)*(D53-(HLOOKUP($A$12,'Expense Input File'!$A$14:$L$24,10,FALSE)))</f>
        <v>#REF!</v>
      </c>
      <c r="H53" s="611" t="e">
        <f>(H49/D49)*(D53-(HLOOKUP($A$12,'Expense Input File'!$A$14:$L$24,10,FALSE)))</f>
        <v>#REF!</v>
      </c>
      <c r="I53" s="611" t="e">
        <f>(I49/D49)*(D53-(HLOOKUP($A$12,'Expense Input File'!$A$14:$L$24,10,FALSE)))</f>
        <v>#REF!</v>
      </c>
      <c r="J53" s="591" t="e">
        <f>(J49/D49)*(D53-(HLOOKUP($A$12,'Expense Input File'!$A$14:$L$24,10,FALSE)))</f>
        <v>#REF!</v>
      </c>
      <c r="K53" s="628" t="e">
        <f>((K49/D49)*(D53-(HLOOKUP($A$12,'Expense Input File'!$A$14:$L$24,10,FALSE))))+(HLOOKUP($A$12,'Expense Input File'!$A$14:$L$24,10,FALSE))</f>
        <v>#REF!</v>
      </c>
      <c r="L53" s="286" t="s">
        <v>707</v>
      </c>
    </row>
    <row r="54" spans="1:12" ht="15" thickBot="1">
      <c r="A54" s="207" t="s">
        <v>292</v>
      </c>
      <c r="B54" s="172"/>
      <c r="C54" s="172"/>
      <c r="D54" s="609" t="e">
        <f>SUM((HLOOKUP($A$12,'Expense Input File'!$A$14:$L$24,7,FALSE)),(HLOOKUP($A$12,'Expense Input File'!$A$14:$L$24,8,FALSE)))</f>
        <v>#N/A</v>
      </c>
      <c r="E54" s="209" t="e">
        <f>(E49/D49)*D54</f>
        <v>#REF!</v>
      </c>
      <c r="F54" s="209" t="e">
        <f>(F49/D49)*D54</f>
        <v>#REF!</v>
      </c>
      <c r="G54" s="209" t="e">
        <f>(G49/D49)*D54</f>
        <v>#REF!</v>
      </c>
      <c r="H54" s="209" t="e">
        <f>(H49/D49)*D54</f>
        <v>#REF!</v>
      </c>
      <c r="I54" s="209" t="e">
        <f>(I49/D49)*D54</f>
        <v>#REF!</v>
      </c>
      <c r="J54" s="209" t="e">
        <f>(J49/D49)*D54</f>
        <v>#REF!</v>
      </c>
      <c r="K54" s="627" t="e">
        <f>(K49/D49)*D54</f>
        <v>#REF!</v>
      </c>
      <c r="L54" s="286" t="s">
        <v>707</v>
      </c>
    </row>
    <row r="55" spans="1:12" ht="15.75" thickBot="1">
      <c r="A55" s="211" t="s">
        <v>290</v>
      </c>
      <c r="B55" s="172"/>
      <c r="C55" s="172"/>
      <c r="D55" s="180" t="e">
        <f>SUM(D51:D54)</f>
        <v>#N/A</v>
      </c>
      <c r="E55" s="180" t="e">
        <f t="shared" ref="E55:J55" si="5">SUM(E51:E54)</f>
        <v>#REF!</v>
      </c>
      <c r="F55" s="180" t="e">
        <f t="shared" si="5"/>
        <v>#REF!</v>
      </c>
      <c r="G55" s="180" t="e">
        <f t="shared" si="5"/>
        <v>#REF!</v>
      </c>
      <c r="H55" s="180" t="e">
        <f t="shared" si="5"/>
        <v>#REF!</v>
      </c>
      <c r="I55" s="180" t="e">
        <f t="shared" si="5"/>
        <v>#REF!</v>
      </c>
      <c r="J55" s="180" t="e">
        <f t="shared" si="5"/>
        <v>#REF!</v>
      </c>
      <c r="K55" s="625" t="e">
        <f>SUM(K51:K54)</f>
        <v>#REF!</v>
      </c>
      <c r="L55" s="286" t="s">
        <v>707</v>
      </c>
    </row>
    <row r="56" spans="1:12" ht="15.75" thickBot="1">
      <c r="A56" s="165" t="s">
        <v>262</v>
      </c>
      <c r="B56" s="172"/>
      <c r="C56" s="172"/>
      <c r="D56" s="180" t="e">
        <f t="shared" ref="D56:K56" si="6">D55+D49</f>
        <v>#N/A</v>
      </c>
      <c r="E56" s="617" t="e">
        <f t="shared" si="6"/>
        <v>#REF!</v>
      </c>
      <c r="F56" s="618" t="e">
        <f t="shared" si="6"/>
        <v>#REF!</v>
      </c>
      <c r="G56" s="618" t="e">
        <f t="shared" si="6"/>
        <v>#REF!</v>
      </c>
      <c r="H56" s="618" t="e">
        <f t="shared" si="6"/>
        <v>#REF!</v>
      </c>
      <c r="I56" s="618" t="e">
        <f t="shared" si="6"/>
        <v>#REF!</v>
      </c>
      <c r="J56" s="618" t="e">
        <f t="shared" si="6"/>
        <v>#REF!</v>
      </c>
      <c r="K56" s="619" t="e">
        <f t="shared" si="6"/>
        <v>#REF!</v>
      </c>
      <c r="L56" s="286" t="s">
        <v>704</v>
      </c>
    </row>
    <row r="57" spans="1:12">
      <c r="A57" s="212" t="s">
        <v>177</v>
      </c>
      <c r="B57" s="172"/>
      <c r="C57" s="172"/>
      <c r="D57" s="97"/>
      <c r="E57" s="97"/>
      <c r="F57" s="97"/>
      <c r="G57" s="97"/>
      <c r="H57" s="97"/>
      <c r="I57" s="97"/>
      <c r="J57" s="97"/>
      <c r="K57" s="98"/>
    </row>
    <row r="58" spans="1:12" ht="15" thickBot="1">
      <c r="A58" s="185" t="s">
        <v>278</v>
      </c>
      <c r="B58" s="172"/>
      <c r="C58" s="172"/>
      <c r="D58" s="100"/>
      <c r="E58" s="97"/>
      <c r="F58" s="97"/>
      <c r="G58" s="97"/>
      <c r="H58" s="97"/>
      <c r="I58" s="97"/>
      <c r="J58" s="97"/>
      <c r="K58" s="98"/>
    </row>
    <row r="59" spans="1:12" ht="15">
      <c r="A59" s="185" t="s">
        <v>276</v>
      </c>
      <c r="B59" s="172"/>
      <c r="C59" s="172"/>
      <c r="D59" s="607" t="e">
        <f>(HLOOKUP($A$12,'Expense Input File'!$A$27:$L$91,48,FALSE))</f>
        <v>#N/A</v>
      </c>
      <c r="E59" s="100"/>
      <c r="F59" s="213">
        <v>4802.8387096774186</v>
      </c>
      <c r="G59" s="100"/>
      <c r="H59" s="100"/>
      <c r="I59" s="213">
        <v>2893.1612903225805</v>
      </c>
      <c r="J59" s="100"/>
      <c r="K59" s="98"/>
    </row>
    <row r="60" spans="1:12">
      <c r="A60" s="185" t="s">
        <v>277</v>
      </c>
      <c r="B60" s="172"/>
      <c r="C60" s="172"/>
      <c r="D60" s="608" t="e">
        <f>(HLOOKUP($A$12,'Expense Input File'!$A$27:$L$91,49,FALSE))</f>
        <v>#N/A</v>
      </c>
      <c r="E60" s="100"/>
      <c r="F60" s="97"/>
      <c r="G60" s="182" t="e">
        <f>D60</f>
        <v>#N/A</v>
      </c>
      <c r="H60" s="97"/>
      <c r="I60" s="97"/>
      <c r="J60" s="97"/>
      <c r="K60" s="98"/>
    </row>
    <row r="61" spans="1:12" ht="15" thickBot="1">
      <c r="A61" s="185" t="s">
        <v>275</v>
      </c>
      <c r="B61" s="172"/>
      <c r="C61" s="172"/>
      <c r="D61" s="608" t="e">
        <f>(HLOOKUP($A$12,'Expense Input File'!$A$27:$L$91,52,FALSE))</f>
        <v>#N/A</v>
      </c>
      <c r="E61" s="100"/>
      <c r="F61" s="182" t="e">
        <f>D61</f>
        <v>#N/A</v>
      </c>
      <c r="G61" s="97"/>
      <c r="H61" s="97"/>
      <c r="I61" s="97"/>
      <c r="J61" s="97"/>
      <c r="K61" s="98"/>
    </row>
    <row r="62" spans="1:12" ht="15.75" thickBot="1">
      <c r="A62" s="185" t="s">
        <v>469</v>
      </c>
      <c r="B62" s="172"/>
      <c r="C62" s="172"/>
      <c r="D62" s="608" t="e">
        <f>(HLOOKUP($A$12,'Expense Input File'!$A$27:$L$91,50,FALSE))</f>
        <v>#N/A</v>
      </c>
      <c r="E62" s="100"/>
      <c r="F62" s="614" t="e">
        <f>$D$62*0.397156801</f>
        <v>#N/A</v>
      </c>
      <c r="G62" s="614" t="e">
        <f>$D$62*0.602844218</f>
        <v>#N/A</v>
      </c>
      <c r="H62" s="97"/>
      <c r="I62" s="97"/>
      <c r="J62" s="97"/>
      <c r="K62" s="98"/>
    </row>
    <row r="63" spans="1:12" ht="15" thickBot="1">
      <c r="A63" s="185" t="s">
        <v>274</v>
      </c>
      <c r="B63" s="172"/>
      <c r="C63" s="172"/>
      <c r="D63" s="609" t="e">
        <f>HLOOKUP($A$12,'Expense Input File'!$B$27:$L$91,53,FALSE)</f>
        <v>#N/A</v>
      </c>
      <c r="E63" s="169" t="e">
        <f>(E38/D38)*D63</f>
        <v>#N/A</v>
      </c>
      <c r="F63" s="169" t="e">
        <f>(F38/D38)*D63</f>
        <v>#N/A</v>
      </c>
      <c r="G63" s="169" t="e">
        <f>(G38/D38)*D63</f>
        <v>#N/A</v>
      </c>
      <c r="H63" s="169" t="e">
        <f>(H38/D38)*D63</f>
        <v>#N/A</v>
      </c>
      <c r="I63" s="169" t="e">
        <f>(I38/D38)*D63</f>
        <v>#N/A</v>
      </c>
      <c r="J63" s="169" t="e">
        <f>(J38/D38)*D63</f>
        <v>#N/A</v>
      </c>
      <c r="K63" s="98"/>
    </row>
    <row r="64" spans="1:12" ht="15.75" thickBot="1">
      <c r="A64" s="185" t="s">
        <v>263</v>
      </c>
      <c r="B64" s="168"/>
      <c r="C64" s="172"/>
      <c r="D64" s="404" t="e">
        <f>K64</f>
        <v>#N/A</v>
      </c>
      <c r="E64" s="100"/>
      <c r="F64" s="97"/>
      <c r="G64" s="97"/>
      <c r="H64" s="97"/>
      <c r="I64" s="97"/>
      <c r="J64" s="97"/>
      <c r="K64" s="588" t="e">
        <f>HLOOKUP($A$12,'Expense Input File'!$A$27:$L$91,46,FALSE)</f>
        <v>#N/A</v>
      </c>
    </row>
    <row r="65" spans="1:12" ht="15">
      <c r="A65" s="185" t="s">
        <v>665</v>
      </c>
      <c r="B65" s="168"/>
      <c r="C65" s="172"/>
      <c r="D65" s="404" t="e">
        <f>K65</f>
        <v>#N/A</v>
      </c>
      <c r="E65" s="100"/>
      <c r="F65" s="100"/>
      <c r="G65" s="100"/>
      <c r="H65" s="100"/>
      <c r="I65" s="100"/>
      <c r="J65" s="100"/>
      <c r="K65" s="99" t="e">
        <f>HLOOKUP($A$12,'Expense Input File'!$H$14:$L$107,MATCH($A$65,'Expense Input File'!$B$14:$B$107,0),0)</f>
        <v>#N/A</v>
      </c>
    </row>
    <row r="66" spans="1:12" ht="15">
      <c r="A66" s="179" t="s">
        <v>288</v>
      </c>
      <c r="B66" s="172"/>
      <c r="C66" s="172"/>
      <c r="D66" s="405" t="e">
        <f>SUM(D59:D65)</f>
        <v>#N/A</v>
      </c>
      <c r="E66" s="405" t="e">
        <f t="shared" ref="E66:K66" si="7">SUM(E59:E65)</f>
        <v>#N/A</v>
      </c>
      <c r="F66" s="405" t="e">
        <f t="shared" si="7"/>
        <v>#N/A</v>
      </c>
      <c r="G66" s="405" t="e">
        <f t="shared" si="7"/>
        <v>#N/A</v>
      </c>
      <c r="H66" s="405" t="e">
        <f t="shared" si="7"/>
        <v>#N/A</v>
      </c>
      <c r="I66" s="405" t="e">
        <f t="shared" si="7"/>
        <v>#N/A</v>
      </c>
      <c r="J66" s="405" t="e">
        <f t="shared" si="7"/>
        <v>#N/A</v>
      </c>
      <c r="K66" s="406" t="e">
        <f t="shared" si="7"/>
        <v>#N/A</v>
      </c>
    </row>
    <row r="67" spans="1:12" ht="15" thickBot="1">
      <c r="A67" s="185" t="s">
        <v>279</v>
      </c>
      <c r="B67" s="172"/>
      <c r="C67" s="172"/>
      <c r="D67" s="97"/>
      <c r="E67" s="100"/>
      <c r="F67" s="97"/>
      <c r="G67" s="97"/>
      <c r="H67" s="97"/>
      <c r="I67" s="97"/>
      <c r="J67" s="97"/>
      <c r="K67" s="98"/>
    </row>
    <row r="68" spans="1:12" ht="15" thickBot="1">
      <c r="A68" s="185" t="s">
        <v>42</v>
      </c>
      <c r="B68" s="172"/>
      <c r="C68" s="172"/>
      <c r="D68" s="169" t="e">
        <f>SUM(E68:K68)</f>
        <v>#N/A</v>
      </c>
      <c r="E68" s="610" t="e">
        <f>(HLOOKUP($A$12,'Expense Input File'!$B$71:$L$93,22,FALSE))*E15</f>
        <v>#N/A</v>
      </c>
      <c r="F68" s="611" t="e">
        <f>(HLOOKUP($A$12,'Expense Input File'!$B$71:$L$93,22,FALSE))*F15</f>
        <v>#N/A</v>
      </c>
      <c r="G68" s="611" t="e">
        <f>(HLOOKUP($A$12,'Expense Input File'!$B$71:$L$93,22,FALSE))*G15</f>
        <v>#N/A</v>
      </c>
      <c r="H68" s="611" t="e">
        <f>(HLOOKUP($A$12,'Expense Input File'!$B$71:$L$93,22,FALSE))*H15</f>
        <v>#N/A</v>
      </c>
      <c r="I68" s="611" t="e">
        <f>(HLOOKUP($A$12,'Expense Input File'!$B$71:$L$93,22,FALSE))*I15</f>
        <v>#N/A</v>
      </c>
      <c r="J68" s="591" t="e">
        <f>(HLOOKUP($A$12,'Expense Input File'!$B$71:$L$93,22,FALSE))*J15</f>
        <v>#N/A</v>
      </c>
      <c r="K68" s="624" t="e">
        <f>((HLOOKUP($A$12,'Expense Input File'!$B$71:$L$93,22,FALSE))*K15)+(HLOOKUP($A$12,'Expense Input File'!$B$71:$L$93,23,FALSE))</f>
        <v>#N/A</v>
      </c>
      <c r="L68" s="286" t="s">
        <v>707</v>
      </c>
    </row>
    <row r="69" spans="1:12" ht="15" thickBot="1">
      <c r="A69" s="185" t="s">
        <v>43</v>
      </c>
      <c r="B69" s="172"/>
      <c r="C69" s="172"/>
      <c r="D69" s="607" t="e">
        <f>HLOOKUP($A$12,'Expense Input File'!$A$27:$L$91,57,FALSE)</f>
        <v>#N/A</v>
      </c>
      <c r="E69" s="100"/>
      <c r="F69" s="182" t="e">
        <f>D69</f>
        <v>#N/A</v>
      </c>
      <c r="G69" s="107"/>
      <c r="H69" s="107"/>
      <c r="I69" s="107"/>
      <c r="J69" s="107"/>
      <c r="K69" s="108"/>
    </row>
    <row r="70" spans="1:12" ht="15" thickBot="1">
      <c r="A70" s="185" t="s">
        <v>44</v>
      </c>
      <c r="B70" s="172"/>
      <c r="C70" s="172"/>
      <c r="D70" s="608" t="e">
        <f>HLOOKUP($A$12,'Expense Input File'!$A$27:$L$91,58,FALSE)</f>
        <v>#N/A</v>
      </c>
      <c r="E70" s="201" t="e">
        <f>(E49/D49)*D70</f>
        <v>#REF!</v>
      </c>
      <c r="F70" s="169" t="e">
        <f>(F49/D49)*D70</f>
        <v>#REF!</v>
      </c>
      <c r="G70" s="169" t="e">
        <f>(G49/D49)*D70</f>
        <v>#REF!</v>
      </c>
      <c r="H70" s="169" t="e">
        <f>(H49/D49)*D70</f>
        <v>#REF!</v>
      </c>
      <c r="I70" s="169" t="e">
        <f>(I49/D49)*D70</f>
        <v>#REF!</v>
      </c>
      <c r="J70" s="169" t="e">
        <f>(J49/D49)*D70</f>
        <v>#REF!</v>
      </c>
      <c r="K70" s="623" t="e">
        <f>(K49/D49)*D70</f>
        <v>#REF!</v>
      </c>
      <c r="L70" s="286" t="s">
        <v>707</v>
      </c>
    </row>
    <row r="71" spans="1:12" ht="15" thickBot="1">
      <c r="A71" s="185" t="s">
        <v>45</v>
      </c>
      <c r="B71" s="172"/>
      <c r="C71" s="172"/>
      <c r="D71" s="609" t="e">
        <f>HLOOKUP($A$12,'Expense Input File'!$A$27:$L$91,59,FALSE)</f>
        <v>#N/A</v>
      </c>
      <c r="E71" s="120"/>
      <c r="F71" s="119"/>
      <c r="G71" s="119"/>
      <c r="H71" s="119"/>
      <c r="I71" s="119"/>
      <c r="J71" s="119"/>
      <c r="K71" s="622" t="e">
        <f>D71</f>
        <v>#N/A</v>
      </c>
      <c r="L71" s="286" t="s">
        <v>707</v>
      </c>
    </row>
    <row r="72" spans="1:12" ht="15.75" thickBot="1">
      <c r="A72" s="179" t="s">
        <v>289</v>
      </c>
      <c r="B72" s="172"/>
      <c r="C72" s="172"/>
      <c r="D72" s="217" t="e">
        <f>SUM(D68:D71)</f>
        <v>#N/A</v>
      </c>
      <c r="E72" s="217" t="e">
        <f t="shared" ref="E72:J72" si="8">SUM(E68:E71)</f>
        <v>#N/A</v>
      </c>
      <c r="F72" s="217" t="e">
        <f t="shared" si="8"/>
        <v>#N/A</v>
      </c>
      <c r="G72" s="217" t="e">
        <f t="shared" si="8"/>
        <v>#N/A</v>
      </c>
      <c r="H72" s="217" t="e">
        <f t="shared" si="8"/>
        <v>#N/A</v>
      </c>
      <c r="I72" s="217" t="e">
        <f t="shared" si="8"/>
        <v>#N/A</v>
      </c>
      <c r="J72" s="217" t="e">
        <f t="shared" si="8"/>
        <v>#N/A</v>
      </c>
      <c r="K72" s="692" t="e">
        <f>SUM(K68:K71)</f>
        <v>#N/A</v>
      </c>
      <c r="L72" s="286" t="s">
        <v>707</v>
      </c>
    </row>
    <row r="73" spans="1:12" ht="15.75" thickBot="1">
      <c r="A73" s="219" t="s">
        <v>280</v>
      </c>
      <c r="B73" s="219"/>
      <c r="C73" s="219"/>
      <c r="D73" s="220" t="e">
        <f>SUM(E73:K73)</f>
        <v>#N/A</v>
      </c>
      <c r="E73" s="617" t="e">
        <f>E72+E66</f>
        <v>#N/A</v>
      </c>
      <c r="F73" s="618" t="e">
        <f t="shared" ref="F73:K73" si="9">F72+F66</f>
        <v>#N/A</v>
      </c>
      <c r="G73" s="618" t="e">
        <f t="shared" si="9"/>
        <v>#N/A</v>
      </c>
      <c r="H73" s="618" t="e">
        <f t="shared" si="9"/>
        <v>#N/A</v>
      </c>
      <c r="I73" s="618" t="e">
        <f t="shared" si="9"/>
        <v>#N/A</v>
      </c>
      <c r="J73" s="618" t="e">
        <f t="shared" si="9"/>
        <v>#N/A</v>
      </c>
      <c r="K73" s="619" t="e">
        <f t="shared" si="9"/>
        <v>#N/A</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t="e">
        <f>HLOOKUP($A$12,'Expense Input File'!$A$71:$L$94,24,FALSE)</f>
        <v>#N/A</v>
      </c>
      <c r="E75" s="617"/>
      <c r="F75" s="618" t="e">
        <f>+$D75*(F56/SUM($F56:$H56))</f>
        <v>#N/A</v>
      </c>
      <c r="G75" s="618" t="e">
        <f>+$D75*(G56/SUM($F56:$H56))</f>
        <v>#N/A</v>
      </c>
      <c r="H75" s="618" t="e">
        <f>+$D75*(H56/SUM($F56:$H56))</f>
        <v>#N/A</v>
      </c>
      <c r="I75" s="618"/>
      <c r="J75" s="618"/>
      <c r="K75" s="619"/>
      <c r="L75" s="286" t="s">
        <v>704</v>
      </c>
    </row>
    <row r="76" spans="1:12">
      <c r="D76" s="229"/>
    </row>
    <row r="77" spans="1:12">
      <c r="D77" s="286" t="s">
        <v>716</v>
      </c>
      <c r="E77" s="111" t="e">
        <f>+E73+E75</f>
        <v>#N/A</v>
      </c>
      <c r="F77" s="111" t="e">
        <f t="shared" ref="F77:K77" si="10">+F73+F75</f>
        <v>#N/A</v>
      </c>
      <c r="G77" s="111" t="e">
        <f t="shared" si="10"/>
        <v>#N/A</v>
      </c>
      <c r="H77" s="111" t="e">
        <f t="shared" si="10"/>
        <v>#N/A</v>
      </c>
      <c r="I77" s="111" t="e">
        <f t="shared" si="10"/>
        <v>#N/A</v>
      </c>
      <c r="J77" s="111" t="e">
        <f t="shared" si="10"/>
        <v>#N/A</v>
      </c>
      <c r="K77" s="111" t="e">
        <f t="shared" si="10"/>
        <v>#N/A</v>
      </c>
      <c r="L77" s="90" t="s">
        <v>719</v>
      </c>
    </row>
  </sheetData>
  <customSheetViews>
    <customSheetView guid="{2226E858-00AE-4A92-8CF6-5B54D2FA62D4}" showPageBreaks="1" fitToPage="1" topLeftCell="A25">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800-000000000000}"/>
    <hyperlink ref="I4" location="AFUDC!A1" display="AFUDC" xr:uid="{00000000-0004-0000-1800-000001000000}"/>
    <hyperlink ref="I3" location="'Repayment Inputs'!A1" display="Repayment Inputs" xr:uid="{00000000-0004-0000-1800-000002000000}"/>
    <hyperlink ref="I6" location="'Expense Input File'!A1" display="Expense Input" xr:uid="{00000000-0004-0000-1800-000003000000}"/>
    <hyperlink ref="G6" r:id="rId2" xr:uid="{00000000-0004-0000-1800-000004000000}"/>
  </hyperlinks>
  <pageMargins left="0.25" right="0.25" top="0.75" bottom="0.75" header="0.3" footer="0.3"/>
  <pageSetup scale="56" orientation="portrait" r:id="rId3"/>
  <legacyDrawing r:id="rId4"/>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codeName="Sheet22">
    <tabColor rgb="FFCCFF66"/>
    <pageSetUpPr autoPageBreaks="0" fitToPage="1"/>
  </sheetPr>
  <dimension ref="A1:L77"/>
  <sheetViews>
    <sheetView topLeftCell="A56" workbookViewId="0">
      <selection activeCell="D69" sqref="D69:D71"/>
    </sheetView>
  </sheetViews>
  <sheetFormatPr defaultColWidth="9.140625" defaultRowHeight="14.25" outlineLevelRow="1"/>
  <cols>
    <col min="1" max="2" width="9.140625" style="90"/>
    <col min="3" max="3" width="29.28515625" style="90" customWidth="1"/>
    <col min="4" max="11" width="15.7109375" style="90" customWidth="1"/>
    <col min="12" max="16384" width="9.140625" style="90"/>
  </cols>
  <sheetData>
    <row r="1" spans="1:11" ht="18" outlineLevel="1">
      <c r="A1" s="996" t="s">
        <v>303</v>
      </c>
      <c r="B1" s="997"/>
      <c r="C1" s="997"/>
      <c r="D1" s="997"/>
      <c r="E1" s="997"/>
      <c r="F1" s="997"/>
      <c r="G1" s="997"/>
      <c r="H1" s="997"/>
      <c r="I1" s="997"/>
      <c r="J1" s="997"/>
      <c r="K1" s="998"/>
    </row>
    <row r="2" spans="1:11" ht="18" outlineLevel="1">
      <c r="A2" s="407"/>
      <c r="B2" s="125" t="s">
        <v>115</v>
      </c>
      <c r="C2" s="91"/>
      <c r="D2" s="3"/>
      <c r="E2" s="94"/>
      <c r="F2" s="147" t="s">
        <v>397</v>
      </c>
      <c r="G2" s="148"/>
      <c r="H2" s="138"/>
      <c r="I2" s="147" t="s">
        <v>399</v>
      </c>
      <c r="J2" s="139"/>
      <c r="K2" s="408"/>
    </row>
    <row r="3" spans="1:11" ht="18" outlineLevel="1">
      <c r="A3" s="407"/>
      <c r="B3" s="125" t="s">
        <v>73</v>
      </c>
      <c r="C3" s="735" t="s">
        <v>765</v>
      </c>
      <c r="D3" s="3"/>
      <c r="E3" s="94"/>
      <c r="F3" s="150" t="s">
        <v>398</v>
      </c>
      <c r="G3" s="151" t="s">
        <v>235</v>
      </c>
      <c r="H3" s="138"/>
      <c r="I3" s="152" t="s">
        <v>238</v>
      </c>
      <c r="J3" s="138"/>
      <c r="K3" s="408"/>
    </row>
    <row r="4" spans="1:11" ht="18" customHeight="1" outlineLevel="1">
      <c r="A4" s="407"/>
      <c r="B4" s="125" t="s">
        <v>10</v>
      </c>
      <c r="C4" s="153"/>
      <c r="D4" s="3"/>
      <c r="E4" s="94"/>
      <c r="F4" s="144"/>
      <c r="G4" s="331" t="s">
        <v>769</v>
      </c>
      <c r="H4" s="138"/>
      <c r="I4" s="155" t="s">
        <v>87</v>
      </c>
      <c r="J4" s="3"/>
      <c r="K4" s="408"/>
    </row>
    <row r="5" spans="1:11" ht="18" customHeight="1" outlineLevel="1">
      <c r="A5" s="407"/>
      <c r="B5" s="126" t="s">
        <v>9</v>
      </c>
      <c r="C5" s="153" t="e">
        <f>'Revenue Requirement'!#REF!</f>
        <v>#REF!</v>
      </c>
      <c r="D5" s="94"/>
      <c r="F5" s="144" t="str">
        <f>IF('20 Seg Dev'!F5=0," ",'20 Seg Dev'!F5)</f>
        <v xml:space="preserve"> </v>
      </c>
      <c r="G5" s="605" t="s">
        <v>770</v>
      </c>
      <c r="H5" s="138"/>
      <c r="I5" s="141" t="s">
        <v>390</v>
      </c>
      <c r="J5" s="94"/>
      <c r="K5" s="408"/>
    </row>
    <row r="6" spans="1:11" ht="15" outlineLevel="1">
      <c r="A6" s="407"/>
      <c r="B6" s="126" t="s">
        <v>386</v>
      </c>
      <c r="C6" s="93"/>
      <c r="D6" s="94"/>
      <c r="E6" s="157"/>
      <c r="F6" s="157"/>
      <c r="G6" s="158" t="s">
        <v>465</v>
      </c>
      <c r="H6" s="138"/>
      <c r="I6" s="159" t="s">
        <v>387</v>
      </c>
      <c r="J6" s="94"/>
      <c r="K6" s="408"/>
    </row>
    <row r="7" spans="1:11" ht="15" outlineLevel="1">
      <c r="A7" s="407"/>
      <c r="B7" s="126" t="s">
        <v>385</v>
      </c>
      <c r="C7" s="93"/>
      <c r="D7" s="94"/>
      <c r="E7" s="157"/>
      <c r="F7" s="616" t="s">
        <v>469</v>
      </c>
      <c r="G7" s="613" t="s">
        <v>703</v>
      </c>
      <c r="H7" s="138"/>
      <c r="I7" s="140"/>
      <c r="J7" s="94"/>
      <c r="K7" s="408"/>
    </row>
    <row r="8" spans="1:11" ht="15" outlineLevel="1">
      <c r="A8" s="407"/>
      <c r="B8" s="126" t="s">
        <v>281</v>
      </c>
      <c r="C8" s="160">
        <v>2030</v>
      </c>
      <c r="D8" s="94"/>
      <c r="E8" s="92"/>
      <c r="F8" s="92"/>
      <c r="G8" s="157"/>
      <c r="H8" s="223"/>
      <c r="I8" s="92"/>
      <c r="J8" s="92"/>
      <c r="K8" s="408"/>
    </row>
    <row r="9" spans="1:11" ht="15.75" outlineLevel="1" thickBot="1">
      <c r="A9" s="407"/>
      <c r="B9" s="126"/>
      <c r="C9" s="129"/>
      <c r="D9" s="94"/>
      <c r="E9" s="92"/>
      <c r="F9" s="92"/>
      <c r="G9" s="92"/>
      <c r="H9" s="92"/>
      <c r="I9" s="92"/>
      <c r="J9" s="92"/>
      <c r="K9" s="408"/>
    </row>
    <row r="10" spans="1:11" ht="15.75" outlineLevel="1" thickBot="1">
      <c r="A10" s="999"/>
      <c r="B10" s="983"/>
      <c r="C10" s="142"/>
      <c r="D10" s="113"/>
      <c r="E10" s="582" t="s">
        <v>700</v>
      </c>
      <c r="F10" s="113"/>
      <c r="G10" s="621" t="s">
        <v>705</v>
      </c>
      <c r="H10" s="621"/>
      <c r="I10" s="113"/>
      <c r="J10" s="113"/>
      <c r="K10" s="409"/>
    </row>
    <row r="11" spans="1:11" ht="15" outlineLevel="1" thickBot="1">
      <c r="A11" s="136"/>
      <c r="B11" s="94"/>
      <c r="C11" s="94"/>
      <c r="D11" s="94"/>
      <c r="E11" s="94"/>
      <c r="F11" s="94"/>
      <c r="G11" s="94"/>
      <c r="H11" s="94"/>
      <c r="I11" s="94"/>
      <c r="J11" s="94"/>
      <c r="K11" s="95"/>
    </row>
    <row r="12" spans="1:11" ht="29.25" customHeight="1">
      <c r="A12" s="984">
        <f>C8</f>
        <v>2030</v>
      </c>
      <c r="B12" s="985"/>
      <c r="C12" s="985"/>
      <c r="D12" s="161" t="s">
        <v>170</v>
      </c>
      <c r="E12" s="162" t="s">
        <v>171</v>
      </c>
      <c r="F12" s="162" t="s">
        <v>172</v>
      </c>
      <c r="G12" s="162" t="s">
        <v>173</v>
      </c>
      <c r="H12" s="162" t="s">
        <v>174</v>
      </c>
      <c r="I12" s="162" t="s">
        <v>175</v>
      </c>
      <c r="J12" s="162" t="s">
        <v>176</v>
      </c>
      <c r="K12" s="163" t="s">
        <v>177</v>
      </c>
    </row>
    <row r="13" spans="1:11" ht="15.75" thickBot="1">
      <c r="A13" s="165" t="s">
        <v>272</v>
      </c>
      <c r="B13" s="128"/>
      <c r="C13" s="128"/>
      <c r="D13" s="127"/>
      <c r="E13" s="127"/>
      <c r="F13" s="127"/>
      <c r="G13" s="127"/>
      <c r="H13" s="127"/>
      <c r="I13" s="127"/>
      <c r="J13" s="127"/>
      <c r="K13" s="166"/>
    </row>
    <row r="14" spans="1:11" ht="15.75" thickBot="1">
      <c r="A14" s="167" t="s">
        <v>178</v>
      </c>
      <c r="B14" s="168"/>
      <c r="C14" s="168"/>
      <c r="D14" s="169">
        <f>SUM(E14:K14)</f>
        <v>10710802.294490887</v>
      </c>
      <c r="E14" s="578">
        <v>125171.9792321735</v>
      </c>
      <c r="F14" s="579">
        <v>8969463.33012967</v>
      </c>
      <c r="G14" s="579">
        <v>640428.95268534846</v>
      </c>
      <c r="H14" s="579">
        <v>66662.539438764405</v>
      </c>
      <c r="I14" s="579">
        <v>12820.694093322736</v>
      </c>
      <c r="J14" s="579">
        <v>5472.6497376319967</v>
      </c>
      <c r="K14" s="580">
        <v>890782.14917397755</v>
      </c>
    </row>
    <row r="15" spans="1:11">
      <c r="A15" s="171" t="s">
        <v>237</v>
      </c>
      <c r="B15" s="172"/>
      <c r="C15" s="172"/>
      <c r="D15" s="173">
        <f>SUM(E15:K15)</f>
        <v>1.0000000000000002</v>
      </c>
      <c r="E15" s="174">
        <f>E14/D14</f>
        <v>1.1686517572689755E-2</v>
      </c>
      <c r="F15" s="174">
        <f>F14/D14</f>
        <v>0.83742217282295683</v>
      </c>
      <c r="G15" s="174">
        <f>G14/D14</f>
        <v>5.9792808706286532E-2</v>
      </c>
      <c r="H15" s="174">
        <f>H14/D14</f>
        <v>6.2238605107156498E-3</v>
      </c>
      <c r="I15" s="174">
        <f>I14/D14</f>
        <v>1.1969872789003933E-3</v>
      </c>
      <c r="J15" s="174">
        <f>J14/D14</f>
        <v>5.109467607713066E-4</v>
      </c>
      <c r="K15" s="175">
        <f>K14/D14</f>
        <v>8.3166706347679697E-2</v>
      </c>
    </row>
    <row r="16" spans="1:11" ht="15" thickBot="1">
      <c r="A16" s="176" t="s">
        <v>81</v>
      </c>
      <c r="B16" s="172"/>
      <c r="C16" s="172"/>
      <c r="D16" s="97"/>
      <c r="E16" s="97"/>
      <c r="F16" s="97"/>
      <c r="G16" s="97"/>
      <c r="H16" s="97"/>
      <c r="I16" s="97"/>
      <c r="J16" s="97"/>
      <c r="K16" s="98"/>
    </row>
    <row r="17" spans="1:12" ht="15" thickBot="1">
      <c r="A17" s="167"/>
      <c r="B17" s="172" t="s">
        <v>499</v>
      </c>
      <c r="C17" s="172"/>
      <c r="D17" s="169" t="e">
        <f>SUM(E17:K17)</f>
        <v>#N/A</v>
      </c>
      <c r="E17" s="100"/>
      <c r="F17" s="597" t="e">
        <f>HLOOKUP($A$12,'Repayment Inputs'!$B$2:$J$24,19,FALSE)</f>
        <v>#N/A</v>
      </c>
      <c r="G17" s="224"/>
      <c r="H17" s="100"/>
      <c r="I17" s="100"/>
      <c r="J17" s="100"/>
      <c r="K17" s="99"/>
    </row>
    <row r="18" spans="1:12" ht="15" thickBot="1">
      <c r="A18" s="167"/>
      <c r="B18" s="172" t="s">
        <v>500</v>
      </c>
      <c r="C18" s="172"/>
      <c r="D18" s="169">
        <f>SUM(E18:K18)</f>
        <v>0</v>
      </c>
      <c r="E18" s="100"/>
      <c r="F18" s="615">
        <f>-(HLOOKUP($A$12,AFUDC!$I$13:$AJ$38,25,FALSE))</f>
        <v>0</v>
      </c>
      <c r="G18" s="100"/>
      <c r="H18" s="100"/>
      <c r="I18" s="100"/>
      <c r="J18" s="100"/>
      <c r="K18" s="99"/>
    </row>
    <row r="19" spans="1:12" ht="15" thickBot="1">
      <c r="A19" s="167"/>
      <c r="B19" s="172" t="s">
        <v>496</v>
      </c>
      <c r="C19" s="172"/>
      <c r="D19" s="169" t="e">
        <f>SUM(E19:K19)</f>
        <v>#N/A</v>
      </c>
      <c r="E19" s="100"/>
      <c r="F19" s="169" t="e">
        <f>SUM(F17:F18)</f>
        <v>#N/A</v>
      </c>
      <c r="G19" s="100"/>
      <c r="H19" s="100"/>
      <c r="I19" s="100"/>
      <c r="J19" s="100"/>
      <c r="K19" s="99"/>
    </row>
    <row r="20" spans="1:12"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2" ht="15.75" thickBot="1">
      <c r="A21" s="179" t="s">
        <v>180</v>
      </c>
      <c r="B21" s="168"/>
      <c r="C21" s="168"/>
      <c r="D21" s="180" t="e">
        <f>D20+D19</f>
        <v>#N/A</v>
      </c>
      <c r="E21" s="617" t="e">
        <f t="shared" ref="E21:K21" si="0">E20+E19</f>
        <v>#N/A</v>
      </c>
      <c r="F21" s="618" t="e">
        <f t="shared" si="0"/>
        <v>#N/A</v>
      </c>
      <c r="G21" s="618" t="e">
        <f t="shared" si="0"/>
        <v>#N/A</v>
      </c>
      <c r="H21" s="618" t="e">
        <f t="shared" si="0"/>
        <v>#N/A</v>
      </c>
      <c r="I21" s="618" t="e">
        <f t="shared" si="0"/>
        <v>#N/A</v>
      </c>
      <c r="J21" s="618" t="e">
        <f t="shared" si="0"/>
        <v>#N/A</v>
      </c>
      <c r="K21" s="625" t="e">
        <f t="shared" si="0"/>
        <v>#N/A</v>
      </c>
      <c r="L21" s="286" t="s">
        <v>708</v>
      </c>
    </row>
    <row r="22" spans="1:12" ht="15" thickBot="1">
      <c r="A22" s="176" t="s">
        <v>184</v>
      </c>
      <c r="B22" s="172"/>
      <c r="C22" s="172"/>
      <c r="D22" s="97"/>
      <c r="E22" s="97"/>
      <c r="F22" s="97"/>
      <c r="G22" s="97"/>
      <c r="H22" s="97"/>
      <c r="I22" s="97"/>
      <c r="J22" s="97"/>
      <c r="K22" s="98"/>
    </row>
    <row r="23" spans="1:12" ht="15" thickBot="1">
      <c r="A23" s="167"/>
      <c r="B23" s="172" t="s">
        <v>495</v>
      </c>
      <c r="C23" s="172"/>
      <c r="D23" s="97"/>
      <c r="E23" s="97"/>
      <c r="F23" s="597" t="e">
        <f>HLOOKUP($A$12,'Repayment Inputs'!$A$2:$J$43,38,FALSE)</f>
        <v>#N/A</v>
      </c>
      <c r="G23" s="224"/>
      <c r="H23" s="97"/>
      <c r="I23" s="97"/>
      <c r="J23" s="97"/>
      <c r="K23" s="98"/>
    </row>
    <row r="24" spans="1:12" ht="15" thickBot="1">
      <c r="A24" s="167"/>
      <c r="B24" s="172" t="s">
        <v>496</v>
      </c>
      <c r="C24" s="172"/>
      <c r="D24" s="97"/>
      <c r="E24" s="97"/>
      <c r="F24" s="182" t="e">
        <f>F19</f>
        <v>#N/A</v>
      </c>
      <c r="G24" s="107"/>
      <c r="H24" s="97"/>
      <c r="I24" s="97"/>
      <c r="J24" s="97"/>
      <c r="K24" s="98"/>
    </row>
    <row r="25" spans="1:12" ht="15" thickBot="1">
      <c r="A25" s="167"/>
      <c r="B25" s="172" t="s">
        <v>497</v>
      </c>
      <c r="C25" s="172"/>
      <c r="D25" s="97"/>
      <c r="E25" s="97"/>
      <c r="F25" s="581">
        <v>11286.889087545353</v>
      </c>
      <c r="G25" s="225"/>
      <c r="H25" s="97"/>
      <c r="I25" s="97"/>
      <c r="J25" s="97"/>
      <c r="K25" s="98"/>
    </row>
    <row r="26" spans="1:12" ht="15" thickBot="1">
      <c r="A26" s="167"/>
      <c r="B26" s="172" t="s">
        <v>498</v>
      </c>
      <c r="C26" s="172"/>
      <c r="D26" s="182" t="e">
        <f>F26</f>
        <v>#N/A</v>
      </c>
      <c r="E26" s="97"/>
      <c r="F26" s="182" t="e">
        <f>F23-F24-F25</f>
        <v>#N/A</v>
      </c>
      <c r="G26" s="107"/>
      <c r="H26" s="97"/>
      <c r="I26" s="97"/>
      <c r="J26" s="97"/>
      <c r="K26" s="98"/>
    </row>
    <row r="27" spans="1:12" ht="15" thickBot="1">
      <c r="A27" s="185" t="s">
        <v>481</v>
      </c>
      <c r="B27" s="172"/>
      <c r="C27" s="172"/>
      <c r="D27" s="596"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2" ht="15.75" thickBot="1">
      <c r="A28" s="179" t="s">
        <v>185</v>
      </c>
      <c r="B28" s="172"/>
      <c r="C28" s="172"/>
      <c r="D28" s="180" t="e">
        <f>D27+D26</f>
        <v>#N/A</v>
      </c>
      <c r="E28" s="617" t="e">
        <f t="shared" ref="E28:K28" si="1">E27+E26</f>
        <v>#N/A</v>
      </c>
      <c r="F28" s="618" t="e">
        <f t="shared" si="1"/>
        <v>#N/A</v>
      </c>
      <c r="G28" s="618" t="e">
        <f t="shared" si="1"/>
        <v>#N/A</v>
      </c>
      <c r="H28" s="618" t="e">
        <f t="shared" si="1"/>
        <v>#N/A</v>
      </c>
      <c r="I28" s="618" t="e">
        <f t="shared" si="1"/>
        <v>#N/A</v>
      </c>
      <c r="J28" s="618" t="e">
        <f t="shared" si="1"/>
        <v>#N/A</v>
      </c>
      <c r="K28" s="625" t="e">
        <f t="shared" si="1"/>
        <v>#N/A</v>
      </c>
      <c r="L28" s="286" t="s">
        <v>708</v>
      </c>
    </row>
    <row r="29" spans="1:12" ht="15.75" thickBot="1">
      <c r="A29" s="176" t="s">
        <v>189</v>
      </c>
      <c r="B29" s="172"/>
      <c r="C29" s="172"/>
      <c r="D29" s="122"/>
      <c r="E29" s="122"/>
      <c r="F29" s="122"/>
      <c r="G29" s="122"/>
      <c r="H29" s="122"/>
      <c r="I29" s="122"/>
      <c r="J29" s="122"/>
      <c r="K29" s="121"/>
    </row>
    <row r="30" spans="1:12" ht="15" thickBot="1">
      <c r="A30" s="186" t="s">
        <v>550</v>
      </c>
      <c r="B30" s="172"/>
      <c r="C30" s="172"/>
      <c r="D30" s="169">
        <f>SUM(E30:K30)</f>
        <v>363728.04538600001</v>
      </c>
      <c r="E30" s="583">
        <v>4807</v>
      </c>
      <c r="F30" s="584">
        <v>302102.04538600001</v>
      </c>
      <c r="G30" s="584">
        <v>27899</v>
      </c>
      <c r="H30" s="584">
        <v>3349</v>
      </c>
      <c r="I30" s="584">
        <v>448</v>
      </c>
      <c r="J30" s="584">
        <v>188</v>
      </c>
      <c r="K30" s="585">
        <v>24935</v>
      </c>
    </row>
    <row r="31" spans="1:12" ht="15" thickBot="1">
      <c r="A31" s="186" t="s">
        <v>186</v>
      </c>
      <c r="B31" s="172"/>
      <c r="C31" s="172"/>
      <c r="D31" s="188" t="e">
        <f>SUM(E31:K31)</f>
        <v>#REF!</v>
      </c>
      <c r="E31" s="189" t="e">
        <f>E49/D49</f>
        <v>#REF!</v>
      </c>
      <c r="F31" s="189" t="e">
        <f>F49/D49</f>
        <v>#REF!</v>
      </c>
      <c r="G31" s="189" t="e">
        <f>G49/D49</f>
        <v>#REF!</v>
      </c>
      <c r="H31" s="189" t="e">
        <f>H49/D49</f>
        <v>#REF!</v>
      </c>
      <c r="I31" s="189" t="e">
        <f>I49/D49</f>
        <v>#REF!</v>
      </c>
      <c r="J31" s="189" t="e">
        <f>J49/D49</f>
        <v>#REF!</v>
      </c>
      <c r="K31" s="190" t="e">
        <f>K49/D49</f>
        <v>#REF!</v>
      </c>
    </row>
    <row r="32" spans="1:12" ht="15" thickBot="1">
      <c r="A32" s="186" t="s">
        <v>187</v>
      </c>
      <c r="B32" s="172"/>
      <c r="C32" s="172"/>
      <c r="D32" s="586">
        <v>113720.97300040591</v>
      </c>
      <c r="E32" s="169" t="e">
        <f>D32*E31</f>
        <v>#REF!</v>
      </c>
      <c r="F32" s="169" t="e">
        <f>D32*F31</f>
        <v>#REF!</v>
      </c>
      <c r="G32" s="169" t="e">
        <f>D32*G31</f>
        <v>#REF!</v>
      </c>
      <c r="H32" s="169" t="e">
        <f>D32*H31</f>
        <v>#REF!</v>
      </c>
      <c r="I32" s="169" t="e">
        <f>D32*I31</f>
        <v>#REF!</v>
      </c>
      <c r="J32" s="169" t="e">
        <f>D32*J31</f>
        <v>#REF!</v>
      </c>
      <c r="K32" s="178" t="e">
        <f>D32*K31</f>
        <v>#REF!</v>
      </c>
    </row>
    <row r="33" spans="1:12" ht="15.75" thickBot="1">
      <c r="A33" s="179" t="s">
        <v>188</v>
      </c>
      <c r="B33" s="172"/>
      <c r="C33" s="172"/>
      <c r="D33" s="180" t="e">
        <f>SUM(E33:K33)</f>
        <v>#REF!</v>
      </c>
      <c r="E33" s="617" t="e">
        <f t="shared" ref="E33:K33" si="2">E32+E30</f>
        <v>#REF!</v>
      </c>
      <c r="F33" s="618" t="e">
        <f>F32+F30</f>
        <v>#REF!</v>
      </c>
      <c r="G33" s="618" t="e">
        <f>G32+G30</f>
        <v>#REF!</v>
      </c>
      <c r="H33" s="618" t="e">
        <f t="shared" si="2"/>
        <v>#REF!</v>
      </c>
      <c r="I33" s="618" t="e">
        <f t="shared" si="2"/>
        <v>#REF!</v>
      </c>
      <c r="J33" s="618" t="e">
        <f t="shared" si="2"/>
        <v>#REF!</v>
      </c>
      <c r="K33" s="625" t="e">
        <f t="shared" si="2"/>
        <v>#REF!</v>
      </c>
      <c r="L33" s="286" t="s">
        <v>708</v>
      </c>
    </row>
    <row r="34" spans="1:12" ht="9" customHeight="1">
      <c r="A34" s="167"/>
      <c r="B34" s="172"/>
      <c r="C34" s="172"/>
      <c r="D34" s="97"/>
      <c r="E34" s="97"/>
      <c r="F34" s="97"/>
      <c r="G34" s="97"/>
      <c r="H34" s="97"/>
      <c r="I34" s="97"/>
      <c r="J34" s="97"/>
      <c r="K34" s="98"/>
    </row>
    <row r="35" spans="1:12" ht="15">
      <c r="A35" s="165" t="s">
        <v>236</v>
      </c>
      <c r="B35" s="172"/>
      <c r="C35" s="172"/>
      <c r="D35" s="97"/>
      <c r="E35" s="97"/>
      <c r="F35" s="97"/>
      <c r="G35" s="97"/>
      <c r="H35" s="97"/>
      <c r="I35" s="97"/>
      <c r="J35" s="97"/>
      <c r="K35" s="98"/>
    </row>
    <row r="36" spans="1:12" ht="15" thickBot="1">
      <c r="A36" s="191" t="s">
        <v>520</v>
      </c>
      <c r="B36" s="172"/>
      <c r="C36" s="172"/>
      <c r="D36" s="97"/>
      <c r="E36" s="97"/>
      <c r="F36" s="97"/>
      <c r="G36" s="97"/>
      <c r="H36" s="97"/>
      <c r="I36" s="97"/>
      <c r="J36" s="97"/>
      <c r="K36" s="98"/>
    </row>
    <row r="37" spans="1:12">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2"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2" ht="15">
      <c r="A39" s="195" t="s">
        <v>301</v>
      </c>
      <c r="B39" s="168"/>
      <c r="C39" s="168"/>
      <c r="D39" s="193">
        <f>SUM(D37:D38)</f>
        <v>192019.62406142859</v>
      </c>
      <c r="E39" s="97"/>
      <c r="F39" s="97"/>
      <c r="G39" s="97"/>
      <c r="H39" s="97"/>
      <c r="I39" s="97"/>
      <c r="J39" s="97"/>
      <c r="K39" s="98"/>
    </row>
    <row r="40" spans="1:12" ht="15" thickBot="1">
      <c r="A40" s="196" t="s">
        <v>239</v>
      </c>
      <c r="B40" s="172"/>
      <c r="C40" s="172"/>
      <c r="D40" s="97"/>
      <c r="E40" s="97"/>
      <c r="F40" s="97"/>
      <c r="G40" s="97"/>
      <c r="H40" s="97"/>
      <c r="I40" s="97"/>
      <c r="J40" s="97"/>
      <c r="K40" s="98"/>
    </row>
    <row r="41" spans="1:12" ht="15" thickBot="1">
      <c r="A41" s="185" t="s">
        <v>240</v>
      </c>
      <c r="B41" s="172"/>
      <c r="C41" s="172"/>
      <c r="D41" s="606" t="e">
        <f>'Expense Input File'!#REF!+'Expense Input File'!#REF!+'Expense Input File'!#REF!+'Expense Input File'!#REF!</f>
        <v>#REF!</v>
      </c>
      <c r="E41" s="97"/>
      <c r="F41" s="606" t="e">
        <f>(HLOOKUP($A$12,'Expense Input File'!$A$27:$L$70,33,FALSE))</f>
        <v>#N/A</v>
      </c>
      <c r="G41" s="97"/>
      <c r="H41" s="97"/>
      <c r="I41" s="97"/>
      <c r="J41" s="97"/>
      <c r="K41" s="606" t="e">
        <f>SUM('Expense Input File'!#REF!,'Expense Input File'!#REF!)</f>
        <v>#REF!</v>
      </c>
    </row>
    <row r="42" spans="1:12" ht="15" thickBot="1">
      <c r="A42" s="185" t="s">
        <v>241</v>
      </c>
      <c r="B42" s="172"/>
      <c r="C42" s="172"/>
      <c r="D42" s="606" t="e">
        <f>HLOOKUP($A$12,'Expense Input File'!$B$14:$L$24,4,FALSE)</f>
        <v>#N/A</v>
      </c>
      <c r="E42" s="97"/>
      <c r="F42" s="97"/>
      <c r="G42" s="97"/>
      <c r="H42" s="97"/>
      <c r="I42" s="97"/>
      <c r="J42" s="97"/>
      <c r="K42" s="98"/>
    </row>
    <row r="43" spans="1:12" ht="5.25" customHeight="1">
      <c r="A43" s="185"/>
      <c r="B43" s="172"/>
      <c r="C43" s="172"/>
      <c r="D43" s="100"/>
      <c r="E43" s="97"/>
      <c r="F43" s="97"/>
      <c r="G43" s="97"/>
      <c r="H43" s="97"/>
      <c r="I43" s="97"/>
      <c r="J43" s="97"/>
      <c r="K43" s="98"/>
    </row>
    <row r="44" spans="1:12">
      <c r="A44" s="199" t="s">
        <v>266</v>
      </c>
      <c r="B44" s="172"/>
      <c r="C44" s="172"/>
      <c r="D44" s="182" t="e">
        <f>SUM(D41:D42)</f>
        <v>#REF!</v>
      </c>
      <c r="E44" s="97"/>
      <c r="F44" s="97"/>
      <c r="G44" s="97"/>
      <c r="H44" s="97"/>
      <c r="I44" s="97"/>
      <c r="J44" s="97"/>
      <c r="K44" s="98"/>
    </row>
    <row r="45" spans="1:12">
      <c r="A45" s="200" t="s">
        <v>267</v>
      </c>
      <c r="B45" s="172"/>
      <c r="C45" s="172"/>
      <c r="D45" s="182" t="e">
        <f>D44-D46</f>
        <v>#REF!</v>
      </c>
      <c r="E45" s="226" t="e">
        <f>(E37/D37)*D45</f>
        <v>#REF!</v>
      </c>
      <c r="F45" s="182" t="e">
        <f>(F37/D37)*D45</f>
        <v>#REF!</v>
      </c>
      <c r="G45" s="182" t="e">
        <f>(G37/D37)*D45</f>
        <v>#REF!</v>
      </c>
      <c r="H45" s="182" t="e">
        <f>(H37/D37)*D45</f>
        <v>#REF!</v>
      </c>
      <c r="I45" s="182" t="e">
        <f>(I37/D37)*D45</f>
        <v>#REF!</v>
      </c>
      <c r="J45" s="182" t="e">
        <f>(J37/D37)*D45</f>
        <v>#REF!</v>
      </c>
      <c r="K45" s="98"/>
    </row>
    <row r="46" spans="1:12">
      <c r="A46" s="200" t="s">
        <v>269</v>
      </c>
      <c r="B46" s="172"/>
      <c r="C46" s="172"/>
      <c r="D46" s="169" t="e">
        <f>((D38/D39)*D44)</f>
        <v>#REF!</v>
      </c>
      <c r="E46" s="226" t="e">
        <f>(E38/D38)*D46</f>
        <v>#REF!</v>
      </c>
      <c r="F46" s="182" t="e">
        <f>(F38/D38)*D46</f>
        <v>#REF!</v>
      </c>
      <c r="G46" s="182" t="e">
        <f>(G38/D38)*D46</f>
        <v>#REF!</v>
      </c>
      <c r="H46" s="182" t="e">
        <f>(H38/D38)*D46</f>
        <v>#REF!</v>
      </c>
      <c r="I46" s="182" t="e">
        <f>(I38/D38)*D46</f>
        <v>#REF!</v>
      </c>
      <c r="J46" s="182" t="e">
        <f>(J38/D38)*D46</f>
        <v>#REF!</v>
      </c>
      <c r="K46" s="98"/>
    </row>
    <row r="47" spans="1:12" ht="15.75" thickBot="1">
      <c r="A47" s="202" t="s">
        <v>268</v>
      </c>
      <c r="B47" s="168"/>
      <c r="C47" s="168"/>
      <c r="D47" s="182" t="e">
        <f>SUM(E47:J47)</f>
        <v>#REF!</v>
      </c>
      <c r="E47" s="182" t="e">
        <f t="shared" ref="E47:J47" si="3">SUM(E45:E46)</f>
        <v>#REF!</v>
      </c>
      <c r="F47" s="182" t="e">
        <f t="shared" si="3"/>
        <v>#REF!</v>
      </c>
      <c r="G47" s="182" t="e">
        <f t="shared" si="3"/>
        <v>#REF!</v>
      </c>
      <c r="H47" s="182" t="e">
        <f t="shared" si="3"/>
        <v>#REF!</v>
      </c>
      <c r="I47" s="182" t="e">
        <f t="shared" si="3"/>
        <v>#REF!</v>
      </c>
      <c r="J47" s="182" t="e">
        <f t="shared" si="3"/>
        <v>#REF!</v>
      </c>
      <c r="K47" s="98"/>
    </row>
    <row r="48" spans="1:12" ht="15" thickBot="1">
      <c r="A48" s="203" t="s">
        <v>25</v>
      </c>
      <c r="B48" s="172"/>
      <c r="C48" s="172"/>
      <c r="D48" s="204" t="e">
        <f>K48</f>
        <v>#REF!</v>
      </c>
      <c r="E48" s="119"/>
      <c r="F48" s="119"/>
      <c r="G48" s="119"/>
      <c r="H48" s="119"/>
      <c r="I48" s="119"/>
      <c r="J48" s="119"/>
      <c r="K48" s="607" t="e">
        <f>SUM('Expense Input File'!#REF!)</f>
        <v>#REF!</v>
      </c>
    </row>
    <row r="49" spans="1:12" ht="15.75" thickBot="1">
      <c r="A49" s="206" t="s">
        <v>270</v>
      </c>
      <c r="B49" s="168"/>
      <c r="C49" s="168"/>
      <c r="D49" s="180" t="e">
        <f>SUM(E49:K49)</f>
        <v>#REF!</v>
      </c>
      <c r="E49" s="180" t="e">
        <f t="shared" ref="E49:J49" si="4">E47</f>
        <v>#REF!</v>
      </c>
      <c r="F49" s="180" t="e">
        <f>F47+F41</f>
        <v>#REF!</v>
      </c>
      <c r="G49" s="180" t="e">
        <f t="shared" si="4"/>
        <v>#REF!</v>
      </c>
      <c r="H49" s="180" t="e">
        <f t="shared" si="4"/>
        <v>#REF!</v>
      </c>
      <c r="I49" s="180" t="e">
        <f t="shared" si="4"/>
        <v>#REF!</v>
      </c>
      <c r="J49" s="180" t="e">
        <f t="shared" si="4"/>
        <v>#REF!</v>
      </c>
      <c r="K49" s="625" t="e">
        <f>K48+K41</f>
        <v>#REF!</v>
      </c>
      <c r="L49" s="286" t="s">
        <v>707</v>
      </c>
    </row>
    <row r="50" spans="1:12" ht="15" thickBot="1">
      <c r="A50" s="196" t="s">
        <v>271</v>
      </c>
      <c r="B50" s="172"/>
      <c r="C50" s="172"/>
      <c r="D50" s="97"/>
      <c r="E50" s="97"/>
      <c r="F50" s="97"/>
      <c r="G50" s="97"/>
      <c r="H50" s="97"/>
      <c r="I50" s="97"/>
      <c r="J50" s="97"/>
      <c r="K50" s="98"/>
    </row>
    <row r="51" spans="1:12" ht="15" thickBot="1">
      <c r="A51" s="207" t="s">
        <v>46</v>
      </c>
      <c r="B51" s="172"/>
      <c r="C51" s="172"/>
      <c r="D51" s="607" t="e">
        <f>SUM((HLOOKUP($A$12,'Expense Input File'!$A$27:$L$70,10,FALSE)),(HLOOKUP($A$12,'Expense Input File'!$A$27:$L$70,11,FALSE)),(HLOOKUP($A$12,'Expense Input File'!$A$27:$L$70,12,FALSE)),(HLOOKUP($A$12,'Expense Input File'!$A$27:$L$70,13,FALSE)))</f>
        <v>#N/A</v>
      </c>
      <c r="E51" s="169" t="e">
        <f>(E49/D49)*D51</f>
        <v>#REF!</v>
      </c>
      <c r="F51" s="169" t="e">
        <f>(F49/D49)*D51</f>
        <v>#REF!</v>
      </c>
      <c r="G51" s="169" t="e">
        <f>(G49/D49)*D51</f>
        <v>#REF!</v>
      </c>
      <c r="H51" s="169" t="e">
        <f>(H49/D49)*D51</f>
        <v>#REF!</v>
      </c>
      <c r="I51" s="169" t="e">
        <f>(I49/D49)*D51</f>
        <v>#REF!</v>
      </c>
      <c r="J51" s="169" t="e">
        <f>(J49/D49)*D51</f>
        <v>#REF!</v>
      </c>
      <c r="K51" s="623" t="e">
        <f>(K49/D49)*D51</f>
        <v>#REF!</v>
      </c>
      <c r="L51" s="286" t="s">
        <v>707</v>
      </c>
    </row>
    <row r="52" spans="1:12" ht="15" thickBot="1">
      <c r="A52" s="207" t="s">
        <v>47</v>
      </c>
      <c r="B52" s="172"/>
      <c r="C52" s="172"/>
      <c r="D52" s="608" t="e">
        <f>SUM('Expense Input File'!#REF!)</f>
        <v>#REF!</v>
      </c>
      <c r="E52" s="169" t="e">
        <f>(E49/D49)*D52</f>
        <v>#REF!</v>
      </c>
      <c r="F52" s="169" t="e">
        <f>(F49/D49)*D52</f>
        <v>#REF!</v>
      </c>
      <c r="G52" s="169" t="e">
        <f>(G49/D49)*D52</f>
        <v>#REF!</v>
      </c>
      <c r="H52" s="169" t="e">
        <f>(H49/D49)*D52</f>
        <v>#REF!</v>
      </c>
      <c r="I52" s="169" t="e">
        <f>(I49/D49)*D52</f>
        <v>#REF!</v>
      </c>
      <c r="J52" s="169" t="e">
        <f>(J49/D49)*D52</f>
        <v>#REF!</v>
      </c>
      <c r="K52" s="626" t="e">
        <f>(K49/D49)*D52</f>
        <v>#REF!</v>
      </c>
      <c r="L52" s="286" t="s">
        <v>707</v>
      </c>
    </row>
    <row r="53" spans="1:12" ht="15" thickBot="1">
      <c r="A53" s="207" t="s">
        <v>273</v>
      </c>
      <c r="B53" s="172"/>
      <c r="C53" s="172"/>
      <c r="D53" s="608" t="e">
        <f>HLOOKUP($A$12,'Expense Input File'!$B$14:$L$24,3,FALSE)</f>
        <v>#N/A</v>
      </c>
      <c r="E53" s="610" t="e">
        <f>(E49/D49)*(D53-(HLOOKUP($A$12,'Expense Input File'!$A$14:$L$24,10,FALSE)))</f>
        <v>#REF!</v>
      </c>
      <c r="F53" s="591" t="e">
        <f>(F49/D49)*(D53-(HLOOKUP($A$12,'Expense Input File'!$A$14:$L$24,10,FALSE)))</f>
        <v>#REF!</v>
      </c>
      <c r="G53" s="611" t="e">
        <f>(G49/D49)*(D53-(HLOOKUP($A$12,'Expense Input File'!$A$14:$L$24,10,FALSE)))</f>
        <v>#REF!</v>
      </c>
      <c r="H53" s="611" t="e">
        <f>(H49/D49)*(D53-(HLOOKUP($A$12,'Expense Input File'!$A$14:$L$24,10,FALSE)))</f>
        <v>#REF!</v>
      </c>
      <c r="I53" s="611" t="e">
        <f>(I49/D49)*(D53-(HLOOKUP($A$12,'Expense Input File'!$A$14:$L$24,10,FALSE)))</f>
        <v>#REF!</v>
      </c>
      <c r="J53" s="591" t="e">
        <f>(J49/D49)*(D53-(HLOOKUP($A$12,'Expense Input File'!$A$14:$L$24,10,FALSE)))</f>
        <v>#REF!</v>
      </c>
      <c r="K53" s="628" t="e">
        <f>((K49/D49)*(D53-(HLOOKUP($A$12,'Expense Input File'!$A$14:$L$24,10,FALSE))))+(HLOOKUP($A$12,'Expense Input File'!$A$14:$L$24,10,FALSE))</f>
        <v>#REF!</v>
      </c>
      <c r="L53" s="286" t="s">
        <v>707</v>
      </c>
    </row>
    <row r="54" spans="1:12" ht="15" thickBot="1">
      <c r="A54" s="207" t="s">
        <v>292</v>
      </c>
      <c r="B54" s="172"/>
      <c r="C54" s="172"/>
      <c r="D54" s="609" t="e">
        <f>SUM((HLOOKUP($A$12,'Expense Input File'!$A$14:$L$24,7,FALSE)),(HLOOKUP($A$12,'Expense Input File'!$A$14:$L$24,8,FALSE)))</f>
        <v>#N/A</v>
      </c>
      <c r="E54" s="209" t="e">
        <f>(E49/D49)*D54</f>
        <v>#REF!</v>
      </c>
      <c r="F54" s="209" t="e">
        <f>(F49/D49)*D54</f>
        <v>#REF!</v>
      </c>
      <c r="G54" s="209" t="e">
        <f>(G49/D49)*D54</f>
        <v>#REF!</v>
      </c>
      <c r="H54" s="209" t="e">
        <f>(H49/D49)*D54</f>
        <v>#REF!</v>
      </c>
      <c r="I54" s="209" t="e">
        <f>(I49/D49)*D54</f>
        <v>#REF!</v>
      </c>
      <c r="J54" s="209" t="e">
        <f>(J49/D49)*D54</f>
        <v>#REF!</v>
      </c>
      <c r="K54" s="627" t="e">
        <f>(K49/D49)*D54</f>
        <v>#REF!</v>
      </c>
      <c r="L54" s="286" t="s">
        <v>707</v>
      </c>
    </row>
    <row r="55" spans="1:12" ht="15.75" thickBot="1">
      <c r="A55" s="211" t="s">
        <v>290</v>
      </c>
      <c r="B55" s="172"/>
      <c r="C55" s="172"/>
      <c r="D55" s="180" t="e">
        <f>SUM(D51:D54)</f>
        <v>#N/A</v>
      </c>
      <c r="E55" s="180" t="e">
        <f t="shared" ref="E55:J55" si="5">SUM(E51:E54)</f>
        <v>#REF!</v>
      </c>
      <c r="F55" s="180" t="e">
        <f t="shared" si="5"/>
        <v>#REF!</v>
      </c>
      <c r="G55" s="180" t="e">
        <f t="shared" si="5"/>
        <v>#REF!</v>
      </c>
      <c r="H55" s="180" t="e">
        <f t="shared" si="5"/>
        <v>#REF!</v>
      </c>
      <c r="I55" s="180" t="e">
        <f t="shared" si="5"/>
        <v>#REF!</v>
      </c>
      <c r="J55" s="180" t="e">
        <f t="shared" si="5"/>
        <v>#REF!</v>
      </c>
      <c r="K55" s="625" t="e">
        <f>SUM(K51:K54)</f>
        <v>#REF!</v>
      </c>
      <c r="L55" s="286" t="s">
        <v>707</v>
      </c>
    </row>
    <row r="56" spans="1:12" ht="15.75" thickBot="1">
      <c r="A56" s="165" t="s">
        <v>262</v>
      </c>
      <c r="B56" s="172"/>
      <c r="C56" s="172"/>
      <c r="D56" s="180" t="e">
        <f t="shared" ref="D56:J56" si="6">D55+D49</f>
        <v>#N/A</v>
      </c>
      <c r="E56" s="617" t="e">
        <f t="shared" si="6"/>
        <v>#REF!</v>
      </c>
      <c r="F56" s="618" t="e">
        <f t="shared" si="6"/>
        <v>#REF!</v>
      </c>
      <c r="G56" s="618" t="e">
        <f t="shared" si="6"/>
        <v>#REF!</v>
      </c>
      <c r="H56" s="618" t="e">
        <f t="shared" si="6"/>
        <v>#REF!</v>
      </c>
      <c r="I56" s="618" t="e">
        <f t="shared" si="6"/>
        <v>#REF!</v>
      </c>
      <c r="J56" s="618" t="e">
        <f t="shared" si="6"/>
        <v>#REF!</v>
      </c>
      <c r="K56" s="619" t="e">
        <f>K55+K49</f>
        <v>#REF!</v>
      </c>
      <c r="L56" s="286" t="s">
        <v>704</v>
      </c>
    </row>
    <row r="57" spans="1:12">
      <c r="A57" s="212" t="s">
        <v>177</v>
      </c>
      <c r="B57" s="172"/>
      <c r="C57" s="172"/>
      <c r="D57" s="97"/>
      <c r="E57" s="97"/>
      <c r="F57" s="97"/>
      <c r="G57" s="97"/>
      <c r="H57" s="97"/>
      <c r="I57" s="97"/>
      <c r="J57" s="97"/>
      <c r="K57" s="98"/>
    </row>
    <row r="58" spans="1:12" ht="15" thickBot="1">
      <c r="A58" s="185" t="s">
        <v>278</v>
      </c>
      <c r="B58" s="172"/>
      <c r="C58" s="172"/>
      <c r="D58" s="100"/>
      <c r="E58" s="97"/>
      <c r="F58" s="97"/>
      <c r="G58" s="97"/>
      <c r="H58" s="97"/>
      <c r="I58" s="97"/>
      <c r="J58" s="97"/>
      <c r="K58" s="98"/>
    </row>
    <row r="59" spans="1:12" ht="15">
      <c r="A59" s="185" t="s">
        <v>276</v>
      </c>
      <c r="B59" s="172"/>
      <c r="C59" s="172"/>
      <c r="D59" s="607" t="e">
        <f>(HLOOKUP($A$12,'Expense Input File'!$A$27:$L$91,48,FALSE))</f>
        <v>#N/A</v>
      </c>
      <c r="E59" s="100"/>
      <c r="F59" s="213">
        <v>440.59305210918109</v>
      </c>
      <c r="G59" s="100"/>
      <c r="H59" s="100"/>
      <c r="I59" s="213">
        <v>265.40694789081886</v>
      </c>
      <c r="J59" s="100"/>
      <c r="K59" s="98"/>
    </row>
    <row r="60" spans="1:12">
      <c r="A60" s="185" t="s">
        <v>277</v>
      </c>
      <c r="B60" s="172"/>
      <c r="C60" s="172"/>
      <c r="D60" s="608" t="e">
        <f>(HLOOKUP($A$12,'Expense Input File'!$A$27:$L$91,49,FALSE))</f>
        <v>#N/A</v>
      </c>
      <c r="E60" s="100"/>
      <c r="F60" s="97"/>
      <c r="G60" s="182" t="e">
        <f>D60</f>
        <v>#N/A</v>
      </c>
      <c r="H60" s="97"/>
      <c r="I60" s="97"/>
      <c r="J60" s="97"/>
      <c r="K60" s="98"/>
    </row>
    <row r="61" spans="1:12" ht="15" thickBot="1">
      <c r="A61" s="185" t="s">
        <v>275</v>
      </c>
      <c r="B61" s="172"/>
      <c r="C61" s="172"/>
      <c r="D61" s="608" t="e">
        <f>(HLOOKUP($A$12,'Expense Input File'!$A$27:$L$91,52,FALSE))</f>
        <v>#N/A</v>
      </c>
      <c r="E61" s="100"/>
      <c r="F61" s="182" t="e">
        <f>D61</f>
        <v>#N/A</v>
      </c>
      <c r="G61" s="97"/>
      <c r="H61" s="97"/>
      <c r="I61" s="97"/>
      <c r="J61" s="97"/>
      <c r="K61" s="98"/>
    </row>
    <row r="62" spans="1:12" ht="15.75" thickBot="1">
      <c r="A62" s="185" t="s">
        <v>469</v>
      </c>
      <c r="B62" s="172"/>
      <c r="C62" s="172"/>
      <c r="D62" s="608" t="e">
        <f>(HLOOKUP($A$12,'Expense Input File'!$A$27:$L$91,50,FALSE))</f>
        <v>#N/A</v>
      </c>
      <c r="E62" s="100"/>
      <c r="F62" s="614" t="e">
        <f>$D$62*0.397156801</f>
        <v>#N/A</v>
      </c>
      <c r="G62" s="614" t="e">
        <f>$D$62*0.602844218</f>
        <v>#N/A</v>
      </c>
      <c r="H62" s="97"/>
      <c r="I62" s="97"/>
      <c r="J62" s="97"/>
      <c r="K62" s="98"/>
    </row>
    <row r="63" spans="1:12" ht="15" thickBot="1">
      <c r="A63" s="185" t="s">
        <v>274</v>
      </c>
      <c r="B63" s="172"/>
      <c r="C63" s="172"/>
      <c r="D63" s="609" t="e">
        <f>HLOOKUP($A$12,'Expense Input File'!$B$27:$L$91,53,FALSE)</f>
        <v>#N/A</v>
      </c>
      <c r="E63" s="169" t="e">
        <f>(E38/D38)*D63</f>
        <v>#N/A</v>
      </c>
      <c r="F63" s="169" t="e">
        <f>(F38/D38)*D63</f>
        <v>#N/A</v>
      </c>
      <c r="G63" s="169" t="e">
        <f>(G38/D38)*D63</f>
        <v>#N/A</v>
      </c>
      <c r="H63" s="169" t="e">
        <f>(H38/D38)*D63</f>
        <v>#N/A</v>
      </c>
      <c r="I63" s="169" t="e">
        <f>(I38/D38)*D63</f>
        <v>#N/A</v>
      </c>
      <c r="J63" s="169" t="e">
        <f>(J38/D38)*D63</f>
        <v>#N/A</v>
      </c>
      <c r="K63" s="98"/>
    </row>
    <row r="64" spans="1:12" ht="15.75" thickBot="1">
      <c r="A64" s="185" t="s">
        <v>263</v>
      </c>
      <c r="B64" s="168"/>
      <c r="C64" s="172"/>
      <c r="D64" s="404" t="e">
        <f>K64</f>
        <v>#N/A</v>
      </c>
      <c r="E64" s="100"/>
      <c r="F64" s="97"/>
      <c r="G64" s="97"/>
      <c r="H64" s="97"/>
      <c r="I64" s="97"/>
      <c r="J64" s="97"/>
      <c r="K64" s="588" t="e">
        <f>HLOOKUP($A$12,'Expense Input File'!$A$27:$L$91,46,FALSE)</f>
        <v>#N/A</v>
      </c>
    </row>
    <row r="65" spans="1:12" ht="15">
      <c r="A65" s="185" t="s">
        <v>665</v>
      </c>
      <c r="B65" s="168"/>
      <c r="C65" s="172"/>
      <c r="D65" s="404" t="e">
        <f>K65</f>
        <v>#N/A</v>
      </c>
      <c r="E65" s="100"/>
      <c r="F65" s="100"/>
      <c r="G65" s="100"/>
      <c r="H65" s="100"/>
      <c r="I65" s="100"/>
      <c r="J65" s="100"/>
      <c r="K65" s="99" t="e">
        <f>HLOOKUP($A$12,'Expense Input File'!$H$14:$L$107,MATCH($A$65,'Expense Input File'!$B$14:$B$107,0),0)</f>
        <v>#N/A</v>
      </c>
    </row>
    <row r="66" spans="1:12" ht="15">
      <c r="A66" s="179" t="s">
        <v>288</v>
      </c>
      <c r="B66" s="172"/>
      <c r="C66" s="172"/>
      <c r="D66" s="405" t="e">
        <f>SUM(D59:D65)</f>
        <v>#N/A</v>
      </c>
      <c r="E66" s="405" t="e">
        <f t="shared" ref="E66:K66" si="7">SUM(E59:E65)</f>
        <v>#N/A</v>
      </c>
      <c r="F66" s="405" t="e">
        <f t="shared" si="7"/>
        <v>#N/A</v>
      </c>
      <c r="G66" s="405" t="e">
        <f t="shared" si="7"/>
        <v>#N/A</v>
      </c>
      <c r="H66" s="405" t="e">
        <f t="shared" si="7"/>
        <v>#N/A</v>
      </c>
      <c r="I66" s="405" t="e">
        <f t="shared" si="7"/>
        <v>#N/A</v>
      </c>
      <c r="J66" s="405" t="e">
        <f t="shared" si="7"/>
        <v>#N/A</v>
      </c>
      <c r="K66" s="406" t="e">
        <f t="shared" si="7"/>
        <v>#N/A</v>
      </c>
    </row>
    <row r="67" spans="1:12" ht="15" thickBot="1">
      <c r="A67" s="185" t="s">
        <v>279</v>
      </c>
      <c r="B67" s="172"/>
      <c r="C67" s="172"/>
      <c r="D67" s="97"/>
      <c r="E67" s="100"/>
      <c r="F67" s="97"/>
      <c r="G67" s="97"/>
      <c r="H67" s="97"/>
      <c r="I67" s="97"/>
      <c r="J67" s="97"/>
      <c r="K67" s="98"/>
    </row>
    <row r="68" spans="1:12" ht="15" thickBot="1">
      <c r="A68" s="185" t="s">
        <v>42</v>
      </c>
      <c r="B68" s="172"/>
      <c r="C68" s="172"/>
      <c r="D68" s="169" t="e">
        <f>SUM(E68:K68)</f>
        <v>#N/A</v>
      </c>
      <c r="E68" s="610" t="e">
        <f>(HLOOKUP($A$12,'Expense Input File'!$B$71:$L$93,22,FALSE))*E15</f>
        <v>#N/A</v>
      </c>
      <c r="F68" s="611" t="e">
        <f>(HLOOKUP($A$12,'Expense Input File'!$B$71:$L$93,22,FALSE))*F15</f>
        <v>#N/A</v>
      </c>
      <c r="G68" s="611" t="e">
        <f>(HLOOKUP($A$12,'Expense Input File'!$B$71:$L$93,22,FALSE))*G15</f>
        <v>#N/A</v>
      </c>
      <c r="H68" s="611" t="e">
        <f>(HLOOKUP($A$12,'Expense Input File'!$B$71:$L$93,22,FALSE))*H15</f>
        <v>#N/A</v>
      </c>
      <c r="I68" s="611" t="e">
        <f>(HLOOKUP($A$12,'Expense Input File'!$B$71:$L$93,22,FALSE))*I15</f>
        <v>#N/A</v>
      </c>
      <c r="J68" s="591" t="e">
        <f>(HLOOKUP($A$12,'Expense Input File'!$B$71:$L$93,22,FALSE))*J15</f>
        <v>#N/A</v>
      </c>
      <c r="K68" s="624" t="e">
        <f>((HLOOKUP($A$12,'Expense Input File'!$B$71:$L$93,22,FALSE))*K15)+(HLOOKUP($A$12,'Expense Input File'!$B$71:$L$93,23,FALSE))</f>
        <v>#N/A</v>
      </c>
      <c r="L68" s="286" t="s">
        <v>707</v>
      </c>
    </row>
    <row r="69" spans="1:12" ht="15" thickBot="1">
      <c r="A69" s="185" t="s">
        <v>43</v>
      </c>
      <c r="B69" s="172"/>
      <c r="C69" s="172"/>
      <c r="D69" s="607" t="e">
        <f>HLOOKUP($A$12,'Expense Input File'!$A$27:$L$91,57,FALSE)</f>
        <v>#N/A</v>
      </c>
      <c r="E69" s="100"/>
      <c r="F69" s="182" t="e">
        <f>D69</f>
        <v>#N/A</v>
      </c>
      <c r="G69" s="107"/>
      <c r="H69" s="107"/>
      <c r="I69" s="107"/>
      <c r="J69" s="107"/>
      <c r="K69" s="108"/>
    </row>
    <row r="70" spans="1:12" ht="15" thickBot="1">
      <c r="A70" s="185" t="s">
        <v>44</v>
      </c>
      <c r="B70" s="172"/>
      <c r="C70" s="172"/>
      <c r="D70" s="608" t="e">
        <f>HLOOKUP($A$12,'Expense Input File'!$A$27:$L$91,58,FALSE)</f>
        <v>#N/A</v>
      </c>
      <c r="E70" s="201" t="e">
        <f>(E49/D49)*D70</f>
        <v>#REF!</v>
      </c>
      <c r="F70" s="169" t="e">
        <f>(F49/D49)*D70</f>
        <v>#REF!</v>
      </c>
      <c r="G70" s="169" t="e">
        <f>(G49/D49)*D70</f>
        <v>#REF!</v>
      </c>
      <c r="H70" s="169" t="e">
        <f>(H49/D49)*D70</f>
        <v>#REF!</v>
      </c>
      <c r="I70" s="169" t="e">
        <f>(I49/D49)*D70</f>
        <v>#REF!</v>
      </c>
      <c r="J70" s="169" t="e">
        <f>(J49/D49)*D70</f>
        <v>#REF!</v>
      </c>
      <c r="K70" s="623" t="e">
        <f>(K49/D49)*D70</f>
        <v>#REF!</v>
      </c>
      <c r="L70" s="286" t="s">
        <v>707</v>
      </c>
    </row>
    <row r="71" spans="1:12" ht="15" thickBot="1">
      <c r="A71" s="185" t="s">
        <v>45</v>
      </c>
      <c r="B71" s="172"/>
      <c r="C71" s="172"/>
      <c r="D71" s="609" t="e">
        <f>HLOOKUP($A$12,'Expense Input File'!$A$27:$L$91,59,FALSE)</f>
        <v>#N/A</v>
      </c>
      <c r="E71" s="120"/>
      <c r="F71" s="119"/>
      <c r="G71" s="119"/>
      <c r="H71" s="119"/>
      <c r="I71" s="119"/>
      <c r="J71" s="119"/>
      <c r="K71" s="622" t="e">
        <f>D71</f>
        <v>#N/A</v>
      </c>
      <c r="L71" s="286" t="s">
        <v>707</v>
      </c>
    </row>
    <row r="72" spans="1:12" ht="15.75" thickBot="1">
      <c r="A72" s="179" t="s">
        <v>289</v>
      </c>
      <c r="B72" s="172"/>
      <c r="C72" s="172"/>
      <c r="D72" s="217" t="e">
        <f>SUM(D68:D71)</f>
        <v>#N/A</v>
      </c>
      <c r="E72" s="217" t="e">
        <f t="shared" ref="E72:J72" si="8">SUM(E68:E71)</f>
        <v>#N/A</v>
      </c>
      <c r="F72" s="217" t="e">
        <f t="shared" si="8"/>
        <v>#N/A</v>
      </c>
      <c r="G72" s="217" t="e">
        <f t="shared" si="8"/>
        <v>#N/A</v>
      </c>
      <c r="H72" s="217" t="e">
        <f t="shared" si="8"/>
        <v>#N/A</v>
      </c>
      <c r="I72" s="217" t="e">
        <f t="shared" si="8"/>
        <v>#N/A</v>
      </c>
      <c r="J72" s="217" t="e">
        <f t="shared" si="8"/>
        <v>#N/A</v>
      </c>
      <c r="K72" s="692" t="e">
        <f>SUM(K68:K71)</f>
        <v>#N/A</v>
      </c>
      <c r="L72" s="286" t="s">
        <v>707</v>
      </c>
    </row>
    <row r="73" spans="1:12" ht="15.75" thickBot="1">
      <c r="A73" s="219" t="s">
        <v>280</v>
      </c>
      <c r="B73" s="219"/>
      <c r="C73" s="219"/>
      <c r="D73" s="220" t="e">
        <f>SUM(E73:K73)</f>
        <v>#N/A</v>
      </c>
      <c r="E73" s="617" t="e">
        <f>E72+E66</f>
        <v>#N/A</v>
      </c>
      <c r="F73" s="618" t="e">
        <f t="shared" ref="F73:K73" si="9">F72+F66</f>
        <v>#N/A</v>
      </c>
      <c r="G73" s="618" t="e">
        <f t="shared" si="9"/>
        <v>#N/A</v>
      </c>
      <c r="H73" s="618" t="e">
        <f t="shared" si="9"/>
        <v>#N/A</v>
      </c>
      <c r="I73" s="618" t="e">
        <f t="shared" si="9"/>
        <v>#N/A</v>
      </c>
      <c r="J73" s="618" t="e">
        <f t="shared" si="9"/>
        <v>#N/A</v>
      </c>
      <c r="K73" s="619" t="e">
        <f t="shared" si="9"/>
        <v>#N/A</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t="e">
        <f>HLOOKUP($A$12,'Expense Input File'!$A$71:$L$94,24,FALSE)</f>
        <v>#N/A</v>
      </c>
      <c r="E75" s="617"/>
      <c r="F75" s="618" t="e">
        <f>+$D75*(F56/SUM($F56:$H56))</f>
        <v>#N/A</v>
      </c>
      <c r="G75" s="618" t="e">
        <f>+$D75*(G56/SUM($F56:$H56))</f>
        <v>#N/A</v>
      </c>
      <c r="H75" s="618" t="e">
        <f>+$D75*(H56/SUM($F56:$H56))</f>
        <v>#N/A</v>
      </c>
      <c r="I75" s="618"/>
      <c r="J75" s="618"/>
      <c r="K75" s="619"/>
      <c r="L75" s="286" t="s">
        <v>704</v>
      </c>
    </row>
    <row r="76" spans="1:12">
      <c r="D76" s="229"/>
    </row>
    <row r="77" spans="1:12">
      <c r="D77" s="286" t="s">
        <v>716</v>
      </c>
      <c r="E77" s="111" t="e">
        <f>+E73+E75</f>
        <v>#N/A</v>
      </c>
      <c r="F77" s="111" t="e">
        <f t="shared" ref="F77:K77" si="10">+F73+F75</f>
        <v>#N/A</v>
      </c>
      <c r="G77" s="111" t="e">
        <f t="shared" si="10"/>
        <v>#N/A</v>
      </c>
      <c r="H77" s="111" t="e">
        <f t="shared" si="10"/>
        <v>#N/A</v>
      </c>
      <c r="I77" s="111" t="e">
        <f t="shared" si="10"/>
        <v>#N/A</v>
      </c>
      <c r="J77" s="111" t="e">
        <f t="shared" si="10"/>
        <v>#N/A</v>
      </c>
      <c r="K77" s="111" t="e">
        <f t="shared" si="10"/>
        <v>#N/A</v>
      </c>
      <c r="L77" s="90" t="s">
        <v>719</v>
      </c>
    </row>
  </sheetData>
  <customSheetViews>
    <customSheetView guid="{2226E858-00AE-4A92-8CF6-5B54D2FA62D4}" showPageBreaks="1" fitToPage="1" topLeftCell="A28">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900-000000000000}"/>
    <hyperlink ref="I4" location="AFUDC!A1" display="AFUDC" xr:uid="{00000000-0004-0000-1900-000001000000}"/>
    <hyperlink ref="I3" location="'Repayment Inputs'!A1" display="Repayment Inputs" xr:uid="{00000000-0004-0000-1900-000002000000}"/>
    <hyperlink ref="I6" location="'Expense Input File'!A1" display="Expense Input" xr:uid="{00000000-0004-0000-1900-000003000000}"/>
    <hyperlink ref="G6" r:id="rId2" xr:uid="{00000000-0004-0000-1900-000004000000}"/>
  </hyperlinks>
  <pageMargins left="0.25" right="0.25" top="0.75" bottom="0.75" header="0.3" footer="0.3"/>
  <pageSetup scale="56" orientation="portrait" r:id="rId3"/>
  <legacyDrawing r:id="rId4"/>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codeName="Sheet23">
    <tabColor rgb="FFCCFF66"/>
    <pageSetUpPr autoPageBreaks="0" fitToPage="1"/>
  </sheetPr>
  <dimension ref="A1:L77"/>
  <sheetViews>
    <sheetView topLeftCell="A53" workbookViewId="0">
      <selection activeCell="D69" sqref="D69:D71"/>
    </sheetView>
  </sheetViews>
  <sheetFormatPr defaultColWidth="9.140625" defaultRowHeight="14.25" outlineLevelRow="1"/>
  <cols>
    <col min="1" max="2" width="9.140625" style="90"/>
    <col min="3" max="3" width="29.28515625" style="90" customWidth="1"/>
    <col min="4" max="11" width="15.7109375" style="90" customWidth="1"/>
    <col min="12" max="16384" width="9.140625" style="90"/>
  </cols>
  <sheetData>
    <row r="1" spans="1:11" ht="18" outlineLevel="1">
      <c r="A1" s="996" t="s">
        <v>304</v>
      </c>
      <c r="B1" s="997"/>
      <c r="C1" s="997"/>
      <c r="D1" s="997"/>
      <c r="E1" s="997"/>
      <c r="F1" s="997"/>
      <c r="G1" s="997"/>
      <c r="H1" s="997"/>
      <c r="I1" s="997"/>
      <c r="J1" s="997"/>
      <c r="K1" s="998"/>
    </row>
    <row r="2" spans="1:11" ht="18" outlineLevel="1">
      <c r="A2" s="407"/>
      <c r="B2" s="125" t="s">
        <v>115</v>
      </c>
      <c r="C2" s="91"/>
      <c r="D2" s="3"/>
      <c r="E2" s="94"/>
      <c r="F2" s="147" t="s">
        <v>397</v>
      </c>
      <c r="G2" s="148"/>
      <c r="H2" s="138"/>
      <c r="I2" s="147" t="s">
        <v>399</v>
      </c>
      <c r="J2" s="139"/>
      <c r="K2" s="408"/>
    </row>
    <row r="3" spans="1:11" ht="18" outlineLevel="1">
      <c r="A3" s="407"/>
      <c r="B3" s="125" t="s">
        <v>73</v>
      </c>
      <c r="C3" s="735" t="s">
        <v>765</v>
      </c>
      <c r="D3" s="3"/>
      <c r="E3" s="94"/>
      <c r="F3" s="150" t="s">
        <v>398</v>
      </c>
      <c r="G3" s="151" t="s">
        <v>235</v>
      </c>
      <c r="H3" s="138"/>
      <c r="I3" s="152" t="s">
        <v>238</v>
      </c>
      <c r="J3" s="138"/>
      <c r="K3" s="408"/>
    </row>
    <row r="4" spans="1:11" ht="18" customHeight="1" outlineLevel="1">
      <c r="A4" s="407"/>
      <c r="B4" s="125" t="s">
        <v>10</v>
      </c>
      <c r="C4" s="153"/>
      <c r="D4" s="3"/>
      <c r="E4" s="94"/>
      <c r="F4" s="144"/>
      <c r="G4" s="331" t="s">
        <v>769</v>
      </c>
      <c r="H4" s="138"/>
      <c r="I4" s="155" t="s">
        <v>87</v>
      </c>
      <c r="J4" s="3"/>
      <c r="K4" s="408"/>
    </row>
    <row r="5" spans="1:11" ht="18" customHeight="1" outlineLevel="1">
      <c r="A5" s="407"/>
      <c r="B5" s="126" t="s">
        <v>9</v>
      </c>
      <c r="C5" s="153" t="e">
        <f>'Revenue Requirement'!#REF!</f>
        <v>#REF!</v>
      </c>
      <c r="D5" s="94"/>
      <c r="F5" s="144" t="str">
        <f>IF('20 Seg Dev'!F5=0," ",'20 Seg Dev'!F5)</f>
        <v xml:space="preserve"> </v>
      </c>
      <c r="G5" s="605" t="s">
        <v>770</v>
      </c>
      <c r="H5" s="138"/>
      <c r="I5" s="141" t="s">
        <v>390</v>
      </c>
      <c r="J5" s="94"/>
      <c r="K5" s="408"/>
    </row>
    <row r="6" spans="1:11" ht="15" outlineLevel="1">
      <c r="A6" s="407"/>
      <c r="B6" s="126" t="s">
        <v>386</v>
      </c>
      <c r="C6" s="93"/>
      <c r="D6" s="94"/>
      <c r="E6" s="157"/>
      <c r="F6" s="157"/>
      <c r="G6" s="158" t="s">
        <v>465</v>
      </c>
      <c r="H6" s="138"/>
      <c r="I6" s="159" t="s">
        <v>387</v>
      </c>
      <c r="J6" s="94"/>
      <c r="K6" s="408"/>
    </row>
    <row r="7" spans="1:11" ht="15" outlineLevel="1">
      <c r="A7" s="407"/>
      <c r="B7" s="126" t="s">
        <v>385</v>
      </c>
      <c r="C7" s="93"/>
      <c r="D7" s="94"/>
      <c r="E7" s="157"/>
      <c r="F7" s="616" t="s">
        <v>469</v>
      </c>
      <c r="G7" s="613" t="s">
        <v>703</v>
      </c>
      <c r="H7" s="138"/>
      <c r="I7" s="140"/>
      <c r="J7" s="94"/>
      <c r="K7" s="408"/>
    </row>
    <row r="8" spans="1:11" ht="15" outlineLevel="1">
      <c r="A8" s="407"/>
      <c r="B8" s="126" t="s">
        <v>281</v>
      </c>
      <c r="C8" s="160">
        <v>2031</v>
      </c>
      <c r="D8" s="94"/>
      <c r="E8" s="92"/>
      <c r="F8" s="92"/>
      <c r="G8" s="157"/>
      <c r="H8" s="223"/>
      <c r="I8" s="92"/>
      <c r="J8" s="92"/>
      <c r="K8" s="408"/>
    </row>
    <row r="9" spans="1:11" ht="15.75" outlineLevel="1" thickBot="1">
      <c r="A9" s="407"/>
      <c r="B9" s="126"/>
      <c r="C9" s="129"/>
      <c r="D9" s="94"/>
      <c r="E9" s="92"/>
      <c r="F9" s="92"/>
      <c r="G9" s="92"/>
      <c r="H9" s="92"/>
      <c r="I9" s="92"/>
      <c r="J9" s="92"/>
      <c r="K9" s="408"/>
    </row>
    <row r="10" spans="1:11" ht="15.75" outlineLevel="1" thickBot="1">
      <c r="A10" s="999"/>
      <c r="B10" s="983"/>
      <c r="C10" s="142"/>
      <c r="D10" s="113"/>
      <c r="E10" s="582" t="s">
        <v>700</v>
      </c>
      <c r="F10" s="113"/>
      <c r="G10" s="621" t="s">
        <v>705</v>
      </c>
      <c r="H10" s="621"/>
      <c r="I10" s="113"/>
      <c r="J10" s="113"/>
      <c r="K10" s="409"/>
    </row>
    <row r="11" spans="1:11" ht="15" outlineLevel="1" thickBot="1">
      <c r="A11" s="136"/>
      <c r="B11" s="94"/>
      <c r="C11" s="94"/>
      <c r="D11" s="94"/>
      <c r="E11" s="94"/>
      <c r="F11" s="94"/>
      <c r="G11" s="94"/>
      <c r="H11" s="94"/>
      <c r="I11" s="94"/>
      <c r="J11" s="94"/>
      <c r="K11" s="95"/>
    </row>
    <row r="12" spans="1:11" ht="29.25" customHeight="1">
      <c r="A12" s="984">
        <f>C8</f>
        <v>2031</v>
      </c>
      <c r="B12" s="985"/>
      <c r="C12" s="985"/>
      <c r="D12" s="161" t="s">
        <v>170</v>
      </c>
      <c r="E12" s="162" t="s">
        <v>171</v>
      </c>
      <c r="F12" s="162" t="s">
        <v>172</v>
      </c>
      <c r="G12" s="162" t="s">
        <v>173</v>
      </c>
      <c r="H12" s="162" t="s">
        <v>174</v>
      </c>
      <c r="I12" s="162" t="s">
        <v>175</v>
      </c>
      <c r="J12" s="162" t="s">
        <v>176</v>
      </c>
      <c r="K12" s="163" t="s">
        <v>177</v>
      </c>
    </row>
    <row r="13" spans="1:11" ht="15.75" thickBot="1">
      <c r="A13" s="165" t="s">
        <v>272</v>
      </c>
      <c r="B13" s="128"/>
      <c r="C13" s="128"/>
      <c r="D13" s="127"/>
      <c r="E13" s="127"/>
      <c r="F13" s="127"/>
      <c r="G13" s="127"/>
      <c r="H13" s="127"/>
      <c r="I13" s="127"/>
      <c r="J13" s="127"/>
      <c r="K13" s="166"/>
    </row>
    <row r="14" spans="1:11" ht="15.75" thickBot="1">
      <c r="A14" s="167" t="s">
        <v>178</v>
      </c>
      <c r="B14" s="168"/>
      <c r="C14" s="168"/>
      <c r="D14" s="169">
        <f>SUM(E14:K14)</f>
        <v>11142775.843514087</v>
      </c>
      <c r="E14" s="578">
        <v>119898.58017928469</v>
      </c>
      <c r="F14" s="579">
        <v>9325975.7893623784</v>
      </c>
      <c r="G14" s="579">
        <v>613344.8770628327</v>
      </c>
      <c r="H14" s="579">
        <v>62928.682928311202</v>
      </c>
      <c r="I14" s="579">
        <v>12332.595643841592</v>
      </c>
      <c r="J14" s="579">
        <v>5268.0926112308707</v>
      </c>
      <c r="K14" s="580">
        <v>1003027.225726208</v>
      </c>
    </row>
    <row r="15" spans="1:11">
      <c r="A15" s="171" t="s">
        <v>237</v>
      </c>
      <c r="B15" s="172"/>
      <c r="C15" s="172"/>
      <c r="D15" s="173">
        <f>SUM(E15:K15)</f>
        <v>1.0000000000000002</v>
      </c>
      <c r="E15" s="174">
        <f>E14/D14</f>
        <v>1.0760207497943564E-2</v>
      </c>
      <c r="F15" s="174">
        <f>F14/D14</f>
        <v>0.83695265168515265</v>
      </c>
      <c r="G15" s="174">
        <f>G14/D14</f>
        <v>5.5044172625965948E-2</v>
      </c>
      <c r="H15" s="174">
        <f>H14/D14</f>
        <v>5.6474871084246318E-3</v>
      </c>
      <c r="I15" s="174">
        <f>I14/D14</f>
        <v>1.1067794791026033E-3</v>
      </c>
      <c r="J15" s="174">
        <f>J14/D14</f>
        <v>4.7278099148851559E-4</v>
      </c>
      <c r="K15" s="175">
        <f>K14/D14</f>
        <v>9.0015920611922151E-2</v>
      </c>
    </row>
    <row r="16" spans="1:11" ht="15" thickBot="1">
      <c r="A16" s="176" t="s">
        <v>81</v>
      </c>
      <c r="B16" s="172"/>
      <c r="C16" s="172"/>
      <c r="D16" s="97"/>
      <c r="E16" s="97"/>
      <c r="F16" s="97"/>
      <c r="G16" s="97"/>
      <c r="H16" s="97"/>
      <c r="I16" s="97"/>
      <c r="J16" s="97"/>
      <c r="K16" s="98"/>
    </row>
    <row r="17" spans="1:12" ht="15" thickBot="1">
      <c r="A17" s="167"/>
      <c r="B17" s="172" t="s">
        <v>499</v>
      </c>
      <c r="C17" s="172"/>
      <c r="D17" s="169" t="e">
        <f>SUM(E17:K17)</f>
        <v>#N/A</v>
      </c>
      <c r="E17" s="100"/>
      <c r="F17" s="597" t="e">
        <f>HLOOKUP($A$12,'Repayment Inputs'!$B$2:$J$24,19,FALSE)</f>
        <v>#N/A</v>
      </c>
      <c r="G17" s="224"/>
      <c r="H17" s="100"/>
      <c r="I17" s="100"/>
      <c r="J17" s="100"/>
      <c r="K17" s="99"/>
    </row>
    <row r="18" spans="1:12" ht="15" thickBot="1">
      <c r="A18" s="167"/>
      <c r="B18" s="172" t="s">
        <v>500</v>
      </c>
      <c r="C18" s="172"/>
      <c r="D18" s="169">
        <f>SUM(E18:K18)</f>
        <v>0</v>
      </c>
      <c r="E18" s="100"/>
      <c r="F18" s="615">
        <f>-(HLOOKUP($A$12,AFUDC!$I$13:$AJ$38,25,FALSE))</f>
        <v>0</v>
      </c>
      <c r="G18" s="100"/>
      <c r="H18" s="100"/>
      <c r="I18" s="100"/>
      <c r="J18" s="100"/>
      <c r="K18" s="99"/>
    </row>
    <row r="19" spans="1:12" ht="15" thickBot="1">
      <c r="A19" s="167"/>
      <c r="B19" s="172" t="s">
        <v>496</v>
      </c>
      <c r="C19" s="172"/>
      <c r="D19" s="169" t="e">
        <f>SUM(E19:K19)</f>
        <v>#N/A</v>
      </c>
      <c r="E19" s="100"/>
      <c r="F19" s="169" t="e">
        <f>SUM(F17:F18)</f>
        <v>#N/A</v>
      </c>
      <c r="G19" s="100"/>
      <c r="H19" s="100"/>
      <c r="I19" s="100"/>
      <c r="J19" s="100"/>
      <c r="K19" s="99"/>
    </row>
    <row r="20" spans="1:12"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2" ht="15.75" thickBot="1">
      <c r="A21" s="179" t="s">
        <v>180</v>
      </c>
      <c r="B21" s="168"/>
      <c r="C21" s="168"/>
      <c r="D21" s="180" t="e">
        <f t="shared" ref="D21:K21" si="0">D20+D19</f>
        <v>#N/A</v>
      </c>
      <c r="E21" s="617" t="e">
        <f t="shared" si="0"/>
        <v>#N/A</v>
      </c>
      <c r="F21" s="618" t="e">
        <f t="shared" si="0"/>
        <v>#N/A</v>
      </c>
      <c r="G21" s="618" t="e">
        <f t="shared" si="0"/>
        <v>#N/A</v>
      </c>
      <c r="H21" s="618" t="e">
        <f t="shared" si="0"/>
        <v>#N/A</v>
      </c>
      <c r="I21" s="618" t="e">
        <f t="shared" si="0"/>
        <v>#N/A</v>
      </c>
      <c r="J21" s="618" t="e">
        <f t="shared" si="0"/>
        <v>#N/A</v>
      </c>
      <c r="K21" s="625" t="e">
        <f t="shared" si="0"/>
        <v>#N/A</v>
      </c>
      <c r="L21" s="286" t="s">
        <v>708</v>
      </c>
    </row>
    <row r="22" spans="1:12" ht="15" thickBot="1">
      <c r="A22" s="176" t="s">
        <v>184</v>
      </c>
      <c r="B22" s="172"/>
      <c r="C22" s="172"/>
      <c r="D22" s="97"/>
      <c r="E22" s="97"/>
      <c r="F22" s="97"/>
      <c r="G22" s="97"/>
      <c r="H22" s="97"/>
      <c r="I22" s="97"/>
      <c r="J22" s="97"/>
      <c r="K22" s="98"/>
    </row>
    <row r="23" spans="1:12" ht="15" thickBot="1">
      <c r="A23" s="167"/>
      <c r="B23" s="172" t="s">
        <v>495</v>
      </c>
      <c r="C23" s="172"/>
      <c r="D23" s="97"/>
      <c r="E23" s="97"/>
      <c r="F23" s="597" t="e">
        <f>HLOOKUP($A$12,'Repayment Inputs'!$A$2:$J$43,38,FALSE)</f>
        <v>#N/A</v>
      </c>
      <c r="G23" s="224"/>
      <c r="H23" s="97"/>
      <c r="I23" s="97"/>
      <c r="J23" s="97"/>
      <c r="K23" s="98"/>
    </row>
    <row r="24" spans="1:12" ht="15" thickBot="1">
      <c r="A24" s="167"/>
      <c r="B24" s="172" t="s">
        <v>496</v>
      </c>
      <c r="C24" s="172"/>
      <c r="D24" s="97"/>
      <c r="E24" s="97"/>
      <c r="F24" s="182" t="e">
        <f>F19</f>
        <v>#N/A</v>
      </c>
      <c r="G24" s="107"/>
      <c r="H24" s="97"/>
      <c r="I24" s="97"/>
      <c r="J24" s="97"/>
      <c r="K24" s="98"/>
    </row>
    <row r="25" spans="1:12" ht="15" thickBot="1">
      <c r="A25" s="167"/>
      <c r="B25" s="172" t="s">
        <v>497</v>
      </c>
      <c r="C25" s="172"/>
      <c r="D25" s="97"/>
      <c r="E25" s="97"/>
      <c r="F25" s="581">
        <v>11286.889087545353</v>
      </c>
      <c r="G25" s="225"/>
      <c r="H25" s="97"/>
      <c r="I25" s="97"/>
      <c r="J25" s="97"/>
      <c r="K25" s="98"/>
    </row>
    <row r="26" spans="1:12" ht="15" thickBot="1">
      <c r="A26" s="167"/>
      <c r="B26" s="172" t="s">
        <v>498</v>
      </c>
      <c r="C26" s="172"/>
      <c r="D26" s="182" t="e">
        <f>F26</f>
        <v>#N/A</v>
      </c>
      <c r="E26" s="97"/>
      <c r="F26" s="182" t="e">
        <f>F23-F24-F25</f>
        <v>#N/A</v>
      </c>
      <c r="G26" s="107"/>
      <c r="H26" s="97"/>
      <c r="I26" s="97"/>
      <c r="J26" s="97"/>
      <c r="K26" s="98"/>
    </row>
    <row r="27" spans="1:12" ht="15" thickBot="1">
      <c r="A27" s="185" t="s">
        <v>481</v>
      </c>
      <c r="B27" s="172"/>
      <c r="C27" s="172"/>
      <c r="D27" s="596"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2" ht="15.75" thickBot="1">
      <c r="A28" s="179" t="s">
        <v>185</v>
      </c>
      <c r="B28" s="172"/>
      <c r="C28" s="172"/>
      <c r="D28" s="180" t="e">
        <f>D27+D26</f>
        <v>#N/A</v>
      </c>
      <c r="E28" s="617" t="e">
        <f t="shared" ref="E28:K28" si="1">E27+E26</f>
        <v>#N/A</v>
      </c>
      <c r="F28" s="618" t="e">
        <f t="shared" si="1"/>
        <v>#N/A</v>
      </c>
      <c r="G28" s="618" t="e">
        <f t="shared" si="1"/>
        <v>#N/A</v>
      </c>
      <c r="H28" s="618" t="e">
        <f t="shared" si="1"/>
        <v>#N/A</v>
      </c>
      <c r="I28" s="618" t="e">
        <f t="shared" si="1"/>
        <v>#N/A</v>
      </c>
      <c r="J28" s="618" t="e">
        <f t="shared" si="1"/>
        <v>#N/A</v>
      </c>
      <c r="K28" s="625" t="e">
        <f t="shared" si="1"/>
        <v>#N/A</v>
      </c>
      <c r="L28" s="286" t="s">
        <v>708</v>
      </c>
    </row>
    <row r="29" spans="1:12" ht="15.75" thickBot="1">
      <c r="A29" s="176" t="s">
        <v>189</v>
      </c>
      <c r="B29" s="172"/>
      <c r="C29" s="172"/>
      <c r="D29" s="122"/>
      <c r="E29" s="122"/>
      <c r="F29" s="122"/>
      <c r="G29" s="122"/>
      <c r="H29" s="122"/>
      <c r="I29" s="122"/>
      <c r="J29" s="122"/>
      <c r="K29" s="121"/>
    </row>
    <row r="30" spans="1:12" ht="15" thickBot="1">
      <c r="A30" s="186" t="s">
        <v>550</v>
      </c>
      <c r="B30" s="172"/>
      <c r="C30" s="172"/>
      <c r="D30" s="169">
        <f>SUM(E30:K30)</f>
        <v>380613.04538600001</v>
      </c>
      <c r="E30" s="583">
        <v>4807</v>
      </c>
      <c r="F30" s="584">
        <v>316175.04538600001</v>
      </c>
      <c r="G30" s="584">
        <v>27899</v>
      </c>
      <c r="H30" s="584">
        <v>3349</v>
      </c>
      <c r="I30" s="584">
        <v>448</v>
      </c>
      <c r="J30" s="584">
        <v>188</v>
      </c>
      <c r="K30" s="585">
        <v>27747</v>
      </c>
    </row>
    <row r="31" spans="1:12" ht="15" thickBot="1">
      <c r="A31" s="186" t="s">
        <v>186</v>
      </c>
      <c r="B31" s="172"/>
      <c r="C31" s="172"/>
      <c r="D31" s="188" t="e">
        <f>SUM(E31:K31)</f>
        <v>#REF!</v>
      </c>
      <c r="E31" s="189" t="e">
        <f>E49/D49</f>
        <v>#REF!</v>
      </c>
      <c r="F31" s="189" t="e">
        <f>F49/D49</f>
        <v>#REF!</v>
      </c>
      <c r="G31" s="189" t="e">
        <f>G49/D49</f>
        <v>#REF!</v>
      </c>
      <c r="H31" s="189" t="e">
        <f>H49/D49</f>
        <v>#REF!</v>
      </c>
      <c r="I31" s="189" t="e">
        <f>I49/D49</f>
        <v>#REF!</v>
      </c>
      <c r="J31" s="189" t="e">
        <f>J49/D49</f>
        <v>#REF!</v>
      </c>
      <c r="K31" s="190" t="e">
        <f>K49/D49</f>
        <v>#REF!</v>
      </c>
    </row>
    <row r="32" spans="1:12" ht="15" thickBot="1">
      <c r="A32" s="186" t="s">
        <v>187</v>
      </c>
      <c r="B32" s="172"/>
      <c r="C32" s="172"/>
      <c r="D32" s="586">
        <v>119011.19170338643</v>
      </c>
      <c r="E32" s="169" t="e">
        <f>D32*E31</f>
        <v>#REF!</v>
      </c>
      <c r="F32" s="169" t="e">
        <f>D32*F31</f>
        <v>#REF!</v>
      </c>
      <c r="G32" s="169" t="e">
        <f>D32*G31</f>
        <v>#REF!</v>
      </c>
      <c r="H32" s="169" t="e">
        <f>D32*H31</f>
        <v>#REF!</v>
      </c>
      <c r="I32" s="169" t="e">
        <f>D32*I31</f>
        <v>#REF!</v>
      </c>
      <c r="J32" s="169" t="e">
        <f>D32*J31</f>
        <v>#REF!</v>
      </c>
      <c r="K32" s="178" t="e">
        <f>D32*K31</f>
        <v>#REF!</v>
      </c>
    </row>
    <row r="33" spans="1:12" ht="15.75" thickBot="1">
      <c r="A33" s="179" t="s">
        <v>188</v>
      </c>
      <c r="B33" s="172"/>
      <c r="C33" s="172"/>
      <c r="D33" s="180" t="e">
        <f>SUM(E33:K33)</f>
        <v>#REF!</v>
      </c>
      <c r="E33" s="617" t="e">
        <f t="shared" ref="E33:K33" si="2">E32+E30</f>
        <v>#REF!</v>
      </c>
      <c r="F33" s="618" t="e">
        <f>F32+F30</f>
        <v>#REF!</v>
      </c>
      <c r="G33" s="618" t="e">
        <f>G32+G30</f>
        <v>#REF!</v>
      </c>
      <c r="H33" s="618" t="e">
        <f t="shared" si="2"/>
        <v>#REF!</v>
      </c>
      <c r="I33" s="618" t="e">
        <f t="shared" si="2"/>
        <v>#REF!</v>
      </c>
      <c r="J33" s="618" t="e">
        <f t="shared" si="2"/>
        <v>#REF!</v>
      </c>
      <c r="K33" s="625" t="e">
        <f t="shared" si="2"/>
        <v>#REF!</v>
      </c>
      <c r="L33" s="286" t="s">
        <v>708</v>
      </c>
    </row>
    <row r="34" spans="1:12" ht="9" customHeight="1">
      <c r="A34" s="167"/>
      <c r="B34" s="172"/>
      <c r="C34" s="172"/>
      <c r="D34" s="97"/>
      <c r="E34" s="97"/>
      <c r="F34" s="97"/>
      <c r="G34" s="97"/>
      <c r="H34" s="97"/>
      <c r="I34" s="97"/>
      <c r="J34" s="97"/>
      <c r="K34" s="98"/>
    </row>
    <row r="35" spans="1:12" ht="15">
      <c r="A35" s="165" t="s">
        <v>236</v>
      </c>
      <c r="B35" s="172"/>
      <c r="C35" s="172"/>
      <c r="D35" s="97"/>
      <c r="E35" s="97"/>
      <c r="F35" s="97"/>
      <c r="G35" s="97"/>
      <c r="H35" s="97"/>
      <c r="I35" s="97"/>
      <c r="J35" s="97"/>
      <c r="K35" s="98"/>
    </row>
    <row r="36" spans="1:12" ht="15" thickBot="1">
      <c r="A36" s="191" t="s">
        <v>520</v>
      </c>
      <c r="B36" s="172"/>
      <c r="C36" s="172"/>
      <c r="D36" s="97"/>
      <c r="E36" s="97"/>
      <c r="F36" s="97"/>
      <c r="G36" s="97"/>
      <c r="H36" s="97"/>
      <c r="I36" s="97"/>
      <c r="J36" s="97"/>
      <c r="K36" s="98"/>
    </row>
    <row r="37" spans="1:12">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2"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2" ht="15">
      <c r="A39" s="195" t="s">
        <v>301</v>
      </c>
      <c r="B39" s="168"/>
      <c r="C39" s="168"/>
      <c r="D39" s="193">
        <f>SUM(D37:D38)</f>
        <v>192019.62406142859</v>
      </c>
      <c r="E39" s="97"/>
      <c r="F39" s="97"/>
      <c r="G39" s="97"/>
      <c r="H39" s="97"/>
      <c r="I39" s="97"/>
      <c r="J39" s="97"/>
      <c r="K39" s="98"/>
    </row>
    <row r="40" spans="1:12" ht="15" thickBot="1">
      <c r="A40" s="196" t="s">
        <v>239</v>
      </c>
      <c r="B40" s="172"/>
      <c r="C40" s="172"/>
      <c r="D40" s="97"/>
      <c r="E40" s="97"/>
      <c r="F40" s="97"/>
      <c r="G40" s="97"/>
      <c r="H40" s="97"/>
      <c r="I40" s="97"/>
      <c r="J40" s="97"/>
      <c r="K40" s="98"/>
    </row>
    <row r="41" spans="1:12" ht="15" thickBot="1">
      <c r="A41" s="185" t="s">
        <v>240</v>
      </c>
      <c r="B41" s="172"/>
      <c r="C41" s="172"/>
      <c r="D41" s="606" t="e">
        <f>'Expense Input File'!#REF!+'Expense Input File'!#REF!+'Expense Input File'!#REF!+'Expense Input File'!#REF!</f>
        <v>#REF!</v>
      </c>
      <c r="E41" s="97"/>
      <c r="F41" s="606" t="e">
        <f>(HLOOKUP($A$12,'Expense Input File'!$A$27:$L$70,33,FALSE))</f>
        <v>#N/A</v>
      </c>
      <c r="G41" s="97"/>
      <c r="H41" s="97"/>
      <c r="I41" s="97"/>
      <c r="J41" s="97"/>
      <c r="K41" s="606" t="e">
        <f>SUM('Expense Input File'!#REF!,'Expense Input File'!#REF!)</f>
        <v>#REF!</v>
      </c>
    </row>
    <row r="42" spans="1:12" ht="15" thickBot="1">
      <c r="A42" s="185" t="s">
        <v>241</v>
      </c>
      <c r="B42" s="172"/>
      <c r="C42" s="172"/>
      <c r="D42" s="606" t="e">
        <f>HLOOKUP($A$12,'Expense Input File'!$B$14:$L$24,4,FALSE)</f>
        <v>#N/A</v>
      </c>
      <c r="E42" s="97"/>
      <c r="F42" s="97"/>
      <c r="G42" s="97"/>
      <c r="H42" s="97"/>
      <c r="I42" s="97"/>
      <c r="J42" s="97"/>
      <c r="K42" s="98"/>
    </row>
    <row r="43" spans="1:12" ht="5.25" customHeight="1">
      <c r="A43" s="185"/>
      <c r="B43" s="172"/>
      <c r="C43" s="172"/>
      <c r="D43" s="100"/>
      <c r="E43" s="97"/>
      <c r="F43" s="97"/>
      <c r="G43" s="97"/>
      <c r="H43" s="97"/>
      <c r="I43" s="97"/>
      <c r="J43" s="97"/>
      <c r="K43" s="98"/>
    </row>
    <row r="44" spans="1:12">
      <c r="A44" s="199" t="s">
        <v>266</v>
      </c>
      <c r="B44" s="172"/>
      <c r="C44" s="172"/>
      <c r="D44" s="182" t="e">
        <f>SUM(D41:D42)</f>
        <v>#REF!</v>
      </c>
      <c r="E44" s="97"/>
      <c r="F44" s="97"/>
      <c r="G44" s="97"/>
      <c r="H44" s="97"/>
      <c r="I44" s="97"/>
      <c r="J44" s="97"/>
      <c r="K44" s="98"/>
    </row>
    <row r="45" spans="1:12">
      <c r="A45" s="200" t="s">
        <v>267</v>
      </c>
      <c r="B45" s="172"/>
      <c r="C45" s="172"/>
      <c r="D45" s="182" t="e">
        <f>D44-D46</f>
        <v>#REF!</v>
      </c>
      <c r="E45" s="226" t="e">
        <f>(E37/D37)*D45</f>
        <v>#REF!</v>
      </c>
      <c r="F45" s="182" t="e">
        <f>(F37/D37)*D45</f>
        <v>#REF!</v>
      </c>
      <c r="G45" s="182" t="e">
        <f>(G37/D37)*D45</f>
        <v>#REF!</v>
      </c>
      <c r="H45" s="182" t="e">
        <f>(H37/D37)*D45</f>
        <v>#REF!</v>
      </c>
      <c r="I45" s="182" t="e">
        <f>(I37/D37)*D45</f>
        <v>#REF!</v>
      </c>
      <c r="J45" s="182" t="e">
        <f>(J37/D37)*D45</f>
        <v>#REF!</v>
      </c>
      <c r="K45" s="98"/>
    </row>
    <row r="46" spans="1:12">
      <c r="A46" s="200" t="s">
        <v>269</v>
      </c>
      <c r="B46" s="172"/>
      <c r="C46" s="172"/>
      <c r="D46" s="169" t="e">
        <f>((D38/D39)*D44)</f>
        <v>#REF!</v>
      </c>
      <c r="E46" s="226" t="e">
        <f>(E38/D38)*D46</f>
        <v>#REF!</v>
      </c>
      <c r="F46" s="182" t="e">
        <f>(F38/D38)*D46</f>
        <v>#REF!</v>
      </c>
      <c r="G46" s="182" t="e">
        <f>(G38/D38)*D46</f>
        <v>#REF!</v>
      </c>
      <c r="H46" s="182" t="e">
        <f>(H38/D38)*D46</f>
        <v>#REF!</v>
      </c>
      <c r="I46" s="182" t="e">
        <f>(I38/D38)*D46</f>
        <v>#REF!</v>
      </c>
      <c r="J46" s="182" t="e">
        <f>(J38/D38)*D46</f>
        <v>#REF!</v>
      </c>
      <c r="K46" s="98"/>
    </row>
    <row r="47" spans="1:12" ht="15.75" thickBot="1">
      <c r="A47" s="202" t="s">
        <v>268</v>
      </c>
      <c r="B47" s="168"/>
      <c r="C47" s="168"/>
      <c r="D47" s="182" t="e">
        <f>SUM(E47:J47)</f>
        <v>#REF!</v>
      </c>
      <c r="E47" s="182" t="e">
        <f t="shared" ref="E47:J47" si="3">SUM(E45:E46)</f>
        <v>#REF!</v>
      </c>
      <c r="F47" s="182" t="e">
        <f t="shared" si="3"/>
        <v>#REF!</v>
      </c>
      <c r="G47" s="182" t="e">
        <f t="shared" si="3"/>
        <v>#REF!</v>
      </c>
      <c r="H47" s="182" t="e">
        <f t="shared" si="3"/>
        <v>#REF!</v>
      </c>
      <c r="I47" s="182" t="e">
        <f t="shared" si="3"/>
        <v>#REF!</v>
      </c>
      <c r="J47" s="182" t="e">
        <f t="shared" si="3"/>
        <v>#REF!</v>
      </c>
      <c r="K47" s="98"/>
    </row>
    <row r="48" spans="1:12" ht="15" thickBot="1">
      <c r="A48" s="203" t="s">
        <v>25</v>
      </c>
      <c r="B48" s="172"/>
      <c r="C48" s="172"/>
      <c r="D48" s="204" t="e">
        <f>K48</f>
        <v>#REF!</v>
      </c>
      <c r="E48" s="119"/>
      <c r="F48" s="119"/>
      <c r="G48" s="119"/>
      <c r="H48" s="119"/>
      <c r="I48" s="119"/>
      <c r="J48" s="119"/>
      <c r="K48" s="607" t="e">
        <f>SUM('Expense Input File'!#REF!)</f>
        <v>#REF!</v>
      </c>
    </row>
    <row r="49" spans="1:12" ht="15.75" thickBot="1">
      <c r="A49" s="206" t="s">
        <v>270</v>
      </c>
      <c r="B49" s="168"/>
      <c r="C49" s="168"/>
      <c r="D49" s="180" t="e">
        <f>SUM(E49:K49)</f>
        <v>#REF!</v>
      </c>
      <c r="E49" s="180" t="e">
        <f t="shared" ref="E49:J49" si="4">E47</f>
        <v>#REF!</v>
      </c>
      <c r="F49" s="180" t="e">
        <f>F47+F41</f>
        <v>#REF!</v>
      </c>
      <c r="G49" s="180" t="e">
        <f t="shared" si="4"/>
        <v>#REF!</v>
      </c>
      <c r="H49" s="180" t="e">
        <f t="shared" si="4"/>
        <v>#REF!</v>
      </c>
      <c r="I49" s="180" t="e">
        <f t="shared" si="4"/>
        <v>#REF!</v>
      </c>
      <c r="J49" s="180" t="e">
        <f t="shared" si="4"/>
        <v>#REF!</v>
      </c>
      <c r="K49" s="625" t="e">
        <f>K48+K41</f>
        <v>#REF!</v>
      </c>
      <c r="L49" s="286" t="s">
        <v>707</v>
      </c>
    </row>
    <row r="50" spans="1:12" ht="15" thickBot="1">
      <c r="A50" s="196" t="s">
        <v>271</v>
      </c>
      <c r="B50" s="172"/>
      <c r="C50" s="172"/>
      <c r="D50" s="97"/>
      <c r="E50" s="97"/>
      <c r="F50" s="97"/>
      <c r="G50" s="97"/>
      <c r="H50" s="97"/>
      <c r="I50" s="97"/>
      <c r="J50" s="97"/>
      <c r="K50" s="98"/>
    </row>
    <row r="51" spans="1:12" ht="15" thickBot="1">
      <c r="A51" s="207" t="s">
        <v>46</v>
      </c>
      <c r="B51" s="172"/>
      <c r="C51" s="172"/>
      <c r="D51" s="607" t="e">
        <f>SUM((HLOOKUP($A$12,'Expense Input File'!$A$27:$L$70,10,FALSE)),(HLOOKUP($A$12,'Expense Input File'!$A$27:$L$70,11,FALSE)),(HLOOKUP($A$12,'Expense Input File'!$A$27:$L$70,12,FALSE)),(HLOOKUP($A$12,'Expense Input File'!$A$27:$L$70,13,FALSE)))</f>
        <v>#N/A</v>
      </c>
      <c r="E51" s="169" t="e">
        <f>(E49/D49)*D51</f>
        <v>#REF!</v>
      </c>
      <c r="F51" s="169" t="e">
        <f>(F49/D49)*D51</f>
        <v>#REF!</v>
      </c>
      <c r="G51" s="169" t="e">
        <f>(G49/D49)*D51</f>
        <v>#REF!</v>
      </c>
      <c r="H51" s="169" t="e">
        <f>(H49/D49)*D51</f>
        <v>#REF!</v>
      </c>
      <c r="I51" s="169" t="e">
        <f>(I49/D49)*D51</f>
        <v>#REF!</v>
      </c>
      <c r="J51" s="169" t="e">
        <f>(J49/D49)*D51</f>
        <v>#REF!</v>
      </c>
      <c r="K51" s="623" t="e">
        <f>(K49/D49)*D51</f>
        <v>#REF!</v>
      </c>
      <c r="L51" s="286" t="s">
        <v>707</v>
      </c>
    </row>
    <row r="52" spans="1:12" ht="15" thickBot="1">
      <c r="A52" s="207" t="s">
        <v>47</v>
      </c>
      <c r="B52" s="172"/>
      <c r="C52" s="172"/>
      <c r="D52" s="608" t="e">
        <f>SUM('Expense Input File'!#REF!)</f>
        <v>#REF!</v>
      </c>
      <c r="E52" s="169" t="e">
        <f>(E49/D49)*D52</f>
        <v>#REF!</v>
      </c>
      <c r="F52" s="169" t="e">
        <f>(F49/D49)*D52</f>
        <v>#REF!</v>
      </c>
      <c r="G52" s="169" t="e">
        <f>(G49/D49)*D52</f>
        <v>#REF!</v>
      </c>
      <c r="H52" s="169" t="e">
        <f>(H49/D49)*D52</f>
        <v>#REF!</v>
      </c>
      <c r="I52" s="169" t="e">
        <f>(I49/D49)*D52</f>
        <v>#REF!</v>
      </c>
      <c r="J52" s="169" t="e">
        <f>(J49/D49)*D52</f>
        <v>#REF!</v>
      </c>
      <c r="K52" s="626" t="e">
        <f>(K49/D49)*D52</f>
        <v>#REF!</v>
      </c>
      <c r="L52" s="286" t="s">
        <v>707</v>
      </c>
    </row>
    <row r="53" spans="1:12" ht="15" thickBot="1">
      <c r="A53" s="207" t="s">
        <v>273</v>
      </c>
      <c r="B53" s="172"/>
      <c r="C53" s="172"/>
      <c r="D53" s="608" t="e">
        <f>HLOOKUP($A$12,'Expense Input File'!$B$14:$L$24,3,FALSE)</f>
        <v>#N/A</v>
      </c>
      <c r="E53" s="610" t="e">
        <f>(E49/D49)*(D53-(HLOOKUP($A$12,'Expense Input File'!$A$14:$L$24,10,FALSE)))</f>
        <v>#REF!</v>
      </c>
      <c r="F53" s="591" t="e">
        <f>(F49/D49)*(D53-(HLOOKUP($A$12,'Expense Input File'!$A$14:$L$24,10,FALSE)))</f>
        <v>#REF!</v>
      </c>
      <c r="G53" s="611" t="e">
        <f>(G49/D49)*(D53-(HLOOKUP($A$12,'Expense Input File'!$A$14:$L$24,10,FALSE)))</f>
        <v>#REF!</v>
      </c>
      <c r="H53" s="611" t="e">
        <f>(H49/D49)*(D53-(HLOOKUP($A$12,'Expense Input File'!$A$14:$L$24,10,FALSE)))</f>
        <v>#REF!</v>
      </c>
      <c r="I53" s="611" t="e">
        <f>(I49/D49)*(D53-(HLOOKUP($A$12,'Expense Input File'!$A$14:$L$24,10,FALSE)))</f>
        <v>#REF!</v>
      </c>
      <c r="J53" s="591" t="e">
        <f>(J49/D49)*(D53-(HLOOKUP($A$12,'Expense Input File'!$A$14:$L$24,10,FALSE)))</f>
        <v>#REF!</v>
      </c>
      <c r="K53" s="628" t="e">
        <f>((K49/D49)*(D53-(HLOOKUP($A$12,'Expense Input File'!$A$14:$L$24,10,FALSE))))+(HLOOKUP($A$12,'Expense Input File'!$A$14:$L$24,10,FALSE))</f>
        <v>#REF!</v>
      </c>
      <c r="L53" s="286" t="s">
        <v>707</v>
      </c>
    </row>
    <row r="54" spans="1:12" ht="15" thickBot="1">
      <c r="A54" s="207" t="s">
        <v>292</v>
      </c>
      <c r="B54" s="172"/>
      <c r="C54" s="172"/>
      <c r="D54" s="609" t="e">
        <f>SUM((HLOOKUP($A$12,'Expense Input File'!$A$14:$L$24,7,FALSE)),(HLOOKUP($A$12,'Expense Input File'!$A$14:$L$24,8,FALSE)))</f>
        <v>#N/A</v>
      </c>
      <c r="E54" s="209" t="e">
        <f>(E49/D49)*D54</f>
        <v>#REF!</v>
      </c>
      <c r="F54" s="209" t="e">
        <f>(F49/D49)*D54</f>
        <v>#REF!</v>
      </c>
      <c r="G54" s="209" t="e">
        <f>(G49/D49)*D54</f>
        <v>#REF!</v>
      </c>
      <c r="H54" s="209" t="e">
        <f>(H49/D49)*D54</f>
        <v>#REF!</v>
      </c>
      <c r="I54" s="209" t="e">
        <f>(I49/D49)*D54</f>
        <v>#REF!</v>
      </c>
      <c r="J54" s="209" t="e">
        <f>(J49/D49)*D54</f>
        <v>#REF!</v>
      </c>
      <c r="K54" s="627" t="e">
        <f>(K49/D49)*D54</f>
        <v>#REF!</v>
      </c>
      <c r="L54" s="286" t="s">
        <v>707</v>
      </c>
    </row>
    <row r="55" spans="1:12" ht="15.75" thickBot="1">
      <c r="A55" s="211" t="s">
        <v>290</v>
      </c>
      <c r="B55" s="172"/>
      <c r="C55" s="172"/>
      <c r="D55" s="180" t="e">
        <f>SUM(D51:D54)</f>
        <v>#N/A</v>
      </c>
      <c r="E55" s="180" t="e">
        <f t="shared" ref="E55:J55" si="5">SUM(E51:E54)</f>
        <v>#REF!</v>
      </c>
      <c r="F55" s="180" t="e">
        <f t="shared" si="5"/>
        <v>#REF!</v>
      </c>
      <c r="G55" s="180" t="e">
        <f t="shared" si="5"/>
        <v>#REF!</v>
      </c>
      <c r="H55" s="180" t="e">
        <f t="shared" si="5"/>
        <v>#REF!</v>
      </c>
      <c r="I55" s="180" t="e">
        <f t="shared" si="5"/>
        <v>#REF!</v>
      </c>
      <c r="J55" s="180" t="e">
        <f t="shared" si="5"/>
        <v>#REF!</v>
      </c>
      <c r="K55" s="625" t="e">
        <f>SUM(K51:K54)</f>
        <v>#REF!</v>
      </c>
      <c r="L55" s="286" t="s">
        <v>707</v>
      </c>
    </row>
    <row r="56" spans="1:12" ht="15.75" thickBot="1">
      <c r="A56" s="165" t="s">
        <v>262</v>
      </c>
      <c r="B56" s="172"/>
      <c r="C56" s="172"/>
      <c r="D56" s="180" t="e">
        <f t="shared" ref="D56:K56" si="6">D55+D49</f>
        <v>#N/A</v>
      </c>
      <c r="E56" s="617" t="e">
        <f t="shared" si="6"/>
        <v>#REF!</v>
      </c>
      <c r="F56" s="618" t="e">
        <f t="shared" si="6"/>
        <v>#REF!</v>
      </c>
      <c r="G56" s="618" t="e">
        <f t="shared" si="6"/>
        <v>#REF!</v>
      </c>
      <c r="H56" s="618" t="e">
        <f t="shared" si="6"/>
        <v>#REF!</v>
      </c>
      <c r="I56" s="618" t="e">
        <f t="shared" si="6"/>
        <v>#REF!</v>
      </c>
      <c r="J56" s="618" t="e">
        <f t="shared" si="6"/>
        <v>#REF!</v>
      </c>
      <c r="K56" s="619" t="e">
        <f t="shared" si="6"/>
        <v>#REF!</v>
      </c>
      <c r="L56" s="286" t="s">
        <v>704</v>
      </c>
    </row>
    <row r="57" spans="1:12">
      <c r="A57" s="212" t="s">
        <v>177</v>
      </c>
      <c r="B57" s="172"/>
      <c r="C57" s="172"/>
      <c r="D57" s="97"/>
      <c r="E57" s="97"/>
      <c r="F57" s="97"/>
      <c r="G57" s="97"/>
      <c r="H57" s="97"/>
      <c r="I57" s="97"/>
      <c r="J57" s="97"/>
      <c r="K57" s="98"/>
    </row>
    <row r="58" spans="1:12" ht="15" thickBot="1">
      <c r="A58" s="185" t="s">
        <v>278</v>
      </c>
      <c r="B58" s="172"/>
      <c r="C58" s="172"/>
      <c r="D58" s="100"/>
      <c r="E58" s="97"/>
      <c r="F58" s="97"/>
      <c r="G58" s="97"/>
      <c r="H58" s="97"/>
      <c r="I58" s="97"/>
      <c r="J58" s="97"/>
      <c r="K58" s="98"/>
    </row>
    <row r="59" spans="1:12" ht="15">
      <c r="A59" s="185" t="s">
        <v>276</v>
      </c>
      <c r="B59" s="172"/>
      <c r="C59" s="172"/>
      <c r="D59" s="607" t="e">
        <f>(HLOOKUP($A$12,'Expense Input File'!$A$27:$L$91,48,FALSE))</f>
        <v>#N/A</v>
      </c>
      <c r="E59" s="100"/>
      <c r="F59" s="213">
        <v>440.59305210918109</v>
      </c>
      <c r="G59" s="100"/>
      <c r="H59" s="100"/>
      <c r="I59" s="213">
        <v>265.40694789081886</v>
      </c>
      <c r="J59" s="100"/>
      <c r="K59" s="98"/>
    </row>
    <row r="60" spans="1:12">
      <c r="A60" s="185" t="s">
        <v>277</v>
      </c>
      <c r="B60" s="172"/>
      <c r="C60" s="172"/>
      <c r="D60" s="608" t="e">
        <f>(HLOOKUP($A$12,'Expense Input File'!$A$27:$L$91,49,FALSE))</f>
        <v>#N/A</v>
      </c>
      <c r="E60" s="100"/>
      <c r="F60" s="97"/>
      <c r="G60" s="182" t="e">
        <f>D60</f>
        <v>#N/A</v>
      </c>
      <c r="H60" s="97"/>
      <c r="I60" s="97"/>
      <c r="J60" s="97"/>
      <c r="K60" s="98"/>
    </row>
    <row r="61" spans="1:12" ht="15" thickBot="1">
      <c r="A61" s="185" t="s">
        <v>275</v>
      </c>
      <c r="B61" s="172"/>
      <c r="C61" s="172"/>
      <c r="D61" s="608" t="e">
        <f>(HLOOKUP($A$12,'Expense Input File'!$A$27:$L$91,52,FALSE))</f>
        <v>#N/A</v>
      </c>
      <c r="E61" s="100"/>
      <c r="F61" s="182" t="e">
        <f>D61</f>
        <v>#N/A</v>
      </c>
      <c r="G61" s="97"/>
      <c r="H61" s="97"/>
      <c r="I61" s="97"/>
      <c r="J61" s="97"/>
      <c r="K61" s="98"/>
    </row>
    <row r="62" spans="1:12" ht="15.75" thickBot="1">
      <c r="A62" s="185" t="s">
        <v>469</v>
      </c>
      <c r="B62" s="172"/>
      <c r="C62" s="172"/>
      <c r="D62" s="608" t="e">
        <f>(HLOOKUP($A$12,'Expense Input File'!$A$27:$L$91,50,FALSE))</f>
        <v>#N/A</v>
      </c>
      <c r="E62" s="100"/>
      <c r="F62" s="614" t="e">
        <f>$D$62*0.397156801</f>
        <v>#N/A</v>
      </c>
      <c r="G62" s="614" t="e">
        <f>$D$62*0.602844218</f>
        <v>#N/A</v>
      </c>
      <c r="H62" s="97"/>
      <c r="I62" s="97"/>
      <c r="J62" s="97"/>
      <c r="K62" s="98"/>
    </row>
    <row r="63" spans="1:12" ht="15" thickBot="1">
      <c r="A63" s="185" t="s">
        <v>274</v>
      </c>
      <c r="B63" s="172"/>
      <c r="C63" s="172"/>
      <c r="D63" s="609" t="e">
        <f>HLOOKUP($A$12,'Expense Input File'!$B$27:$L$91,53,FALSE)</f>
        <v>#N/A</v>
      </c>
      <c r="E63" s="169" t="e">
        <f>(E38/D38)*D63</f>
        <v>#N/A</v>
      </c>
      <c r="F63" s="169" t="e">
        <f>(F38/D38)*D63</f>
        <v>#N/A</v>
      </c>
      <c r="G63" s="169" t="e">
        <f>(G38/D38)*D63</f>
        <v>#N/A</v>
      </c>
      <c r="H63" s="169" t="e">
        <f>(H38/D38)*D63</f>
        <v>#N/A</v>
      </c>
      <c r="I63" s="169" t="e">
        <f>(I38/D38)*D63</f>
        <v>#N/A</v>
      </c>
      <c r="J63" s="169" t="e">
        <f>(J38/D38)*D63</f>
        <v>#N/A</v>
      </c>
      <c r="K63" s="98"/>
    </row>
    <row r="64" spans="1:12" ht="15.75" thickBot="1">
      <c r="A64" s="185" t="s">
        <v>263</v>
      </c>
      <c r="B64" s="168"/>
      <c r="C64" s="172"/>
      <c r="D64" s="404" t="e">
        <f>K64</f>
        <v>#N/A</v>
      </c>
      <c r="E64" s="100"/>
      <c r="F64" s="97"/>
      <c r="G64" s="97"/>
      <c r="H64" s="97"/>
      <c r="I64" s="97"/>
      <c r="J64" s="97"/>
      <c r="K64" s="588" t="e">
        <f>HLOOKUP($A$12,'Expense Input File'!$A$27:$L$91,46,FALSE)</f>
        <v>#N/A</v>
      </c>
    </row>
    <row r="65" spans="1:12" ht="15">
      <c r="A65" s="185" t="s">
        <v>665</v>
      </c>
      <c r="B65" s="168"/>
      <c r="C65" s="172"/>
      <c r="D65" s="404" t="e">
        <f>K65</f>
        <v>#N/A</v>
      </c>
      <c r="E65" s="100"/>
      <c r="F65" s="100"/>
      <c r="G65" s="100"/>
      <c r="H65" s="100"/>
      <c r="I65" s="100"/>
      <c r="J65" s="100"/>
      <c r="K65" s="99" t="e">
        <f>HLOOKUP($A$12,'Expense Input File'!$H$14:$L$107,MATCH($A$65,'Expense Input File'!$B$14:$B$107,0),0)</f>
        <v>#N/A</v>
      </c>
    </row>
    <row r="66" spans="1:12" ht="15">
      <c r="A66" s="179" t="s">
        <v>288</v>
      </c>
      <c r="B66" s="172"/>
      <c r="C66" s="172"/>
      <c r="D66" s="405" t="e">
        <f>SUM(D59:D65)</f>
        <v>#N/A</v>
      </c>
      <c r="E66" s="405" t="e">
        <f t="shared" ref="E66:K66" si="7">SUM(E59:E65)</f>
        <v>#N/A</v>
      </c>
      <c r="F66" s="405" t="e">
        <f t="shared" si="7"/>
        <v>#N/A</v>
      </c>
      <c r="G66" s="405" t="e">
        <f t="shared" si="7"/>
        <v>#N/A</v>
      </c>
      <c r="H66" s="405" t="e">
        <f t="shared" si="7"/>
        <v>#N/A</v>
      </c>
      <c r="I66" s="405" t="e">
        <f t="shared" si="7"/>
        <v>#N/A</v>
      </c>
      <c r="J66" s="405" t="e">
        <f t="shared" si="7"/>
        <v>#N/A</v>
      </c>
      <c r="K66" s="406" t="e">
        <f t="shared" si="7"/>
        <v>#N/A</v>
      </c>
    </row>
    <row r="67" spans="1:12" ht="15" thickBot="1">
      <c r="A67" s="185" t="s">
        <v>279</v>
      </c>
      <c r="B67" s="172"/>
      <c r="C67" s="172"/>
      <c r="D67" s="97"/>
      <c r="E67" s="100"/>
      <c r="F67" s="97"/>
      <c r="G67" s="97"/>
      <c r="H67" s="97"/>
      <c r="I67" s="97"/>
      <c r="J67" s="97"/>
      <c r="K67" s="98"/>
    </row>
    <row r="68" spans="1:12" ht="15" thickBot="1">
      <c r="A68" s="185" t="s">
        <v>42</v>
      </c>
      <c r="B68" s="172"/>
      <c r="C68" s="172"/>
      <c r="D68" s="169" t="e">
        <f>SUM(E68:K68)</f>
        <v>#N/A</v>
      </c>
      <c r="E68" s="610" t="e">
        <f>(HLOOKUP($A$12,'Expense Input File'!$B$71:$L$93,22,FALSE))*E15</f>
        <v>#N/A</v>
      </c>
      <c r="F68" s="611" t="e">
        <f>(HLOOKUP($A$12,'Expense Input File'!$B$71:$L$93,22,FALSE))*F15</f>
        <v>#N/A</v>
      </c>
      <c r="G68" s="611" t="e">
        <f>(HLOOKUP($A$12,'Expense Input File'!$B$71:$L$93,22,FALSE))*G15</f>
        <v>#N/A</v>
      </c>
      <c r="H68" s="611" t="e">
        <f>(HLOOKUP($A$12,'Expense Input File'!$B$71:$L$93,22,FALSE))*H15</f>
        <v>#N/A</v>
      </c>
      <c r="I68" s="611" t="e">
        <f>(HLOOKUP($A$12,'Expense Input File'!$B$71:$L$93,22,FALSE))*I15</f>
        <v>#N/A</v>
      </c>
      <c r="J68" s="591" t="e">
        <f>(HLOOKUP($A$12,'Expense Input File'!$B$71:$L$93,22,FALSE))*J15</f>
        <v>#N/A</v>
      </c>
      <c r="K68" s="624" t="e">
        <f>((HLOOKUP($A$12,'Expense Input File'!$B$71:$L$93,22,FALSE))*K15)+(HLOOKUP($A$12,'Expense Input File'!$B$71:$L$93,23,FALSE))</f>
        <v>#N/A</v>
      </c>
      <c r="L68" s="286" t="s">
        <v>707</v>
      </c>
    </row>
    <row r="69" spans="1:12" ht="15" thickBot="1">
      <c r="A69" s="185" t="s">
        <v>43</v>
      </c>
      <c r="B69" s="172"/>
      <c r="C69" s="172"/>
      <c r="D69" s="607" t="e">
        <f>HLOOKUP($A$12,'Expense Input File'!$A$27:$L$91,57,FALSE)</f>
        <v>#N/A</v>
      </c>
      <c r="E69" s="100"/>
      <c r="F69" s="182" t="e">
        <f>D69</f>
        <v>#N/A</v>
      </c>
      <c r="G69" s="107"/>
      <c r="H69" s="107"/>
      <c r="I69" s="107"/>
      <c r="J69" s="107"/>
      <c r="K69" s="108"/>
    </row>
    <row r="70" spans="1:12" ht="15" thickBot="1">
      <c r="A70" s="185" t="s">
        <v>44</v>
      </c>
      <c r="B70" s="172"/>
      <c r="C70" s="172"/>
      <c r="D70" s="608" t="e">
        <f>HLOOKUP($A$12,'Expense Input File'!$A$27:$L$91,58,FALSE)</f>
        <v>#N/A</v>
      </c>
      <c r="E70" s="201" t="e">
        <f>(E49/D49)*D70</f>
        <v>#REF!</v>
      </c>
      <c r="F70" s="169" t="e">
        <f>(F49/D49)*D70</f>
        <v>#REF!</v>
      </c>
      <c r="G70" s="169" t="e">
        <f>(G49/D49)*D70</f>
        <v>#REF!</v>
      </c>
      <c r="H70" s="169" t="e">
        <f>(H49/D49)*D70</f>
        <v>#REF!</v>
      </c>
      <c r="I70" s="169" t="e">
        <f>(I49/D49)*D70</f>
        <v>#REF!</v>
      </c>
      <c r="J70" s="169" t="e">
        <f>(J49/D49)*D70</f>
        <v>#REF!</v>
      </c>
      <c r="K70" s="623" t="e">
        <f>(K49/D49)*D70</f>
        <v>#REF!</v>
      </c>
      <c r="L70" s="286" t="s">
        <v>707</v>
      </c>
    </row>
    <row r="71" spans="1:12" ht="15" thickBot="1">
      <c r="A71" s="185" t="s">
        <v>45</v>
      </c>
      <c r="B71" s="172"/>
      <c r="C71" s="172"/>
      <c r="D71" s="609" t="e">
        <f>HLOOKUP($A$12,'Expense Input File'!$A$27:$L$91,59,FALSE)</f>
        <v>#N/A</v>
      </c>
      <c r="E71" s="120"/>
      <c r="F71" s="119"/>
      <c r="G71" s="119"/>
      <c r="H71" s="119"/>
      <c r="I71" s="119"/>
      <c r="J71" s="119"/>
      <c r="K71" s="622" t="e">
        <f>D71</f>
        <v>#N/A</v>
      </c>
      <c r="L71" s="286" t="s">
        <v>707</v>
      </c>
    </row>
    <row r="72" spans="1:12" ht="15.75" thickBot="1">
      <c r="A72" s="179" t="s">
        <v>289</v>
      </c>
      <c r="B72" s="172"/>
      <c r="C72" s="172"/>
      <c r="D72" s="217" t="e">
        <f>SUM(D68:D71)</f>
        <v>#N/A</v>
      </c>
      <c r="E72" s="217" t="e">
        <f t="shared" ref="E72:J72" si="8">SUM(E68:E71)</f>
        <v>#N/A</v>
      </c>
      <c r="F72" s="217" t="e">
        <f t="shared" si="8"/>
        <v>#N/A</v>
      </c>
      <c r="G72" s="217" t="e">
        <f t="shared" si="8"/>
        <v>#N/A</v>
      </c>
      <c r="H72" s="217" t="e">
        <f t="shared" si="8"/>
        <v>#N/A</v>
      </c>
      <c r="I72" s="217" t="e">
        <f t="shared" si="8"/>
        <v>#N/A</v>
      </c>
      <c r="J72" s="217" t="e">
        <f t="shared" si="8"/>
        <v>#N/A</v>
      </c>
      <c r="K72" s="692" t="e">
        <f>SUM(K68:K71)</f>
        <v>#N/A</v>
      </c>
      <c r="L72" s="286" t="s">
        <v>707</v>
      </c>
    </row>
    <row r="73" spans="1:12" ht="15.75" thickBot="1">
      <c r="A73" s="219" t="s">
        <v>280</v>
      </c>
      <c r="B73" s="219"/>
      <c r="C73" s="219"/>
      <c r="D73" s="220" t="e">
        <f>SUM(E73:K73)</f>
        <v>#N/A</v>
      </c>
      <c r="E73" s="617" t="e">
        <f>E72+E66</f>
        <v>#N/A</v>
      </c>
      <c r="F73" s="618" t="e">
        <f t="shared" ref="F73:K73" si="9">F72+F66</f>
        <v>#N/A</v>
      </c>
      <c r="G73" s="618" t="e">
        <f t="shared" si="9"/>
        <v>#N/A</v>
      </c>
      <c r="H73" s="618" t="e">
        <f t="shared" si="9"/>
        <v>#N/A</v>
      </c>
      <c r="I73" s="618" t="e">
        <f t="shared" si="9"/>
        <v>#N/A</v>
      </c>
      <c r="J73" s="618" t="e">
        <f t="shared" si="9"/>
        <v>#N/A</v>
      </c>
      <c r="K73" s="619" t="e">
        <f t="shared" si="9"/>
        <v>#N/A</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t="e">
        <f>HLOOKUP($A$12,'Expense Input File'!$A$71:$L$94,24,FALSE)</f>
        <v>#N/A</v>
      </c>
      <c r="E75" s="617"/>
      <c r="F75" s="618" t="e">
        <f>+$D75*(F56/SUM($F56:$H56))</f>
        <v>#N/A</v>
      </c>
      <c r="G75" s="618" t="e">
        <f>+$D75*(G56/SUM($F56:$H56))</f>
        <v>#N/A</v>
      </c>
      <c r="H75" s="618" t="e">
        <f>+$D75*(H56/SUM($F56:$H56))</f>
        <v>#N/A</v>
      </c>
      <c r="I75" s="618"/>
      <c r="J75" s="618"/>
      <c r="K75" s="619"/>
      <c r="L75" s="286" t="s">
        <v>704</v>
      </c>
    </row>
    <row r="76" spans="1:12">
      <c r="D76" s="229"/>
    </row>
    <row r="77" spans="1:12">
      <c r="D77" s="286" t="s">
        <v>716</v>
      </c>
      <c r="E77" s="111" t="e">
        <f>+E73+E75</f>
        <v>#N/A</v>
      </c>
      <c r="F77" s="111" t="e">
        <f t="shared" ref="F77:K77" si="10">+F73+F75</f>
        <v>#N/A</v>
      </c>
      <c r="G77" s="111" t="e">
        <f t="shared" si="10"/>
        <v>#N/A</v>
      </c>
      <c r="H77" s="111" t="e">
        <f t="shared" si="10"/>
        <v>#N/A</v>
      </c>
      <c r="I77" s="111" t="e">
        <f t="shared" si="10"/>
        <v>#N/A</v>
      </c>
      <c r="J77" s="111" t="e">
        <f t="shared" si="10"/>
        <v>#N/A</v>
      </c>
      <c r="K77" s="111" t="e">
        <f t="shared" si="10"/>
        <v>#N/A</v>
      </c>
      <c r="L77" s="90" t="s">
        <v>719</v>
      </c>
    </row>
  </sheetData>
  <customSheetViews>
    <customSheetView guid="{2226E858-00AE-4A92-8CF6-5B54D2FA62D4}" showPageBreaks="1" fitToPage="1" topLeftCell="A16">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A00-000000000000}"/>
    <hyperlink ref="I4" location="AFUDC!A1" display="AFUDC" xr:uid="{00000000-0004-0000-1A00-000001000000}"/>
    <hyperlink ref="I3" location="'Repayment Inputs'!A1" display="Repayment Inputs" xr:uid="{00000000-0004-0000-1A00-000002000000}"/>
    <hyperlink ref="I6" location="'Expense Input File'!A1" display="Expense Input" xr:uid="{00000000-0004-0000-1A00-000003000000}"/>
    <hyperlink ref="G6" r:id="rId2" xr:uid="{00000000-0004-0000-1A00-000004000000}"/>
  </hyperlinks>
  <pageMargins left="0.25" right="0.25" top="0.75" bottom="0.75" header="0.3" footer="0.3"/>
  <pageSetup scale="56" orientation="portrait" r:id="rId3"/>
  <legacyDrawing r:id="rId4"/>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codeName="Sheet24">
    <tabColor rgb="FFCCFF66"/>
    <pageSetUpPr autoPageBreaks="0" fitToPage="1"/>
  </sheetPr>
  <dimension ref="A1:L77"/>
  <sheetViews>
    <sheetView topLeftCell="A52" workbookViewId="0">
      <selection activeCell="D69" sqref="D69:D71"/>
    </sheetView>
  </sheetViews>
  <sheetFormatPr defaultColWidth="9.140625" defaultRowHeight="14.25" outlineLevelRow="1"/>
  <cols>
    <col min="1" max="2" width="9.140625" style="90"/>
    <col min="3" max="3" width="29.28515625" style="90" customWidth="1"/>
    <col min="4" max="11" width="15.7109375" style="90" customWidth="1"/>
    <col min="12" max="16384" width="9.140625" style="90"/>
  </cols>
  <sheetData>
    <row r="1" spans="1:11" ht="18" outlineLevel="1">
      <c r="A1" s="996" t="s">
        <v>305</v>
      </c>
      <c r="B1" s="997"/>
      <c r="C1" s="997"/>
      <c r="D1" s="997"/>
      <c r="E1" s="997"/>
      <c r="F1" s="997"/>
      <c r="G1" s="997"/>
      <c r="H1" s="997"/>
      <c r="I1" s="997"/>
      <c r="J1" s="997"/>
      <c r="K1" s="998"/>
    </row>
    <row r="2" spans="1:11" ht="18" outlineLevel="1">
      <c r="A2" s="407"/>
      <c r="B2" s="125" t="s">
        <v>115</v>
      </c>
      <c r="C2" s="91"/>
      <c r="D2" s="3"/>
      <c r="E2" s="94"/>
      <c r="F2" s="147" t="s">
        <v>397</v>
      </c>
      <c r="G2" s="148"/>
      <c r="H2" s="138"/>
      <c r="I2" s="147" t="s">
        <v>399</v>
      </c>
      <c r="J2" s="139"/>
      <c r="K2" s="408"/>
    </row>
    <row r="3" spans="1:11" ht="18" outlineLevel="1">
      <c r="A3" s="407"/>
      <c r="B3" s="125" t="s">
        <v>73</v>
      </c>
      <c r="C3" s="735" t="s">
        <v>765</v>
      </c>
      <c r="D3" s="3"/>
      <c r="E3" s="94"/>
      <c r="F3" s="150" t="s">
        <v>398</v>
      </c>
      <c r="G3" s="151" t="s">
        <v>235</v>
      </c>
      <c r="H3" s="138"/>
      <c r="I3" s="152" t="s">
        <v>238</v>
      </c>
      <c r="J3" s="138"/>
      <c r="K3" s="408"/>
    </row>
    <row r="4" spans="1:11" ht="18" customHeight="1" outlineLevel="1">
      <c r="A4" s="407"/>
      <c r="B4" s="125" t="s">
        <v>10</v>
      </c>
      <c r="C4" s="153"/>
      <c r="D4" s="3"/>
      <c r="E4" s="94"/>
      <c r="F4" s="144"/>
      <c r="G4" s="331" t="s">
        <v>769</v>
      </c>
      <c r="H4" s="138"/>
      <c r="I4" s="155" t="s">
        <v>87</v>
      </c>
      <c r="J4" s="3"/>
      <c r="K4" s="408"/>
    </row>
    <row r="5" spans="1:11" ht="18" customHeight="1" outlineLevel="1">
      <c r="A5" s="407"/>
      <c r="B5" s="126" t="s">
        <v>9</v>
      </c>
      <c r="C5" s="153" t="e">
        <f>'Revenue Requirement'!#REF!</f>
        <v>#REF!</v>
      </c>
      <c r="D5" s="94"/>
      <c r="F5" s="144" t="str">
        <f>IF('20 Seg Dev'!F5=0," ",'20 Seg Dev'!F5)</f>
        <v xml:space="preserve"> </v>
      </c>
      <c r="G5" s="605" t="s">
        <v>770</v>
      </c>
      <c r="H5" s="138"/>
      <c r="I5" s="141" t="s">
        <v>390</v>
      </c>
      <c r="J5" s="94"/>
      <c r="K5" s="408"/>
    </row>
    <row r="6" spans="1:11" ht="15" outlineLevel="1">
      <c r="A6" s="407"/>
      <c r="B6" s="126" t="s">
        <v>386</v>
      </c>
      <c r="C6" s="93"/>
      <c r="D6" s="94"/>
      <c r="E6" s="157"/>
      <c r="F6" s="157"/>
      <c r="G6" s="158" t="s">
        <v>465</v>
      </c>
      <c r="H6" s="138"/>
      <c r="I6" s="159" t="s">
        <v>387</v>
      </c>
      <c r="J6" s="94"/>
      <c r="K6" s="408"/>
    </row>
    <row r="7" spans="1:11" ht="15" outlineLevel="1">
      <c r="A7" s="407"/>
      <c r="B7" s="126" t="s">
        <v>385</v>
      </c>
      <c r="C7" s="93"/>
      <c r="D7" s="94"/>
      <c r="E7" s="157"/>
      <c r="F7" s="616" t="s">
        <v>469</v>
      </c>
      <c r="G7" s="613" t="s">
        <v>703</v>
      </c>
      <c r="H7" s="138"/>
      <c r="I7" s="140"/>
      <c r="J7" s="94"/>
      <c r="K7" s="408"/>
    </row>
    <row r="8" spans="1:11" ht="15" outlineLevel="1">
      <c r="A8" s="407"/>
      <c r="B8" s="126" t="s">
        <v>281</v>
      </c>
      <c r="C8" s="160">
        <v>2032</v>
      </c>
      <c r="D8" s="94"/>
      <c r="E8" s="92"/>
      <c r="F8" s="92"/>
      <c r="G8" s="157"/>
      <c r="H8" s="223"/>
      <c r="I8" s="92"/>
      <c r="J8" s="92"/>
      <c r="K8" s="408"/>
    </row>
    <row r="9" spans="1:11" ht="15.75" outlineLevel="1" thickBot="1">
      <c r="A9" s="407"/>
      <c r="B9" s="126"/>
      <c r="C9" s="129"/>
      <c r="D9" s="94"/>
      <c r="E9" s="92"/>
      <c r="F9" s="92"/>
      <c r="G9" s="92"/>
      <c r="H9" s="92"/>
      <c r="I9" s="92"/>
      <c r="J9" s="92"/>
      <c r="K9" s="408"/>
    </row>
    <row r="10" spans="1:11" ht="15.75" outlineLevel="1" thickBot="1">
      <c r="A10" s="999"/>
      <c r="B10" s="983"/>
      <c r="C10" s="142"/>
      <c r="D10" s="113"/>
      <c r="E10" s="582" t="s">
        <v>700</v>
      </c>
      <c r="F10" s="113"/>
      <c r="G10" s="621" t="s">
        <v>705</v>
      </c>
      <c r="H10" s="621"/>
      <c r="I10" s="113"/>
      <c r="J10" s="113"/>
      <c r="K10" s="409"/>
    </row>
    <row r="11" spans="1:11" ht="15" outlineLevel="1" thickBot="1">
      <c r="A11" s="136"/>
      <c r="B11" s="94"/>
      <c r="C11" s="94"/>
      <c r="D11" s="94"/>
      <c r="E11" s="94"/>
      <c r="F11" s="94"/>
      <c r="G11" s="94"/>
      <c r="H11" s="94"/>
      <c r="I11" s="94"/>
      <c r="J11" s="94"/>
      <c r="K11" s="95"/>
    </row>
    <row r="12" spans="1:11" ht="29.25" customHeight="1">
      <c r="A12" s="984">
        <f>C8</f>
        <v>2032</v>
      </c>
      <c r="B12" s="985"/>
      <c r="C12" s="985"/>
      <c r="D12" s="161" t="s">
        <v>170</v>
      </c>
      <c r="E12" s="162" t="s">
        <v>171</v>
      </c>
      <c r="F12" s="162" t="s">
        <v>172</v>
      </c>
      <c r="G12" s="162" t="s">
        <v>173</v>
      </c>
      <c r="H12" s="162" t="s">
        <v>174</v>
      </c>
      <c r="I12" s="162" t="s">
        <v>175</v>
      </c>
      <c r="J12" s="162" t="s">
        <v>176</v>
      </c>
      <c r="K12" s="163" t="s">
        <v>177</v>
      </c>
    </row>
    <row r="13" spans="1:11" ht="15.75" thickBot="1">
      <c r="A13" s="165" t="s">
        <v>272</v>
      </c>
      <c r="B13" s="128"/>
      <c r="C13" s="128"/>
      <c r="D13" s="127"/>
      <c r="E13" s="127"/>
      <c r="F13" s="127"/>
      <c r="G13" s="127"/>
      <c r="H13" s="127"/>
      <c r="I13" s="127"/>
      <c r="J13" s="127"/>
      <c r="K13" s="166"/>
    </row>
    <row r="14" spans="1:11" ht="15.75" thickBot="1">
      <c r="A14" s="167" t="s">
        <v>178</v>
      </c>
      <c r="B14" s="168"/>
      <c r="C14" s="168"/>
      <c r="D14" s="169">
        <f>SUM(E14:K14)</f>
        <v>11446485.45534594</v>
      </c>
      <c r="E14" s="578">
        <v>114585.18283570693</v>
      </c>
      <c r="F14" s="579">
        <v>9554136.4460505042</v>
      </c>
      <c r="G14" s="579">
        <v>586029.66599819716</v>
      </c>
      <c r="H14" s="579">
        <v>59168.258702793348</v>
      </c>
      <c r="I14" s="579">
        <v>11840.696438086368</v>
      </c>
      <c r="J14" s="579">
        <v>5061.9346743851211</v>
      </c>
      <c r="K14" s="580">
        <v>1115663.2706462638</v>
      </c>
    </row>
    <row r="15" spans="1:11">
      <c r="A15" s="171" t="s">
        <v>237</v>
      </c>
      <c r="B15" s="172"/>
      <c r="C15" s="172"/>
      <c r="D15" s="173">
        <f>SUM(E15:K15)</f>
        <v>0.99999999999999978</v>
      </c>
      <c r="E15" s="174">
        <f>E14/D14</f>
        <v>1.0010512246987685E-2</v>
      </c>
      <c r="F15" s="174">
        <f>F14/D14</f>
        <v>0.83467859923662091</v>
      </c>
      <c r="G15" s="174">
        <f>G14/D14</f>
        <v>5.119734509639369E-2</v>
      </c>
      <c r="H15" s="174">
        <f>H14/D14</f>
        <v>5.1691201577650668E-3</v>
      </c>
      <c r="I15" s="174">
        <f>I14/D14</f>
        <v>1.0344394778885005E-3</v>
      </c>
      <c r="J15" s="174">
        <f>J14/D14</f>
        <v>4.4222610460934163E-4</v>
      </c>
      <c r="K15" s="175">
        <f>K14/D14</f>
        <v>9.7467757679734535E-2</v>
      </c>
    </row>
    <row r="16" spans="1:11" ht="15" thickBot="1">
      <c r="A16" s="176" t="s">
        <v>81</v>
      </c>
      <c r="B16" s="172"/>
      <c r="C16" s="172"/>
      <c r="D16" s="97"/>
      <c r="E16" s="97"/>
      <c r="F16" s="97"/>
      <c r="G16" s="97"/>
      <c r="H16" s="97"/>
      <c r="I16" s="97"/>
      <c r="J16" s="97"/>
      <c r="K16" s="98"/>
    </row>
    <row r="17" spans="1:12" ht="15" thickBot="1">
      <c r="A17" s="167"/>
      <c r="B17" s="172" t="s">
        <v>499</v>
      </c>
      <c r="C17" s="172"/>
      <c r="D17" s="169" t="e">
        <f>SUM(E17:K17)</f>
        <v>#N/A</v>
      </c>
      <c r="E17" s="100"/>
      <c r="F17" s="597" t="e">
        <f>HLOOKUP($A$12,'Repayment Inputs'!$B$2:$J$24,19,FALSE)</f>
        <v>#N/A</v>
      </c>
      <c r="G17" s="224"/>
      <c r="H17" s="100"/>
      <c r="I17" s="100"/>
      <c r="J17" s="100"/>
      <c r="K17" s="99"/>
    </row>
    <row r="18" spans="1:12" ht="15" thickBot="1">
      <c r="A18" s="167"/>
      <c r="B18" s="172" t="s">
        <v>500</v>
      </c>
      <c r="C18" s="172"/>
      <c r="D18" s="169">
        <f>SUM(E18:K18)</f>
        <v>0</v>
      </c>
      <c r="E18" s="100"/>
      <c r="F18" s="615">
        <f>-(HLOOKUP($A$12,AFUDC!$I$13:$AJ$38,25,FALSE))</f>
        <v>0</v>
      </c>
      <c r="G18" s="100"/>
      <c r="H18" s="100"/>
      <c r="I18" s="100"/>
      <c r="J18" s="100"/>
      <c r="K18" s="99"/>
    </row>
    <row r="19" spans="1:12" ht="15" thickBot="1">
      <c r="A19" s="167"/>
      <c r="B19" s="172" t="s">
        <v>496</v>
      </c>
      <c r="C19" s="172"/>
      <c r="D19" s="169" t="e">
        <f>SUM(E19:K19)</f>
        <v>#N/A</v>
      </c>
      <c r="E19" s="100"/>
      <c r="F19" s="169" t="e">
        <f>SUM(F17:F18)</f>
        <v>#N/A</v>
      </c>
      <c r="G19" s="100"/>
      <c r="H19" s="100"/>
      <c r="I19" s="100"/>
      <c r="J19" s="100"/>
      <c r="K19" s="99"/>
    </row>
    <row r="20" spans="1:12"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2" ht="15.75" thickBot="1">
      <c r="A21" s="179" t="s">
        <v>180</v>
      </c>
      <c r="B21" s="168"/>
      <c r="C21" s="168"/>
      <c r="D21" s="180" t="e">
        <f t="shared" ref="D21:K21" si="0">D20+D19</f>
        <v>#N/A</v>
      </c>
      <c r="E21" s="617" t="e">
        <f t="shared" si="0"/>
        <v>#N/A</v>
      </c>
      <c r="F21" s="618" t="e">
        <f t="shared" si="0"/>
        <v>#N/A</v>
      </c>
      <c r="G21" s="618" t="e">
        <f t="shared" si="0"/>
        <v>#N/A</v>
      </c>
      <c r="H21" s="618" t="e">
        <f t="shared" si="0"/>
        <v>#N/A</v>
      </c>
      <c r="I21" s="618" t="e">
        <f t="shared" si="0"/>
        <v>#N/A</v>
      </c>
      <c r="J21" s="618" t="e">
        <f t="shared" si="0"/>
        <v>#N/A</v>
      </c>
      <c r="K21" s="625" t="e">
        <f t="shared" si="0"/>
        <v>#N/A</v>
      </c>
      <c r="L21" s="286" t="s">
        <v>708</v>
      </c>
    </row>
    <row r="22" spans="1:12" ht="15" thickBot="1">
      <c r="A22" s="176" t="s">
        <v>184</v>
      </c>
      <c r="B22" s="172"/>
      <c r="C22" s="172"/>
      <c r="D22" s="97"/>
      <c r="E22" s="97"/>
      <c r="F22" s="97"/>
      <c r="G22" s="97"/>
      <c r="H22" s="97"/>
      <c r="I22" s="97"/>
      <c r="J22" s="97"/>
      <c r="K22" s="98"/>
    </row>
    <row r="23" spans="1:12" ht="15" thickBot="1">
      <c r="A23" s="167"/>
      <c r="B23" s="172" t="s">
        <v>495</v>
      </c>
      <c r="C23" s="172"/>
      <c r="D23" s="97"/>
      <c r="E23" s="97"/>
      <c r="F23" s="597" t="e">
        <f>HLOOKUP($A$12,'Repayment Inputs'!$A$2:$J$43,38,FALSE)</f>
        <v>#N/A</v>
      </c>
      <c r="G23" s="224"/>
      <c r="H23" s="97"/>
      <c r="I23" s="97"/>
      <c r="J23" s="97"/>
      <c r="K23" s="98"/>
    </row>
    <row r="24" spans="1:12" ht="15" thickBot="1">
      <c r="A24" s="167"/>
      <c r="B24" s="172" t="s">
        <v>496</v>
      </c>
      <c r="C24" s="172"/>
      <c r="D24" s="97"/>
      <c r="E24" s="97"/>
      <c r="F24" s="182" t="e">
        <f>F19</f>
        <v>#N/A</v>
      </c>
      <c r="G24" s="107"/>
      <c r="H24" s="97"/>
      <c r="I24" s="97"/>
      <c r="J24" s="97"/>
      <c r="K24" s="98"/>
    </row>
    <row r="25" spans="1:12" ht="15" thickBot="1">
      <c r="A25" s="167"/>
      <c r="B25" s="172" t="s">
        <v>497</v>
      </c>
      <c r="C25" s="172"/>
      <c r="D25" s="97"/>
      <c r="E25" s="97"/>
      <c r="F25" s="581">
        <v>11286.889087545353</v>
      </c>
      <c r="G25" s="225"/>
      <c r="H25" s="97"/>
      <c r="I25" s="97"/>
      <c r="J25" s="97"/>
      <c r="K25" s="98"/>
    </row>
    <row r="26" spans="1:12" ht="15" thickBot="1">
      <c r="A26" s="167"/>
      <c r="B26" s="172" t="s">
        <v>498</v>
      </c>
      <c r="C26" s="172"/>
      <c r="D26" s="182" t="e">
        <f>F26</f>
        <v>#N/A</v>
      </c>
      <c r="E26" s="97"/>
      <c r="F26" s="182" t="e">
        <f>F23-F24-F25</f>
        <v>#N/A</v>
      </c>
      <c r="G26" s="107"/>
      <c r="H26" s="97"/>
      <c r="I26" s="97"/>
      <c r="J26" s="97"/>
      <c r="K26" s="98"/>
    </row>
    <row r="27" spans="1:12" ht="15" thickBot="1">
      <c r="A27" s="185" t="s">
        <v>481</v>
      </c>
      <c r="B27" s="172"/>
      <c r="C27" s="172"/>
      <c r="D27" s="596"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2" ht="15.75" thickBot="1">
      <c r="A28" s="179" t="s">
        <v>185</v>
      </c>
      <c r="B28" s="172"/>
      <c r="C28" s="172"/>
      <c r="D28" s="180" t="e">
        <f>D27+D26</f>
        <v>#N/A</v>
      </c>
      <c r="E28" s="617" t="e">
        <f t="shared" ref="E28:K28" si="1">E27+E26</f>
        <v>#N/A</v>
      </c>
      <c r="F28" s="618" t="e">
        <f t="shared" si="1"/>
        <v>#N/A</v>
      </c>
      <c r="G28" s="618" t="e">
        <f t="shared" si="1"/>
        <v>#N/A</v>
      </c>
      <c r="H28" s="618" t="e">
        <f t="shared" si="1"/>
        <v>#N/A</v>
      </c>
      <c r="I28" s="618" t="e">
        <f t="shared" si="1"/>
        <v>#N/A</v>
      </c>
      <c r="J28" s="618" t="e">
        <f t="shared" si="1"/>
        <v>#N/A</v>
      </c>
      <c r="K28" s="625" t="e">
        <f t="shared" si="1"/>
        <v>#N/A</v>
      </c>
      <c r="L28" s="286" t="s">
        <v>708</v>
      </c>
    </row>
    <row r="29" spans="1:12" ht="15.75" thickBot="1">
      <c r="A29" s="176" t="s">
        <v>189</v>
      </c>
      <c r="B29" s="172"/>
      <c r="C29" s="172"/>
      <c r="D29" s="122"/>
      <c r="E29" s="122"/>
      <c r="F29" s="122"/>
      <c r="G29" s="122"/>
      <c r="H29" s="122"/>
      <c r="I29" s="122"/>
      <c r="J29" s="122"/>
      <c r="K29" s="121"/>
    </row>
    <row r="30" spans="1:12" ht="15" thickBot="1">
      <c r="A30" s="186" t="s">
        <v>550</v>
      </c>
      <c r="B30" s="172"/>
      <c r="C30" s="172"/>
      <c r="D30" s="169">
        <f>SUM(E30:K30)</f>
        <v>395305.04538600001</v>
      </c>
      <c r="E30" s="583">
        <v>4807</v>
      </c>
      <c r="F30" s="584">
        <v>327983.04538600001</v>
      </c>
      <c r="G30" s="584">
        <v>27899</v>
      </c>
      <c r="H30" s="584">
        <v>3349</v>
      </c>
      <c r="I30" s="584">
        <v>448</v>
      </c>
      <c r="J30" s="584">
        <v>188</v>
      </c>
      <c r="K30" s="585">
        <v>30631</v>
      </c>
    </row>
    <row r="31" spans="1:12" ht="15" thickBot="1">
      <c r="A31" s="186" t="s">
        <v>186</v>
      </c>
      <c r="B31" s="172"/>
      <c r="C31" s="172"/>
      <c r="D31" s="188" t="e">
        <f>SUM(E31:K31)</f>
        <v>#REF!</v>
      </c>
      <c r="E31" s="189" t="e">
        <f>E49/D49</f>
        <v>#REF!</v>
      </c>
      <c r="F31" s="189" t="e">
        <f>F49/D49</f>
        <v>#REF!</v>
      </c>
      <c r="G31" s="189" t="e">
        <f>G49/D49</f>
        <v>#REF!</v>
      </c>
      <c r="H31" s="189" t="e">
        <f>H49/D49</f>
        <v>#REF!</v>
      </c>
      <c r="I31" s="189" t="e">
        <f>I49/D49</f>
        <v>#REF!</v>
      </c>
      <c r="J31" s="189" t="e">
        <f>J49/D49</f>
        <v>#REF!</v>
      </c>
      <c r="K31" s="190" t="e">
        <f>K49/D49</f>
        <v>#REF!</v>
      </c>
    </row>
    <row r="32" spans="1:12" ht="15" thickBot="1">
      <c r="A32" s="186" t="s">
        <v>187</v>
      </c>
      <c r="B32" s="172"/>
      <c r="C32" s="172"/>
      <c r="D32" s="586">
        <v>124940.74827822128</v>
      </c>
      <c r="E32" s="169" t="e">
        <f>D32*E31</f>
        <v>#REF!</v>
      </c>
      <c r="F32" s="169" t="e">
        <f>D32*F31</f>
        <v>#REF!</v>
      </c>
      <c r="G32" s="169" t="e">
        <f>D32*G31</f>
        <v>#REF!</v>
      </c>
      <c r="H32" s="169" t="e">
        <f>D32*H31</f>
        <v>#REF!</v>
      </c>
      <c r="I32" s="169" t="e">
        <f>D32*I31</f>
        <v>#REF!</v>
      </c>
      <c r="J32" s="169" t="e">
        <f>D32*J31</f>
        <v>#REF!</v>
      </c>
      <c r="K32" s="178" t="e">
        <f>D32*K31</f>
        <v>#REF!</v>
      </c>
    </row>
    <row r="33" spans="1:12" ht="15.75" thickBot="1">
      <c r="A33" s="179" t="s">
        <v>188</v>
      </c>
      <c r="B33" s="172"/>
      <c r="C33" s="172"/>
      <c r="D33" s="180" t="e">
        <f>SUM(E33:K33)</f>
        <v>#REF!</v>
      </c>
      <c r="E33" s="617" t="e">
        <f t="shared" ref="E33:K33" si="2">E32+E30</f>
        <v>#REF!</v>
      </c>
      <c r="F33" s="618" t="e">
        <f>F32+F30</f>
        <v>#REF!</v>
      </c>
      <c r="G33" s="618" t="e">
        <f>G32+G30</f>
        <v>#REF!</v>
      </c>
      <c r="H33" s="618" t="e">
        <f t="shared" si="2"/>
        <v>#REF!</v>
      </c>
      <c r="I33" s="618" t="e">
        <f t="shared" si="2"/>
        <v>#REF!</v>
      </c>
      <c r="J33" s="618" t="e">
        <f t="shared" si="2"/>
        <v>#REF!</v>
      </c>
      <c r="K33" s="625" t="e">
        <f t="shared" si="2"/>
        <v>#REF!</v>
      </c>
      <c r="L33" s="286" t="s">
        <v>708</v>
      </c>
    </row>
    <row r="34" spans="1:12" ht="9" customHeight="1">
      <c r="A34" s="167"/>
      <c r="B34" s="172"/>
      <c r="C34" s="172"/>
      <c r="D34" s="97"/>
      <c r="E34" s="97"/>
      <c r="F34" s="97"/>
      <c r="G34" s="97"/>
      <c r="H34" s="97"/>
      <c r="I34" s="97"/>
      <c r="J34" s="97"/>
      <c r="K34" s="98"/>
    </row>
    <row r="35" spans="1:12" ht="15">
      <c r="A35" s="165" t="s">
        <v>236</v>
      </c>
      <c r="B35" s="172"/>
      <c r="C35" s="172"/>
      <c r="D35" s="97"/>
      <c r="E35" s="97"/>
      <c r="F35" s="97"/>
      <c r="G35" s="97"/>
      <c r="H35" s="97"/>
      <c r="I35" s="97"/>
      <c r="J35" s="97"/>
      <c r="K35" s="98"/>
    </row>
    <row r="36" spans="1:12" ht="15" thickBot="1">
      <c r="A36" s="191" t="s">
        <v>520</v>
      </c>
      <c r="B36" s="172"/>
      <c r="C36" s="172"/>
      <c r="D36" s="97"/>
      <c r="E36" s="97"/>
      <c r="F36" s="97"/>
      <c r="G36" s="97"/>
      <c r="H36" s="97"/>
      <c r="I36" s="97"/>
      <c r="J36" s="97"/>
      <c r="K36" s="98"/>
    </row>
    <row r="37" spans="1:12">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2"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2" ht="15">
      <c r="A39" s="195" t="s">
        <v>301</v>
      </c>
      <c r="B39" s="168"/>
      <c r="C39" s="168"/>
      <c r="D39" s="193">
        <f>SUM(D37:D38)</f>
        <v>192019.62406142859</v>
      </c>
      <c r="E39" s="97"/>
      <c r="F39" s="97"/>
      <c r="G39" s="97"/>
      <c r="H39" s="97"/>
      <c r="I39" s="97"/>
      <c r="J39" s="97"/>
      <c r="K39" s="98"/>
    </row>
    <row r="40" spans="1:12" ht="15" thickBot="1">
      <c r="A40" s="196" t="s">
        <v>239</v>
      </c>
      <c r="B40" s="172"/>
      <c r="C40" s="172"/>
      <c r="D40" s="97"/>
      <c r="E40" s="97"/>
      <c r="F40" s="97"/>
      <c r="G40" s="97"/>
      <c r="H40" s="97"/>
      <c r="I40" s="97"/>
      <c r="J40" s="97"/>
      <c r="K40" s="98"/>
    </row>
    <row r="41" spans="1:12" ht="15" thickBot="1">
      <c r="A41" s="185" t="s">
        <v>240</v>
      </c>
      <c r="B41" s="172"/>
      <c r="C41" s="172"/>
      <c r="D41" s="606" t="e">
        <f>'Expense Input File'!#REF!+'Expense Input File'!#REF!+'Expense Input File'!#REF!+'Expense Input File'!#REF!</f>
        <v>#REF!</v>
      </c>
      <c r="E41" s="97"/>
      <c r="F41" s="606" t="e">
        <f>(HLOOKUP($A$12,'Expense Input File'!$A$27:$L$70,33,FALSE))</f>
        <v>#N/A</v>
      </c>
      <c r="G41" s="97"/>
      <c r="H41" s="97"/>
      <c r="I41" s="97"/>
      <c r="J41" s="97"/>
      <c r="K41" s="606" t="e">
        <f>SUM('Expense Input File'!#REF!,'Expense Input File'!#REF!)</f>
        <v>#REF!</v>
      </c>
    </row>
    <row r="42" spans="1:12" ht="15" thickBot="1">
      <c r="A42" s="185" t="s">
        <v>241</v>
      </c>
      <c r="B42" s="172"/>
      <c r="C42" s="172"/>
      <c r="D42" s="606" t="e">
        <f>HLOOKUP($A$12,'Expense Input File'!$B$14:$L$24,4,FALSE)</f>
        <v>#N/A</v>
      </c>
      <c r="E42" s="97"/>
      <c r="F42" s="97"/>
      <c r="G42" s="97"/>
      <c r="H42" s="97"/>
      <c r="I42" s="97"/>
      <c r="J42" s="97"/>
      <c r="K42" s="98"/>
    </row>
    <row r="43" spans="1:12" ht="5.25" customHeight="1">
      <c r="A43" s="185"/>
      <c r="B43" s="172"/>
      <c r="C43" s="172"/>
      <c r="D43" s="100"/>
      <c r="E43" s="97"/>
      <c r="F43" s="97"/>
      <c r="G43" s="97"/>
      <c r="H43" s="97"/>
      <c r="I43" s="97"/>
      <c r="J43" s="97"/>
      <c r="K43" s="98"/>
    </row>
    <row r="44" spans="1:12">
      <c r="A44" s="199" t="s">
        <v>266</v>
      </c>
      <c r="B44" s="172"/>
      <c r="C44" s="172"/>
      <c r="D44" s="182" t="e">
        <f>SUM(D41:D42)</f>
        <v>#REF!</v>
      </c>
      <c r="E44" s="97"/>
      <c r="F44" s="97"/>
      <c r="G44" s="97"/>
      <c r="H44" s="97"/>
      <c r="I44" s="97"/>
      <c r="J44" s="97"/>
      <c r="K44" s="98"/>
    </row>
    <row r="45" spans="1:12">
      <c r="A45" s="200" t="s">
        <v>267</v>
      </c>
      <c r="B45" s="172"/>
      <c r="C45" s="172"/>
      <c r="D45" s="182" t="e">
        <f>D44-D46</f>
        <v>#REF!</v>
      </c>
      <c r="E45" s="226" t="e">
        <f>(E37/D37)*D45</f>
        <v>#REF!</v>
      </c>
      <c r="F45" s="182" t="e">
        <f>(F37/D37)*D45</f>
        <v>#REF!</v>
      </c>
      <c r="G45" s="182" t="e">
        <f>(G37/D37)*D45</f>
        <v>#REF!</v>
      </c>
      <c r="H45" s="182" t="e">
        <f>(H37/D37)*D45</f>
        <v>#REF!</v>
      </c>
      <c r="I45" s="182" t="e">
        <f>(I37/D37)*D45</f>
        <v>#REF!</v>
      </c>
      <c r="J45" s="182" t="e">
        <f>(J37/D37)*D45</f>
        <v>#REF!</v>
      </c>
      <c r="K45" s="98"/>
    </row>
    <row r="46" spans="1:12">
      <c r="A46" s="200" t="s">
        <v>269</v>
      </c>
      <c r="B46" s="172"/>
      <c r="C46" s="172"/>
      <c r="D46" s="169" t="e">
        <f>((D38/D39)*D44)</f>
        <v>#REF!</v>
      </c>
      <c r="E46" s="226" t="e">
        <f>(E38/D38)*D46</f>
        <v>#REF!</v>
      </c>
      <c r="F46" s="182" t="e">
        <f>(F38/D38)*D46</f>
        <v>#REF!</v>
      </c>
      <c r="G46" s="182" t="e">
        <f>(G38/D38)*D46</f>
        <v>#REF!</v>
      </c>
      <c r="H46" s="182" t="e">
        <f>(H38/D38)*D46</f>
        <v>#REF!</v>
      </c>
      <c r="I46" s="182" t="e">
        <f>(I38/D38)*D46</f>
        <v>#REF!</v>
      </c>
      <c r="J46" s="182" t="e">
        <f>(J38/D38)*D46</f>
        <v>#REF!</v>
      </c>
      <c r="K46" s="98"/>
    </row>
    <row r="47" spans="1:12" ht="15.75" thickBot="1">
      <c r="A47" s="202" t="s">
        <v>268</v>
      </c>
      <c r="B47" s="168"/>
      <c r="C47" s="168"/>
      <c r="D47" s="182" t="e">
        <f>SUM(E47:J47)</f>
        <v>#REF!</v>
      </c>
      <c r="E47" s="182" t="e">
        <f t="shared" ref="E47:J47" si="3">SUM(E45:E46)</f>
        <v>#REF!</v>
      </c>
      <c r="F47" s="182" t="e">
        <f t="shared" si="3"/>
        <v>#REF!</v>
      </c>
      <c r="G47" s="182" t="e">
        <f t="shared" si="3"/>
        <v>#REF!</v>
      </c>
      <c r="H47" s="182" t="e">
        <f t="shared" si="3"/>
        <v>#REF!</v>
      </c>
      <c r="I47" s="182" t="e">
        <f t="shared" si="3"/>
        <v>#REF!</v>
      </c>
      <c r="J47" s="182" t="e">
        <f t="shared" si="3"/>
        <v>#REF!</v>
      </c>
      <c r="K47" s="98"/>
    </row>
    <row r="48" spans="1:12" ht="15" thickBot="1">
      <c r="A48" s="203" t="s">
        <v>25</v>
      </c>
      <c r="B48" s="172"/>
      <c r="C48" s="172"/>
      <c r="D48" s="204" t="e">
        <f>K48</f>
        <v>#REF!</v>
      </c>
      <c r="E48" s="119"/>
      <c r="F48" s="119"/>
      <c r="G48" s="119"/>
      <c r="H48" s="119"/>
      <c r="I48" s="119"/>
      <c r="J48" s="119"/>
      <c r="K48" s="607" t="e">
        <f>SUM('Expense Input File'!#REF!)</f>
        <v>#REF!</v>
      </c>
    </row>
    <row r="49" spans="1:12" ht="15.75" thickBot="1">
      <c r="A49" s="206" t="s">
        <v>270</v>
      </c>
      <c r="B49" s="168"/>
      <c r="C49" s="168"/>
      <c r="D49" s="180" t="e">
        <f>SUM(E49:K49)</f>
        <v>#REF!</v>
      </c>
      <c r="E49" s="180" t="e">
        <f t="shared" ref="E49:J49" si="4">E47</f>
        <v>#REF!</v>
      </c>
      <c r="F49" s="180" t="e">
        <f>F47+F41</f>
        <v>#REF!</v>
      </c>
      <c r="G49" s="180" t="e">
        <f t="shared" si="4"/>
        <v>#REF!</v>
      </c>
      <c r="H49" s="180" t="e">
        <f t="shared" si="4"/>
        <v>#REF!</v>
      </c>
      <c r="I49" s="180" t="e">
        <f t="shared" si="4"/>
        <v>#REF!</v>
      </c>
      <c r="J49" s="180" t="e">
        <f t="shared" si="4"/>
        <v>#REF!</v>
      </c>
      <c r="K49" s="625" t="e">
        <f>K48+K41</f>
        <v>#REF!</v>
      </c>
      <c r="L49" s="286" t="s">
        <v>707</v>
      </c>
    </row>
    <row r="50" spans="1:12" ht="15" thickBot="1">
      <c r="A50" s="196" t="s">
        <v>271</v>
      </c>
      <c r="B50" s="172"/>
      <c r="C50" s="172"/>
      <c r="D50" s="97"/>
      <c r="E50" s="97"/>
      <c r="F50" s="97"/>
      <c r="G50" s="97"/>
      <c r="H50" s="97"/>
      <c r="I50" s="97"/>
      <c r="J50" s="97"/>
      <c r="K50" s="98"/>
    </row>
    <row r="51" spans="1:12" ht="15" thickBot="1">
      <c r="A51" s="207" t="s">
        <v>46</v>
      </c>
      <c r="B51" s="172"/>
      <c r="C51" s="172"/>
      <c r="D51" s="606" t="e">
        <f>SUM((HLOOKUP($A$12,'Expense Input File'!$A$27:$L$70,10,FALSE)),(HLOOKUP($A$12,'Expense Input File'!$A$27:$L$70,11,FALSE)),(HLOOKUP($A$12,'Expense Input File'!$A$27:$L$70,12,FALSE)),(HLOOKUP($A$12,'Expense Input File'!$A$27:$L$70,13,FALSE)))</f>
        <v>#N/A</v>
      </c>
      <c r="E51" s="169" t="e">
        <f>(E49/D49)*D51</f>
        <v>#REF!</v>
      </c>
      <c r="F51" s="169" t="e">
        <f>(F49/D49)*D51</f>
        <v>#REF!</v>
      </c>
      <c r="G51" s="169" t="e">
        <f>(G49/D49)*D51</f>
        <v>#REF!</v>
      </c>
      <c r="H51" s="169" t="e">
        <f>(H49/D49)*D51</f>
        <v>#REF!</v>
      </c>
      <c r="I51" s="169" t="e">
        <f>(I49/D49)*D51</f>
        <v>#REF!</v>
      </c>
      <c r="J51" s="169" t="e">
        <f>(J49/D49)*D51</f>
        <v>#REF!</v>
      </c>
      <c r="K51" s="623" t="e">
        <f>(K49/D49)*D51</f>
        <v>#REF!</v>
      </c>
      <c r="L51" s="286" t="s">
        <v>707</v>
      </c>
    </row>
    <row r="52" spans="1:12" ht="15" thickBot="1">
      <c r="A52" s="207" t="s">
        <v>47</v>
      </c>
      <c r="B52" s="172"/>
      <c r="C52" s="172"/>
      <c r="D52" s="606" t="e">
        <f>SUM('Expense Input File'!#REF!)</f>
        <v>#REF!</v>
      </c>
      <c r="E52" s="169" t="e">
        <f>(E49/D49)*D52</f>
        <v>#REF!</v>
      </c>
      <c r="F52" s="169" t="e">
        <f>(F49/D49)*D52</f>
        <v>#REF!</v>
      </c>
      <c r="G52" s="169" t="e">
        <f>(G49/D49)*D52</f>
        <v>#REF!</v>
      </c>
      <c r="H52" s="169" t="e">
        <f>(H49/D49)*D52</f>
        <v>#REF!</v>
      </c>
      <c r="I52" s="169" t="e">
        <f>(I49/D49)*D52</f>
        <v>#REF!</v>
      </c>
      <c r="J52" s="169" t="e">
        <f>(J49/D49)*D52</f>
        <v>#REF!</v>
      </c>
      <c r="K52" s="626" t="e">
        <f>(K49/D49)*D52</f>
        <v>#REF!</v>
      </c>
      <c r="L52" s="286" t="s">
        <v>707</v>
      </c>
    </row>
    <row r="53" spans="1:12" ht="15" thickBot="1">
      <c r="A53" s="207" t="s">
        <v>273</v>
      </c>
      <c r="B53" s="172"/>
      <c r="C53" s="172"/>
      <c r="D53" s="606" t="e">
        <f>HLOOKUP($A$12,'Expense Input File'!$B$14:$L$24,3,FALSE)</f>
        <v>#N/A</v>
      </c>
      <c r="E53" s="610" t="e">
        <f>(E49/D49)*(D53-(HLOOKUP($A$12,'Expense Input File'!$A$14:$L$24,10,FALSE)))</f>
        <v>#REF!</v>
      </c>
      <c r="F53" s="591" t="e">
        <f>(F49/D49)*(D53-(HLOOKUP($A$12,'Expense Input File'!$A$14:$L$24,10,FALSE)))</f>
        <v>#REF!</v>
      </c>
      <c r="G53" s="611" t="e">
        <f>(G49/D49)*(D53-(HLOOKUP($A$12,'Expense Input File'!$A$14:$L$24,10,FALSE)))</f>
        <v>#REF!</v>
      </c>
      <c r="H53" s="611" t="e">
        <f>(H49/D49)*(D53-(HLOOKUP($A$12,'Expense Input File'!$A$14:$L$24,10,FALSE)))</f>
        <v>#REF!</v>
      </c>
      <c r="I53" s="611" t="e">
        <f>(I49/D49)*(D53-(HLOOKUP($A$12,'Expense Input File'!$A$14:$L$24,10,FALSE)))</f>
        <v>#REF!</v>
      </c>
      <c r="J53" s="591" t="e">
        <f>(J49/D49)*(D53-(HLOOKUP($A$12,'Expense Input File'!$A$14:$L$24,10,FALSE)))</f>
        <v>#REF!</v>
      </c>
      <c r="K53" s="628" t="e">
        <f>((K49/D49)*(D53-(HLOOKUP($A$12,'Expense Input File'!$A$14:$L$24,10,FALSE))))+(HLOOKUP($A$12,'Expense Input File'!$A$14:$L$24,10,FALSE))</f>
        <v>#REF!</v>
      </c>
      <c r="L53" s="286" t="s">
        <v>707</v>
      </c>
    </row>
    <row r="54" spans="1:12" ht="15" thickBot="1">
      <c r="A54" s="207" t="s">
        <v>292</v>
      </c>
      <c r="B54" s="172"/>
      <c r="C54" s="172"/>
      <c r="D54" s="606" t="e">
        <f>SUM((HLOOKUP($A$12,'Expense Input File'!$A$14:$L$24,7,FALSE)),(HLOOKUP($A$12,'Expense Input File'!$A$14:$L$24,8,FALSE)))</f>
        <v>#N/A</v>
      </c>
      <c r="E54" s="209" t="e">
        <f>(E49/D49)*D54</f>
        <v>#REF!</v>
      </c>
      <c r="F54" s="209" t="e">
        <f>(F49/D49)*D54</f>
        <v>#REF!</v>
      </c>
      <c r="G54" s="209" t="e">
        <f>(G49/D49)*D54</f>
        <v>#REF!</v>
      </c>
      <c r="H54" s="209" t="e">
        <f>(H49/D49)*D54</f>
        <v>#REF!</v>
      </c>
      <c r="I54" s="209" t="e">
        <f>(I49/D49)*D54</f>
        <v>#REF!</v>
      </c>
      <c r="J54" s="209" t="e">
        <f>(J49/D49)*D54</f>
        <v>#REF!</v>
      </c>
      <c r="K54" s="627" t="e">
        <f>(K49/D49)*D54</f>
        <v>#REF!</v>
      </c>
      <c r="L54" s="286" t="s">
        <v>707</v>
      </c>
    </row>
    <row r="55" spans="1:12" ht="15.75" thickBot="1">
      <c r="A55" s="211" t="s">
        <v>290</v>
      </c>
      <c r="B55" s="172"/>
      <c r="C55" s="172"/>
      <c r="D55" s="180" t="e">
        <f>SUM(D51:D54)</f>
        <v>#N/A</v>
      </c>
      <c r="E55" s="180" t="e">
        <f t="shared" ref="E55:J55" si="5">SUM(E51:E54)</f>
        <v>#REF!</v>
      </c>
      <c r="F55" s="180" t="e">
        <f t="shared" si="5"/>
        <v>#REF!</v>
      </c>
      <c r="G55" s="180" t="e">
        <f t="shared" si="5"/>
        <v>#REF!</v>
      </c>
      <c r="H55" s="180" t="e">
        <f t="shared" si="5"/>
        <v>#REF!</v>
      </c>
      <c r="I55" s="180" t="e">
        <f t="shared" si="5"/>
        <v>#REF!</v>
      </c>
      <c r="J55" s="180" t="e">
        <f t="shared" si="5"/>
        <v>#REF!</v>
      </c>
      <c r="K55" s="625" t="e">
        <f>SUM(K51:K54)</f>
        <v>#REF!</v>
      </c>
      <c r="L55" s="286" t="s">
        <v>707</v>
      </c>
    </row>
    <row r="56" spans="1:12" ht="15.75" thickBot="1">
      <c r="A56" s="165" t="s">
        <v>262</v>
      </c>
      <c r="B56" s="172"/>
      <c r="C56" s="172"/>
      <c r="D56" s="180" t="e">
        <f t="shared" ref="D56:K56" si="6">D55+D49</f>
        <v>#N/A</v>
      </c>
      <c r="E56" s="617" t="e">
        <f t="shared" si="6"/>
        <v>#REF!</v>
      </c>
      <c r="F56" s="618" t="e">
        <f t="shared" si="6"/>
        <v>#REF!</v>
      </c>
      <c r="G56" s="618" t="e">
        <f t="shared" si="6"/>
        <v>#REF!</v>
      </c>
      <c r="H56" s="618" t="e">
        <f t="shared" si="6"/>
        <v>#REF!</v>
      </c>
      <c r="I56" s="618" t="e">
        <f t="shared" si="6"/>
        <v>#REF!</v>
      </c>
      <c r="J56" s="618" t="e">
        <f t="shared" si="6"/>
        <v>#REF!</v>
      </c>
      <c r="K56" s="619" t="e">
        <f t="shared" si="6"/>
        <v>#REF!</v>
      </c>
      <c r="L56" s="286" t="s">
        <v>704</v>
      </c>
    </row>
    <row r="57" spans="1:12">
      <c r="A57" s="212" t="s">
        <v>177</v>
      </c>
      <c r="B57" s="172"/>
      <c r="C57" s="172"/>
      <c r="D57" s="97"/>
      <c r="E57" s="97"/>
      <c r="F57" s="97"/>
      <c r="G57" s="97"/>
      <c r="H57" s="97"/>
      <c r="I57" s="97"/>
      <c r="J57" s="97"/>
      <c r="K57" s="98"/>
    </row>
    <row r="58" spans="1:12" ht="15" thickBot="1">
      <c r="A58" s="185" t="s">
        <v>278</v>
      </c>
      <c r="B58" s="172"/>
      <c r="C58" s="172"/>
      <c r="D58" s="100"/>
      <c r="E58" s="97"/>
      <c r="F58" s="97"/>
      <c r="G58" s="97"/>
      <c r="H58" s="97"/>
      <c r="I58" s="97"/>
      <c r="J58" s="97"/>
      <c r="K58" s="98"/>
    </row>
    <row r="59" spans="1:12" ht="15">
      <c r="A59" s="185" t="s">
        <v>276</v>
      </c>
      <c r="B59" s="172"/>
      <c r="C59" s="172"/>
      <c r="D59" s="607" t="e">
        <f>(HLOOKUP($A$12,'Expense Input File'!$A$27:$L$91,48,FALSE))</f>
        <v>#N/A</v>
      </c>
      <c r="E59" s="100"/>
      <c r="F59" s="213">
        <v>450.73733654980953</v>
      </c>
      <c r="G59" s="100"/>
      <c r="H59" s="100"/>
      <c r="I59" s="213">
        <v>271.51771963139623</v>
      </c>
      <c r="J59" s="100"/>
      <c r="K59" s="98"/>
    </row>
    <row r="60" spans="1:12">
      <c r="A60" s="185" t="s">
        <v>277</v>
      </c>
      <c r="B60" s="172"/>
      <c r="C60" s="172"/>
      <c r="D60" s="608" t="e">
        <f>(HLOOKUP($A$12,'Expense Input File'!$A$27:$L$91,49,FALSE))</f>
        <v>#N/A</v>
      </c>
      <c r="E60" s="100"/>
      <c r="F60" s="97"/>
      <c r="G60" s="182" t="e">
        <f>D60</f>
        <v>#N/A</v>
      </c>
      <c r="H60" s="97"/>
      <c r="I60" s="97"/>
      <c r="J60" s="97"/>
      <c r="K60" s="98"/>
    </row>
    <row r="61" spans="1:12" ht="15" thickBot="1">
      <c r="A61" s="185" t="s">
        <v>275</v>
      </c>
      <c r="B61" s="172"/>
      <c r="C61" s="172"/>
      <c r="D61" s="608" t="e">
        <f>(HLOOKUP($A$12,'Expense Input File'!$A$27:$L$91,52,FALSE))</f>
        <v>#N/A</v>
      </c>
      <c r="E61" s="100"/>
      <c r="F61" s="182" t="e">
        <f>D61</f>
        <v>#N/A</v>
      </c>
      <c r="G61" s="97"/>
      <c r="H61" s="97"/>
      <c r="I61" s="97"/>
      <c r="J61" s="97"/>
      <c r="K61" s="98"/>
    </row>
    <row r="62" spans="1:12" ht="15.75" thickBot="1">
      <c r="A62" s="185" t="s">
        <v>469</v>
      </c>
      <c r="B62" s="172"/>
      <c r="C62" s="172"/>
      <c r="D62" s="608" t="e">
        <f>(HLOOKUP($A$12,'Expense Input File'!$A$27:$L$91,50,FALSE))</f>
        <v>#N/A</v>
      </c>
      <c r="E62" s="100"/>
      <c r="F62" s="614" t="e">
        <f>$D$62*0.397156801</f>
        <v>#N/A</v>
      </c>
      <c r="G62" s="614" t="e">
        <f>$D$62*0.602844218</f>
        <v>#N/A</v>
      </c>
      <c r="H62" s="97"/>
      <c r="I62" s="97"/>
      <c r="J62" s="97"/>
      <c r="K62" s="98"/>
    </row>
    <row r="63" spans="1:12" ht="15" thickBot="1">
      <c r="A63" s="185" t="s">
        <v>274</v>
      </c>
      <c r="B63" s="172"/>
      <c r="C63" s="172"/>
      <c r="D63" s="609" t="e">
        <f>HLOOKUP($A$12,'Expense Input File'!$B$27:$L$91,53,FALSE)</f>
        <v>#N/A</v>
      </c>
      <c r="E63" s="169" t="e">
        <f>(E38/D38)*D63</f>
        <v>#N/A</v>
      </c>
      <c r="F63" s="169" t="e">
        <f>(F38/D38)*D63</f>
        <v>#N/A</v>
      </c>
      <c r="G63" s="169" t="e">
        <f>(G38/D38)*D63</f>
        <v>#N/A</v>
      </c>
      <c r="H63" s="169" t="e">
        <f>(H38/D38)*D63</f>
        <v>#N/A</v>
      </c>
      <c r="I63" s="169" t="e">
        <f>(I38/D38)*D63</f>
        <v>#N/A</v>
      </c>
      <c r="J63" s="169" t="e">
        <f>(J38/D38)*D63</f>
        <v>#N/A</v>
      </c>
      <c r="K63" s="98"/>
    </row>
    <row r="64" spans="1:12" ht="15.75" thickBot="1">
      <c r="A64" s="185" t="s">
        <v>263</v>
      </c>
      <c r="B64" s="168"/>
      <c r="C64" s="172"/>
      <c r="D64" s="404" t="e">
        <f>K64</f>
        <v>#N/A</v>
      </c>
      <c r="E64" s="100"/>
      <c r="F64" s="97"/>
      <c r="G64" s="97"/>
      <c r="H64" s="97"/>
      <c r="I64" s="97"/>
      <c r="J64" s="97"/>
      <c r="K64" s="588" t="e">
        <f>HLOOKUP($A$12,'Expense Input File'!$A$27:$L$91,46,FALSE)</f>
        <v>#N/A</v>
      </c>
    </row>
    <row r="65" spans="1:12" ht="15">
      <c r="A65" s="185" t="s">
        <v>665</v>
      </c>
      <c r="B65" s="168"/>
      <c r="C65" s="172"/>
      <c r="D65" s="404" t="e">
        <f>K65</f>
        <v>#N/A</v>
      </c>
      <c r="E65" s="100"/>
      <c r="F65" s="100"/>
      <c r="G65" s="100"/>
      <c r="H65" s="100"/>
      <c r="I65" s="100"/>
      <c r="J65" s="100"/>
      <c r="K65" s="99" t="e">
        <f>HLOOKUP($A$12,'Expense Input File'!$H$14:$L$107,MATCH($A$65,'Expense Input File'!$B$14:$B$107,0),0)</f>
        <v>#N/A</v>
      </c>
    </row>
    <row r="66" spans="1:12" ht="15">
      <c r="A66" s="179" t="s">
        <v>288</v>
      </c>
      <c r="B66" s="172"/>
      <c r="C66" s="172"/>
      <c r="D66" s="405" t="e">
        <f>SUM(D59:D65)</f>
        <v>#N/A</v>
      </c>
      <c r="E66" s="405" t="e">
        <f t="shared" ref="E66:K66" si="7">SUM(E59:E65)</f>
        <v>#N/A</v>
      </c>
      <c r="F66" s="405" t="e">
        <f t="shared" si="7"/>
        <v>#N/A</v>
      </c>
      <c r="G66" s="405" t="e">
        <f t="shared" si="7"/>
        <v>#N/A</v>
      </c>
      <c r="H66" s="405" t="e">
        <f t="shared" si="7"/>
        <v>#N/A</v>
      </c>
      <c r="I66" s="405" t="e">
        <f t="shared" si="7"/>
        <v>#N/A</v>
      </c>
      <c r="J66" s="405" t="e">
        <f t="shared" si="7"/>
        <v>#N/A</v>
      </c>
      <c r="K66" s="406" t="e">
        <f t="shared" si="7"/>
        <v>#N/A</v>
      </c>
    </row>
    <row r="67" spans="1:12" ht="15" thickBot="1">
      <c r="A67" s="185" t="s">
        <v>279</v>
      </c>
      <c r="B67" s="172"/>
      <c r="C67" s="172"/>
      <c r="D67" s="97"/>
      <c r="E67" s="100"/>
      <c r="F67" s="97"/>
      <c r="G67" s="97"/>
      <c r="H67" s="97"/>
      <c r="I67" s="97"/>
      <c r="J67" s="97"/>
      <c r="K67" s="98"/>
    </row>
    <row r="68" spans="1:12" ht="15" thickBot="1">
      <c r="A68" s="185" t="s">
        <v>42</v>
      </c>
      <c r="B68" s="172"/>
      <c r="C68" s="172"/>
      <c r="D68" s="169" t="e">
        <f>SUM(E68:K68)</f>
        <v>#N/A</v>
      </c>
      <c r="E68" s="610" t="e">
        <f>(HLOOKUP($A$12,'Expense Input File'!$B$71:$L$93,22,FALSE))*E15</f>
        <v>#N/A</v>
      </c>
      <c r="F68" s="611" t="e">
        <f>(HLOOKUP($A$12,'Expense Input File'!$B$71:$L$93,22,FALSE))*F15</f>
        <v>#N/A</v>
      </c>
      <c r="G68" s="611" t="e">
        <f>(HLOOKUP($A$12,'Expense Input File'!$B$71:$L$93,22,FALSE))*G15</f>
        <v>#N/A</v>
      </c>
      <c r="H68" s="611" t="e">
        <f>(HLOOKUP($A$12,'Expense Input File'!$B$71:$L$93,22,FALSE))*H15</f>
        <v>#N/A</v>
      </c>
      <c r="I68" s="611" t="e">
        <f>(HLOOKUP($A$12,'Expense Input File'!$B$71:$L$93,22,FALSE))*I15</f>
        <v>#N/A</v>
      </c>
      <c r="J68" s="591" t="e">
        <f>(HLOOKUP($A$12,'Expense Input File'!$B$71:$L$93,22,FALSE))*J15</f>
        <v>#N/A</v>
      </c>
      <c r="K68" s="624" t="e">
        <f>((HLOOKUP($A$12,'Expense Input File'!$B$71:$L$93,22,FALSE))*K15)+(HLOOKUP($A$12,'Expense Input File'!$B$71:$L$93,23,FALSE))</f>
        <v>#N/A</v>
      </c>
      <c r="L68" s="286" t="s">
        <v>707</v>
      </c>
    </row>
    <row r="69" spans="1:12" ht="15" thickBot="1">
      <c r="A69" s="185" t="s">
        <v>43</v>
      </c>
      <c r="B69" s="172"/>
      <c r="C69" s="172"/>
      <c r="D69" s="607" t="e">
        <f>HLOOKUP($A$12,'Expense Input File'!$A$27:$L$91,57,FALSE)</f>
        <v>#N/A</v>
      </c>
      <c r="E69" s="100"/>
      <c r="F69" s="182" t="e">
        <f>D69</f>
        <v>#N/A</v>
      </c>
      <c r="G69" s="107"/>
      <c r="H69" s="107"/>
      <c r="I69" s="107"/>
      <c r="J69" s="107"/>
      <c r="K69" s="108"/>
    </row>
    <row r="70" spans="1:12" ht="15" thickBot="1">
      <c r="A70" s="185" t="s">
        <v>44</v>
      </c>
      <c r="B70" s="172"/>
      <c r="C70" s="172"/>
      <c r="D70" s="608" t="e">
        <f>HLOOKUP($A$12,'Expense Input File'!$A$27:$L$91,58,FALSE)</f>
        <v>#N/A</v>
      </c>
      <c r="E70" s="201" t="e">
        <f>(E49/D49)*D70</f>
        <v>#REF!</v>
      </c>
      <c r="F70" s="169" t="e">
        <f>(F49/D49)*D70</f>
        <v>#REF!</v>
      </c>
      <c r="G70" s="169" t="e">
        <f>(G49/D49)*D70</f>
        <v>#REF!</v>
      </c>
      <c r="H70" s="169" t="e">
        <f>(H49/D49)*D70</f>
        <v>#REF!</v>
      </c>
      <c r="I70" s="169" t="e">
        <f>(I49/D49)*D70</f>
        <v>#REF!</v>
      </c>
      <c r="J70" s="169" t="e">
        <f>(J49/D49)*D70</f>
        <v>#REF!</v>
      </c>
      <c r="K70" s="623" t="e">
        <f>(K49/D49)*D70</f>
        <v>#REF!</v>
      </c>
      <c r="L70" s="286" t="s">
        <v>707</v>
      </c>
    </row>
    <row r="71" spans="1:12" ht="15" thickBot="1">
      <c r="A71" s="185" t="s">
        <v>45</v>
      </c>
      <c r="B71" s="172"/>
      <c r="C71" s="172"/>
      <c r="D71" s="609" t="e">
        <f>HLOOKUP($A$12,'Expense Input File'!$A$27:$L$91,59,FALSE)</f>
        <v>#N/A</v>
      </c>
      <c r="E71" s="120"/>
      <c r="F71" s="119"/>
      <c r="G71" s="119"/>
      <c r="H71" s="119"/>
      <c r="I71" s="119"/>
      <c r="J71" s="119"/>
      <c r="K71" s="622" t="e">
        <f>D71</f>
        <v>#N/A</v>
      </c>
      <c r="L71" s="286" t="s">
        <v>707</v>
      </c>
    </row>
    <row r="72" spans="1:12" ht="15.75" thickBot="1">
      <c r="A72" s="179" t="s">
        <v>289</v>
      </c>
      <c r="B72" s="172"/>
      <c r="C72" s="172"/>
      <c r="D72" s="217" t="e">
        <f>SUM(D68:D71)</f>
        <v>#N/A</v>
      </c>
      <c r="E72" s="217" t="e">
        <f t="shared" ref="E72:J72" si="8">SUM(E68:E71)</f>
        <v>#N/A</v>
      </c>
      <c r="F72" s="217" t="e">
        <f t="shared" si="8"/>
        <v>#N/A</v>
      </c>
      <c r="G72" s="217" t="e">
        <f t="shared" si="8"/>
        <v>#N/A</v>
      </c>
      <c r="H72" s="217" t="e">
        <f t="shared" si="8"/>
        <v>#N/A</v>
      </c>
      <c r="I72" s="217" t="e">
        <f t="shared" si="8"/>
        <v>#N/A</v>
      </c>
      <c r="J72" s="217" t="e">
        <f t="shared" si="8"/>
        <v>#N/A</v>
      </c>
      <c r="K72" s="692" t="e">
        <f>SUM(K68:K71)</f>
        <v>#N/A</v>
      </c>
      <c r="L72" s="286" t="s">
        <v>707</v>
      </c>
    </row>
    <row r="73" spans="1:12" ht="15.75" thickBot="1">
      <c r="A73" s="219" t="s">
        <v>280</v>
      </c>
      <c r="B73" s="219"/>
      <c r="C73" s="219"/>
      <c r="D73" s="220" t="e">
        <f>SUM(E73:K73)</f>
        <v>#N/A</v>
      </c>
      <c r="E73" s="617" t="e">
        <f>E72+E66</f>
        <v>#N/A</v>
      </c>
      <c r="F73" s="618" t="e">
        <f t="shared" ref="F73:K73" si="9">F72+F66</f>
        <v>#N/A</v>
      </c>
      <c r="G73" s="618" t="e">
        <f t="shared" si="9"/>
        <v>#N/A</v>
      </c>
      <c r="H73" s="618" t="e">
        <f t="shared" si="9"/>
        <v>#N/A</v>
      </c>
      <c r="I73" s="618" t="e">
        <f t="shared" si="9"/>
        <v>#N/A</v>
      </c>
      <c r="J73" s="618" t="e">
        <f t="shared" si="9"/>
        <v>#N/A</v>
      </c>
      <c r="K73" s="619" t="e">
        <f t="shared" si="9"/>
        <v>#N/A</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t="e">
        <f>HLOOKUP($A$12,'Expense Input File'!$A$71:$L$94,24,FALSE)</f>
        <v>#N/A</v>
      </c>
      <c r="E75" s="617"/>
      <c r="F75" s="618" t="e">
        <f>+$D75*(F56/SUM($F56:$H56))</f>
        <v>#N/A</v>
      </c>
      <c r="G75" s="618" t="e">
        <f>+$D75*(G56/SUM($F56:$H56))</f>
        <v>#N/A</v>
      </c>
      <c r="H75" s="618" t="e">
        <f>+$D75*(H56/SUM($F56:$H56))</f>
        <v>#N/A</v>
      </c>
      <c r="I75" s="618"/>
      <c r="J75" s="618"/>
      <c r="K75" s="619"/>
      <c r="L75" s="286" t="s">
        <v>704</v>
      </c>
    </row>
    <row r="76" spans="1:12">
      <c r="D76" s="229"/>
    </row>
    <row r="77" spans="1:12">
      <c r="D77" s="286" t="s">
        <v>716</v>
      </c>
      <c r="E77" s="111" t="e">
        <f>+E73+E75</f>
        <v>#N/A</v>
      </c>
      <c r="F77" s="111" t="e">
        <f t="shared" ref="F77:K77" si="10">+F73+F75</f>
        <v>#N/A</v>
      </c>
      <c r="G77" s="111" t="e">
        <f t="shared" si="10"/>
        <v>#N/A</v>
      </c>
      <c r="H77" s="111" t="e">
        <f t="shared" si="10"/>
        <v>#N/A</v>
      </c>
      <c r="I77" s="111" t="e">
        <f t="shared" si="10"/>
        <v>#N/A</v>
      </c>
      <c r="J77" s="111" t="e">
        <f t="shared" si="10"/>
        <v>#N/A</v>
      </c>
      <c r="K77" s="111" t="e">
        <f t="shared" si="10"/>
        <v>#N/A</v>
      </c>
      <c r="L77" s="90" t="s">
        <v>719</v>
      </c>
    </row>
  </sheetData>
  <customSheetViews>
    <customSheetView guid="{2226E858-00AE-4A92-8CF6-5B54D2FA62D4}" showPageBreaks="1" fitToPage="1" topLeftCell="A16">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B00-000000000000}"/>
    <hyperlink ref="I4" location="AFUDC!A1" display="AFUDC" xr:uid="{00000000-0004-0000-1B00-000001000000}"/>
    <hyperlink ref="I3" location="'Repayment Inputs'!A1" display="Repayment Inputs" xr:uid="{00000000-0004-0000-1B00-000002000000}"/>
    <hyperlink ref="I6" location="'Expense Input File'!A1" display="Expense Input" xr:uid="{00000000-0004-0000-1B00-000003000000}"/>
    <hyperlink ref="G6" r:id="rId2" xr:uid="{00000000-0004-0000-1B00-000004000000}"/>
  </hyperlinks>
  <pageMargins left="0.25" right="0.25" top="0.75" bottom="0.75" header="0.3" footer="0.3"/>
  <pageSetup scale="56" orientation="portrait" r:id="rId3"/>
  <legacyDrawing r:id="rId4"/>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codeName="Sheet25">
    <tabColor rgb="FFCCFF66"/>
    <pageSetUpPr autoPageBreaks="0" fitToPage="1"/>
  </sheetPr>
  <dimension ref="A1:L77"/>
  <sheetViews>
    <sheetView topLeftCell="A34" workbookViewId="0">
      <selection activeCell="D69" sqref="D69:D71"/>
    </sheetView>
  </sheetViews>
  <sheetFormatPr defaultColWidth="9.140625" defaultRowHeight="14.25" outlineLevelRow="1"/>
  <cols>
    <col min="1" max="2" width="9.140625" style="90"/>
    <col min="3" max="3" width="33.85546875" style="90" customWidth="1"/>
    <col min="4" max="11" width="15.7109375" style="90" customWidth="1"/>
    <col min="12" max="16384" width="9.140625" style="90"/>
  </cols>
  <sheetData>
    <row r="1" spans="1:11" ht="18" outlineLevel="1">
      <c r="A1" s="996" t="s">
        <v>505</v>
      </c>
      <c r="B1" s="997"/>
      <c r="C1" s="997"/>
      <c r="D1" s="997"/>
      <c r="E1" s="997"/>
      <c r="F1" s="997"/>
      <c r="G1" s="997"/>
      <c r="H1" s="997"/>
      <c r="I1" s="997"/>
      <c r="J1" s="997"/>
      <c r="K1" s="998"/>
    </row>
    <row r="2" spans="1:11" ht="18" outlineLevel="1">
      <c r="A2" s="407"/>
      <c r="B2" s="125" t="s">
        <v>115</v>
      </c>
      <c r="C2" s="91"/>
      <c r="D2" s="3"/>
      <c r="E2" s="94"/>
      <c r="F2" s="147" t="s">
        <v>397</v>
      </c>
      <c r="G2" s="148"/>
      <c r="H2" s="138"/>
      <c r="I2" s="147" t="s">
        <v>399</v>
      </c>
      <c r="J2" s="139"/>
      <c r="K2" s="408"/>
    </row>
    <row r="3" spans="1:11" ht="18" outlineLevel="1">
      <c r="A3" s="407"/>
      <c r="B3" s="125" t="s">
        <v>73</v>
      </c>
      <c r="C3" s="735" t="s">
        <v>765</v>
      </c>
      <c r="D3" s="3"/>
      <c r="E3" s="94"/>
      <c r="F3" s="150" t="s">
        <v>398</v>
      </c>
      <c r="G3" s="151" t="s">
        <v>235</v>
      </c>
      <c r="H3" s="138"/>
      <c r="I3" s="152" t="s">
        <v>238</v>
      </c>
      <c r="J3" s="138"/>
      <c r="K3" s="408"/>
    </row>
    <row r="4" spans="1:11" ht="18" customHeight="1" outlineLevel="1">
      <c r="A4" s="407"/>
      <c r="B4" s="125" t="s">
        <v>10</v>
      </c>
      <c r="C4" s="153"/>
      <c r="D4" s="3"/>
      <c r="E4" s="94"/>
      <c r="F4" s="144"/>
      <c r="G4" s="331" t="s">
        <v>769</v>
      </c>
      <c r="H4" s="138"/>
      <c r="I4" s="155" t="s">
        <v>87</v>
      </c>
      <c r="J4" s="3"/>
      <c r="K4" s="408"/>
    </row>
    <row r="5" spans="1:11" ht="18" customHeight="1" outlineLevel="1">
      <c r="A5" s="407"/>
      <c r="B5" s="126" t="s">
        <v>9</v>
      </c>
      <c r="C5" s="153" t="e">
        <f>'Revenue Requirement'!#REF!</f>
        <v>#REF!</v>
      </c>
      <c r="D5" s="94"/>
      <c r="F5" s="144" t="str">
        <f>IF('20 Seg Dev'!F5=0," ",'20 Seg Dev'!F5)</f>
        <v xml:space="preserve"> </v>
      </c>
      <c r="G5" s="605" t="s">
        <v>770</v>
      </c>
      <c r="H5" s="138"/>
      <c r="I5" s="141" t="s">
        <v>390</v>
      </c>
      <c r="J5" s="94"/>
      <c r="K5" s="408"/>
    </row>
    <row r="6" spans="1:11" ht="15" outlineLevel="1">
      <c r="A6" s="407"/>
      <c r="B6" s="126" t="s">
        <v>386</v>
      </c>
      <c r="C6" s="93"/>
      <c r="D6" s="94"/>
      <c r="E6" s="157"/>
      <c r="F6" s="157"/>
      <c r="G6" s="158" t="s">
        <v>465</v>
      </c>
      <c r="H6" s="138"/>
      <c r="I6" s="159" t="s">
        <v>387</v>
      </c>
      <c r="J6" s="94"/>
      <c r="K6" s="408"/>
    </row>
    <row r="7" spans="1:11" ht="15" outlineLevel="1">
      <c r="A7" s="407"/>
      <c r="B7" s="126" t="s">
        <v>385</v>
      </c>
      <c r="C7" s="93"/>
      <c r="D7" s="94"/>
      <c r="E7" s="157"/>
      <c r="F7" s="616" t="s">
        <v>469</v>
      </c>
      <c r="G7" s="613" t="s">
        <v>703</v>
      </c>
      <c r="H7" s="138"/>
      <c r="I7" s="140"/>
      <c r="J7" s="94"/>
      <c r="K7" s="408"/>
    </row>
    <row r="8" spans="1:11" ht="15" outlineLevel="1">
      <c r="A8" s="407"/>
      <c r="B8" s="126" t="s">
        <v>281</v>
      </c>
      <c r="C8" s="160">
        <v>2033</v>
      </c>
      <c r="D8" s="94"/>
      <c r="E8" s="92"/>
      <c r="F8" s="92"/>
      <c r="G8" s="157"/>
      <c r="H8" s="223"/>
      <c r="I8" s="92"/>
      <c r="J8" s="92"/>
      <c r="K8" s="408"/>
    </row>
    <row r="9" spans="1:11" ht="15.75" outlineLevel="1" thickBot="1">
      <c r="A9" s="407"/>
      <c r="B9" s="126"/>
      <c r="C9" s="129"/>
      <c r="D9" s="94"/>
      <c r="E9" s="92"/>
      <c r="F9" s="92"/>
      <c r="G9" s="92"/>
      <c r="H9" s="92"/>
      <c r="I9" s="92"/>
      <c r="J9" s="92"/>
      <c r="K9" s="408"/>
    </row>
    <row r="10" spans="1:11" ht="15.75" outlineLevel="1" thickBot="1">
      <c r="A10" s="999"/>
      <c r="B10" s="983"/>
      <c r="C10" s="142"/>
      <c r="D10" s="113"/>
      <c r="E10" s="582" t="s">
        <v>700</v>
      </c>
      <c r="F10" s="113"/>
      <c r="G10" s="621" t="s">
        <v>705</v>
      </c>
      <c r="H10" s="621"/>
      <c r="I10" s="113"/>
      <c r="J10" s="113"/>
      <c r="K10" s="409"/>
    </row>
    <row r="11" spans="1:11" ht="15" outlineLevel="1" thickBot="1">
      <c r="A11" s="136"/>
      <c r="B11" s="94"/>
      <c r="C11" s="94"/>
      <c r="D11" s="94"/>
      <c r="E11" s="94"/>
      <c r="F11" s="94"/>
      <c r="G11" s="94"/>
      <c r="H11" s="94"/>
      <c r="I11" s="94"/>
      <c r="J11" s="94"/>
      <c r="K11" s="95"/>
    </row>
    <row r="12" spans="1:11" ht="29.25" customHeight="1">
      <c r="A12" s="984">
        <f>C8</f>
        <v>2033</v>
      </c>
      <c r="B12" s="985"/>
      <c r="C12" s="985"/>
      <c r="D12" s="161" t="s">
        <v>170</v>
      </c>
      <c r="E12" s="162" t="s">
        <v>171</v>
      </c>
      <c r="F12" s="162" t="s">
        <v>172</v>
      </c>
      <c r="G12" s="162" t="s">
        <v>173</v>
      </c>
      <c r="H12" s="162" t="s">
        <v>174</v>
      </c>
      <c r="I12" s="162" t="s">
        <v>175</v>
      </c>
      <c r="J12" s="162" t="s">
        <v>176</v>
      </c>
      <c r="K12" s="163" t="s">
        <v>177</v>
      </c>
    </row>
    <row r="13" spans="1:11" ht="15.75" thickBot="1">
      <c r="A13" s="165" t="s">
        <v>272</v>
      </c>
      <c r="B13" s="128"/>
      <c r="C13" s="128"/>
      <c r="D13" s="127"/>
      <c r="E13" s="127"/>
      <c r="F13" s="127"/>
      <c r="G13" s="127"/>
      <c r="H13" s="127"/>
      <c r="I13" s="127"/>
      <c r="J13" s="127"/>
      <c r="K13" s="166"/>
    </row>
    <row r="14" spans="1:11" ht="15.75" thickBot="1">
      <c r="A14" s="167" t="s">
        <v>178</v>
      </c>
      <c r="B14" s="168"/>
      <c r="C14" s="168"/>
      <c r="D14" s="169">
        <f>SUM(E14:K14)</f>
        <v>11616261.507305175</v>
      </c>
      <c r="E14" s="578">
        <v>109267.7900777082</v>
      </c>
      <c r="F14" s="579">
        <v>9665950.7487088181</v>
      </c>
      <c r="G14" s="579">
        <v>558687.13956041494</v>
      </c>
      <c r="H14" s="579">
        <v>55399.722792465771</v>
      </c>
      <c r="I14" s="579">
        <v>11348.72442028602</v>
      </c>
      <c r="J14" s="579">
        <v>4855.7701822859472</v>
      </c>
      <c r="K14" s="580">
        <v>1210751.6115631959</v>
      </c>
    </row>
    <row r="15" spans="1:11">
      <c r="A15" s="171" t="s">
        <v>237</v>
      </c>
      <c r="B15" s="172"/>
      <c r="C15" s="172"/>
      <c r="D15" s="173">
        <f>SUM(E15:K15)</f>
        <v>1</v>
      </c>
      <c r="E15" s="174">
        <f>E14/D14</f>
        <v>9.4064506045247378E-3</v>
      </c>
      <c r="F15" s="174">
        <f>F14/D14</f>
        <v>0.83210512630334166</v>
      </c>
      <c r="G15" s="174">
        <f>G14/D14</f>
        <v>4.8095261905826643E-2</v>
      </c>
      <c r="H15" s="174">
        <f>H14/D14</f>
        <v>4.7691525158611728E-3</v>
      </c>
      <c r="I15" s="174">
        <f>I14/D14</f>
        <v>9.7696874447506985E-4</v>
      </c>
      <c r="J15" s="174">
        <f>J14/D14</f>
        <v>4.180148819163786E-4</v>
      </c>
      <c r="K15" s="175">
        <f>K14/D14</f>
        <v>0.10422902504405437</v>
      </c>
    </row>
    <row r="16" spans="1:11" ht="15" thickBot="1">
      <c r="A16" s="176" t="s">
        <v>81</v>
      </c>
      <c r="B16" s="172"/>
      <c r="C16" s="172"/>
      <c r="D16" s="97"/>
      <c r="E16" s="97"/>
      <c r="F16" s="97"/>
      <c r="G16" s="97"/>
      <c r="H16" s="97"/>
      <c r="I16" s="97"/>
      <c r="J16" s="97"/>
      <c r="K16" s="98"/>
    </row>
    <row r="17" spans="1:12" ht="15" thickBot="1">
      <c r="A17" s="167"/>
      <c r="B17" s="172" t="s">
        <v>499</v>
      </c>
      <c r="C17" s="172"/>
      <c r="D17" s="169" t="e">
        <f>SUM(E17:K17)</f>
        <v>#N/A</v>
      </c>
      <c r="E17" s="100"/>
      <c r="F17" s="597" t="e">
        <f>HLOOKUP($A$12,'Repayment Inputs'!$B$2:$J$24,19,FALSE)</f>
        <v>#N/A</v>
      </c>
      <c r="G17" s="224"/>
      <c r="H17" s="100"/>
      <c r="I17" s="100"/>
      <c r="J17" s="100"/>
      <c r="K17" s="99"/>
    </row>
    <row r="18" spans="1:12">
      <c r="A18" s="167"/>
      <c r="B18" s="172" t="s">
        <v>500</v>
      </c>
      <c r="C18" s="172"/>
      <c r="D18" s="169">
        <f>SUM(E18:K18)</f>
        <v>0</v>
      </c>
      <c r="E18" s="100"/>
      <c r="F18" s="101">
        <f>-(HLOOKUP($A$12,AFUDC!$I$13:$AJ$38,25,FALSE))</f>
        <v>0</v>
      </c>
      <c r="G18" s="100"/>
      <c r="H18" s="100"/>
      <c r="I18" s="100"/>
      <c r="J18" s="100"/>
      <c r="K18" s="99"/>
    </row>
    <row r="19" spans="1:12" ht="15" thickBot="1">
      <c r="A19" s="167"/>
      <c r="B19" s="172" t="s">
        <v>496</v>
      </c>
      <c r="C19" s="172"/>
      <c r="D19" s="169" t="e">
        <f>SUM(E19:K19)</f>
        <v>#N/A</v>
      </c>
      <c r="E19" s="100"/>
      <c r="F19" s="169" t="e">
        <f>SUM(F17:F18)</f>
        <v>#N/A</v>
      </c>
      <c r="G19" s="100"/>
      <c r="H19" s="100"/>
      <c r="I19" s="100"/>
      <c r="J19" s="100"/>
      <c r="K19" s="99"/>
    </row>
    <row r="20" spans="1:12"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2" ht="15.75" thickBot="1">
      <c r="A21" s="179" t="s">
        <v>180</v>
      </c>
      <c r="B21" s="168"/>
      <c r="C21" s="168"/>
      <c r="D21" s="180" t="e">
        <f t="shared" ref="D21:K21" si="0">D20+D19</f>
        <v>#N/A</v>
      </c>
      <c r="E21" s="617" t="e">
        <f t="shared" si="0"/>
        <v>#N/A</v>
      </c>
      <c r="F21" s="618" t="e">
        <f t="shared" si="0"/>
        <v>#N/A</v>
      </c>
      <c r="G21" s="618" t="e">
        <f t="shared" si="0"/>
        <v>#N/A</v>
      </c>
      <c r="H21" s="618" t="e">
        <f t="shared" si="0"/>
        <v>#N/A</v>
      </c>
      <c r="I21" s="618" t="e">
        <f t="shared" si="0"/>
        <v>#N/A</v>
      </c>
      <c r="J21" s="618" t="e">
        <f t="shared" si="0"/>
        <v>#N/A</v>
      </c>
      <c r="K21" s="625" t="e">
        <f t="shared" si="0"/>
        <v>#N/A</v>
      </c>
      <c r="L21" s="286" t="s">
        <v>708</v>
      </c>
    </row>
    <row r="22" spans="1:12" ht="15" thickBot="1">
      <c r="A22" s="176" t="s">
        <v>184</v>
      </c>
      <c r="B22" s="172"/>
      <c r="C22" s="172"/>
      <c r="D22" s="97"/>
      <c r="E22" s="97"/>
      <c r="F22" s="97"/>
      <c r="G22" s="97"/>
      <c r="H22" s="97"/>
      <c r="I22" s="97"/>
      <c r="J22" s="97"/>
      <c r="K22" s="98"/>
    </row>
    <row r="23" spans="1:12" ht="15" thickBot="1">
      <c r="A23" s="167"/>
      <c r="B23" s="172" t="s">
        <v>495</v>
      </c>
      <c r="C23" s="172"/>
      <c r="D23" s="97"/>
      <c r="E23" s="97"/>
      <c r="F23" s="597" t="e">
        <f>HLOOKUP($A$12,'Repayment Inputs'!$A$2:$J$43,38,FALSE)</f>
        <v>#N/A</v>
      </c>
      <c r="G23" s="224"/>
      <c r="H23" s="97"/>
      <c r="I23" s="97"/>
      <c r="J23" s="97"/>
      <c r="K23" s="98"/>
    </row>
    <row r="24" spans="1:12" ht="15" thickBot="1">
      <c r="A24" s="167"/>
      <c r="B24" s="172" t="s">
        <v>496</v>
      </c>
      <c r="C24" s="172"/>
      <c r="D24" s="97"/>
      <c r="E24" s="97"/>
      <c r="F24" s="182" t="e">
        <f>F19</f>
        <v>#N/A</v>
      </c>
      <c r="G24" s="107"/>
      <c r="H24" s="97"/>
      <c r="I24" s="97"/>
      <c r="J24" s="97"/>
      <c r="K24" s="98"/>
    </row>
    <row r="25" spans="1:12" ht="15" thickBot="1">
      <c r="A25" s="167"/>
      <c r="B25" s="172" t="s">
        <v>497</v>
      </c>
      <c r="C25" s="172"/>
      <c r="D25" s="97"/>
      <c r="E25" s="97"/>
      <c r="F25" s="581">
        <v>11286.889087545353</v>
      </c>
      <c r="G25" s="225"/>
      <c r="H25" s="97"/>
      <c r="I25" s="97"/>
      <c r="J25" s="97"/>
      <c r="K25" s="98"/>
    </row>
    <row r="26" spans="1:12">
      <c r="A26" s="167"/>
      <c r="B26" s="172" t="s">
        <v>498</v>
      </c>
      <c r="C26" s="172"/>
      <c r="D26" s="182" t="e">
        <f>F26</f>
        <v>#N/A</v>
      </c>
      <c r="E26" s="97"/>
      <c r="F26" s="182" t="e">
        <f>F23-F24-F25</f>
        <v>#N/A</v>
      </c>
      <c r="G26" s="107"/>
      <c r="H26" s="97"/>
      <c r="I26" s="97"/>
      <c r="J26" s="97"/>
      <c r="K26" s="98"/>
    </row>
    <row r="27" spans="1:12" ht="15" thickBot="1">
      <c r="A27" s="185" t="s">
        <v>481</v>
      </c>
      <c r="B27" s="172"/>
      <c r="C27" s="172"/>
      <c r="D27" s="109"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2" ht="15.75" thickBot="1">
      <c r="A28" s="179" t="s">
        <v>185</v>
      </c>
      <c r="B28" s="172"/>
      <c r="C28" s="172"/>
      <c r="D28" s="180" t="e">
        <f>D27+D26</f>
        <v>#N/A</v>
      </c>
      <c r="E28" s="617" t="e">
        <f t="shared" ref="E28:K28" si="1">E27+E26</f>
        <v>#N/A</v>
      </c>
      <c r="F28" s="618" t="e">
        <f t="shared" si="1"/>
        <v>#N/A</v>
      </c>
      <c r="G28" s="618" t="e">
        <f t="shared" si="1"/>
        <v>#N/A</v>
      </c>
      <c r="H28" s="618" t="e">
        <f t="shared" si="1"/>
        <v>#N/A</v>
      </c>
      <c r="I28" s="618" t="e">
        <f t="shared" si="1"/>
        <v>#N/A</v>
      </c>
      <c r="J28" s="618" t="e">
        <f t="shared" si="1"/>
        <v>#N/A</v>
      </c>
      <c r="K28" s="625" t="e">
        <f t="shared" si="1"/>
        <v>#N/A</v>
      </c>
      <c r="L28" s="286" t="s">
        <v>708</v>
      </c>
    </row>
    <row r="29" spans="1:12" ht="15.75" thickBot="1">
      <c r="A29" s="176" t="s">
        <v>189</v>
      </c>
      <c r="B29" s="172"/>
      <c r="C29" s="172"/>
      <c r="D29" s="122"/>
      <c r="E29" s="122"/>
      <c r="F29" s="122"/>
      <c r="G29" s="122"/>
      <c r="H29" s="122"/>
      <c r="I29" s="122"/>
      <c r="J29" s="122"/>
      <c r="K29" s="121"/>
    </row>
    <row r="30" spans="1:12" ht="15" thickBot="1">
      <c r="A30" s="186" t="s">
        <v>550</v>
      </c>
      <c r="B30" s="172"/>
      <c r="C30" s="172"/>
      <c r="D30" s="169">
        <f>SUM(E30:K30)</f>
        <v>407572.04538600001</v>
      </c>
      <c r="E30" s="583">
        <v>4807</v>
      </c>
      <c r="F30" s="584">
        <v>337664.04538600001</v>
      </c>
      <c r="G30" s="584">
        <v>27899</v>
      </c>
      <c r="H30" s="584">
        <v>3349</v>
      </c>
      <c r="I30" s="584">
        <v>448</v>
      </c>
      <c r="J30" s="584">
        <v>188</v>
      </c>
      <c r="K30" s="585">
        <v>33217</v>
      </c>
    </row>
    <row r="31" spans="1:12" ht="15" thickBot="1">
      <c r="A31" s="186" t="s">
        <v>186</v>
      </c>
      <c r="B31" s="172"/>
      <c r="C31" s="172"/>
      <c r="D31" s="188" t="e">
        <f>SUM(E31:K31)</f>
        <v>#REF!</v>
      </c>
      <c r="E31" s="189" t="e">
        <f>E49/D49</f>
        <v>#REF!</v>
      </c>
      <c r="F31" s="189" t="e">
        <f>F49/D49</f>
        <v>#REF!</v>
      </c>
      <c r="G31" s="189" t="e">
        <f>G49/D49</f>
        <v>#REF!</v>
      </c>
      <c r="H31" s="189" t="e">
        <f>H49/D49</f>
        <v>#REF!</v>
      </c>
      <c r="I31" s="189" t="e">
        <f>I49/D49</f>
        <v>#REF!</v>
      </c>
      <c r="J31" s="189" t="e">
        <f>J49/D49</f>
        <v>#REF!</v>
      </c>
      <c r="K31" s="190" t="e">
        <f>K49/D49</f>
        <v>#REF!</v>
      </c>
    </row>
    <row r="32" spans="1:12" ht="15" thickBot="1">
      <c r="A32" s="186" t="s">
        <v>187</v>
      </c>
      <c r="B32" s="172"/>
      <c r="C32" s="172"/>
      <c r="D32" s="586">
        <v>131569.83487305613</v>
      </c>
      <c r="E32" s="169" t="e">
        <f>D32*E31</f>
        <v>#REF!</v>
      </c>
      <c r="F32" s="169" t="e">
        <f>D32*F31</f>
        <v>#REF!</v>
      </c>
      <c r="G32" s="169" t="e">
        <f>D32*G31</f>
        <v>#REF!</v>
      </c>
      <c r="H32" s="169" t="e">
        <f>D32*H31</f>
        <v>#REF!</v>
      </c>
      <c r="I32" s="169" t="e">
        <f>D32*I31</f>
        <v>#REF!</v>
      </c>
      <c r="J32" s="169" t="e">
        <f>D32*J31</f>
        <v>#REF!</v>
      </c>
      <c r="K32" s="178" t="e">
        <f>D32*K31</f>
        <v>#REF!</v>
      </c>
    </row>
    <row r="33" spans="1:12" ht="15.75" thickBot="1">
      <c r="A33" s="179" t="s">
        <v>188</v>
      </c>
      <c r="B33" s="172"/>
      <c r="C33" s="172"/>
      <c r="D33" s="180" t="e">
        <f>SUM(E33:K33)</f>
        <v>#REF!</v>
      </c>
      <c r="E33" s="617" t="e">
        <f t="shared" ref="E33:K33" si="2">E32+E30</f>
        <v>#REF!</v>
      </c>
      <c r="F33" s="618" t="e">
        <f>F32+F30</f>
        <v>#REF!</v>
      </c>
      <c r="G33" s="618" t="e">
        <f>G32+G30</f>
        <v>#REF!</v>
      </c>
      <c r="H33" s="618" t="e">
        <f t="shared" si="2"/>
        <v>#REF!</v>
      </c>
      <c r="I33" s="618" t="e">
        <f t="shared" si="2"/>
        <v>#REF!</v>
      </c>
      <c r="J33" s="618" t="e">
        <f t="shared" si="2"/>
        <v>#REF!</v>
      </c>
      <c r="K33" s="625" t="e">
        <f t="shared" si="2"/>
        <v>#REF!</v>
      </c>
      <c r="L33" s="286" t="s">
        <v>708</v>
      </c>
    </row>
    <row r="34" spans="1:12" ht="9" customHeight="1">
      <c r="A34" s="167"/>
      <c r="B34" s="172"/>
      <c r="C34" s="172"/>
      <c r="D34" s="97"/>
      <c r="E34" s="97"/>
      <c r="F34" s="97"/>
      <c r="G34" s="97"/>
      <c r="H34" s="97"/>
      <c r="I34" s="97"/>
      <c r="J34" s="97"/>
      <c r="K34" s="98"/>
    </row>
    <row r="35" spans="1:12" ht="15">
      <c r="A35" s="165" t="s">
        <v>236</v>
      </c>
      <c r="B35" s="172"/>
      <c r="C35" s="172"/>
      <c r="D35" s="97"/>
      <c r="E35" s="97"/>
      <c r="F35" s="97"/>
      <c r="G35" s="97"/>
      <c r="H35" s="97"/>
      <c r="I35" s="97"/>
      <c r="J35" s="97"/>
      <c r="K35" s="98"/>
    </row>
    <row r="36" spans="1:12" ht="15" thickBot="1">
      <c r="A36" s="191" t="s">
        <v>520</v>
      </c>
      <c r="B36" s="172"/>
      <c r="C36" s="172"/>
      <c r="D36" s="97"/>
      <c r="E36" s="97"/>
      <c r="F36" s="97"/>
      <c r="G36" s="97"/>
      <c r="H36" s="97"/>
      <c r="I36" s="97"/>
      <c r="J36" s="97"/>
      <c r="K36" s="98"/>
    </row>
    <row r="37" spans="1:12">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2"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2" ht="15">
      <c r="A39" s="195" t="s">
        <v>301</v>
      </c>
      <c r="B39" s="168"/>
      <c r="C39" s="168"/>
      <c r="D39" s="193">
        <f>SUM(D37:D38)</f>
        <v>192019.62406142859</v>
      </c>
      <c r="E39" s="97"/>
      <c r="F39" s="97"/>
      <c r="G39" s="97"/>
      <c r="H39" s="97"/>
      <c r="I39" s="97"/>
      <c r="J39" s="97"/>
      <c r="K39" s="98"/>
    </row>
    <row r="40" spans="1:12" ht="15" thickBot="1">
      <c r="A40" s="196" t="s">
        <v>239</v>
      </c>
      <c r="B40" s="172"/>
      <c r="C40" s="172"/>
      <c r="D40" s="97"/>
      <c r="E40" s="97"/>
      <c r="F40" s="97"/>
      <c r="G40" s="97"/>
      <c r="H40" s="97"/>
      <c r="I40" s="97"/>
      <c r="J40" s="97"/>
      <c r="K40" s="98"/>
    </row>
    <row r="41" spans="1:12" ht="15" thickBot="1">
      <c r="A41" s="185" t="s">
        <v>240</v>
      </c>
      <c r="B41" s="172"/>
      <c r="C41" s="172"/>
      <c r="D41" s="606" t="e">
        <f>'Expense Input File'!#REF!+'Expense Input File'!#REF!+'Expense Input File'!#REF!+'Expense Input File'!#REF!</f>
        <v>#REF!</v>
      </c>
      <c r="E41" s="97"/>
      <c r="F41" s="606" t="e">
        <f>(HLOOKUP($A$12,'Expense Input File'!$A$27:$L$70,33,FALSE))</f>
        <v>#N/A</v>
      </c>
      <c r="G41" s="97"/>
      <c r="H41" s="97"/>
      <c r="I41" s="97"/>
      <c r="J41" s="97"/>
      <c r="K41" s="606" t="e">
        <f>SUM('Expense Input File'!#REF!,'Expense Input File'!#REF!)</f>
        <v>#REF!</v>
      </c>
    </row>
    <row r="42" spans="1:12" ht="15" thickBot="1">
      <c r="A42" s="185" t="s">
        <v>241</v>
      </c>
      <c r="B42" s="172"/>
      <c r="C42" s="172"/>
      <c r="D42" s="606" t="e">
        <f>HLOOKUP($A$12,'Expense Input File'!$B$14:$L$24,4,FALSE)</f>
        <v>#N/A</v>
      </c>
      <c r="E42" s="97"/>
      <c r="F42" s="97"/>
      <c r="G42" s="97"/>
      <c r="H42" s="97"/>
      <c r="I42" s="97"/>
      <c r="J42" s="97"/>
      <c r="K42" s="98"/>
    </row>
    <row r="43" spans="1:12" ht="5.25" customHeight="1">
      <c r="A43" s="185"/>
      <c r="B43" s="172"/>
      <c r="C43" s="172"/>
      <c r="D43" s="100"/>
      <c r="E43" s="97"/>
      <c r="F43" s="97"/>
      <c r="G43" s="97"/>
      <c r="H43" s="97"/>
      <c r="I43" s="97"/>
      <c r="J43" s="97"/>
      <c r="K43" s="98"/>
    </row>
    <row r="44" spans="1:12">
      <c r="A44" s="199" t="s">
        <v>266</v>
      </c>
      <c r="B44" s="172"/>
      <c r="C44" s="172"/>
      <c r="D44" s="182" t="e">
        <f>SUM(D41:D42)</f>
        <v>#REF!</v>
      </c>
      <c r="E44" s="97"/>
      <c r="F44" s="97"/>
      <c r="G44" s="97"/>
      <c r="H44" s="97"/>
      <c r="I44" s="97"/>
      <c r="J44" s="97"/>
      <c r="K44" s="98"/>
    </row>
    <row r="45" spans="1:12">
      <c r="A45" s="200" t="s">
        <v>267</v>
      </c>
      <c r="B45" s="172"/>
      <c r="C45" s="172"/>
      <c r="D45" s="182" t="e">
        <f>D44-D46</f>
        <v>#REF!</v>
      </c>
      <c r="E45" s="226" t="e">
        <f>(E37/D37)*D45</f>
        <v>#REF!</v>
      </c>
      <c r="F45" s="182" t="e">
        <f>(F37/D37)*D45</f>
        <v>#REF!</v>
      </c>
      <c r="G45" s="182" t="e">
        <f>(G37/D37)*D45</f>
        <v>#REF!</v>
      </c>
      <c r="H45" s="182" t="e">
        <f>(H37/D37)*D45</f>
        <v>#REF!</v>
      </c>
      <c r="I45" s="182" t="e">
        <f>(I37/D37)*D45</f>
        <v>#REF!</v>
      </c>
      <c r="J45" s="182" t="e">
        <f>(J37/D37)*D45</f>
        <v>#REF!</v>
      </c>
      <c r="K45" s="98"/>
    </row>
    <row r="46" spans="1:12">
      <c r="A46" s="200" t="s">
        <v>269</v>
      </c>
      <c r="B46" s="172"/>
      <c r="C46" s="172"/>
      <c r="D46" s="169" t="e">
        <f>((D38/D39)*D44)</f>
        <v>#REF!</v>
      </c>
      <c r="E46" s="226" t="e">
        <f>(E38/D38)*D46</f>
        <v>#REF!</v>
      </c>
      <c r="F46" s="182" t="e">
        <f>(F38/D38)*D46</f>
        <v>#REF!</v>
      </c>
      <c r="G46" s="182" t="e">
        <f>(G38/D38)*D46</f>
        <v>#REF!</v>
      </c>
      <c r="H46" s="182" t="e">
        <f>(H38/D38)*D46</f>
        <v>#REF!</v>
      </c>
      <c r="I46" s="182" t="e">
        <f>(I38/D38)*D46</f>
        <v>#REF!</v>
      </c>
      <c r="J46" s="182" t="e">
        <f>(J38/D38)*D46</f>
        <v>#REF!</v>
      </c>
      <c r="K46" s="98"/>
    </row>
    <row r="47" spans="1:12" ht="15.75" thickBot="1">
      <c r="A47" s="202" t="s">
        <v>268</v>
      </c>
      <c r="B47" s="168"/>
      <c r="C47" s="168"/>
      <c r="D47" s="182" t="e">
        <f>SUM(E47:J47)</f>
        <v>#REF!</v>
      </c>
      <c r="E47" s="182" t="e">
        <f t="shared" ref="E47:J47" si="3">SUM(E45:E46)</f>
        <v>#REF!</v>
      </c>
      <c r="F47" s="182" t="e">
        <f t="shared" si="3"/>
        <v>#REF!</v>
      </c>
      <c r="G47" s="182" t="e">
        <f t="shared" si="3"/>
        <v>#REF!</v>
      </c>
      <c r="H47" s="182" t="e">
        <f t="shared" si="3"/>
        <v>#REF!</v>
      </c>
      <c r="I47" s="182" t="e">
        <f t="shared" si="3"/>
        <v>#REF!</v>
      </c>
      <c r="J47" s="182" t="e">
        <f t="shared" si="3"/>
        <v>#REF!</v>
      </c>
      <c r="K47" s="98"/>
    </row>
    <row r="48" spans="1:12" ht="15" thickBot="1">
      <c r="A48" s="203" t="s">
        <v>25</v>
      </c>
      <c r="B48" s="172"/>
      <c r="C48" s="172"/>
      <c r="D48" s="204" t="e">
        <f>K48</f>
        <v>#REF!</v>
      </c>
      <c r="E48" s="119"/>
      <c r="F48" s="119"/>
      <c r="G48" s="119"/>
      <c r="H48" s="119"/>
      <c r="I48" s="119"/>
      <c r="J48" s="119"/>
      <c r="K48" s="607" t="e">
        <f>SUM('Expense Input File'!#REF!)</f>
        <v>#REF!</v>
      </c>
    </row>
    <row r="49" spans="1:12" ht="15.75" thickBot="1">
      <c r="A49" s="206" t="s">
        <v>270</v>
      </c>
      <c r="B49" s="168"/>
      <c r="C49" s="168"/>
      <c r="D49" s="180" t="e">
        <f>SUM(E49:K49)</f>
        <v>#REF!</v>
      </c>
      <c r="E49" s="180" t="e">
        <f t="shared" ref="E49:J49" si="4">E47</f>
        <v>#REF!</v>
      </c>
      <c r="F49" s="180" t="e">
        <f>F47+F41</f>
        <v>#REF!</v>
      </c>
      <c r="G49" s="180" t="e">
        <f t="shared" si="4"/>
        <v>#REF!</v>
      </c>
      <c r="H49" s="180" t="e">
        <f t="shared" si="4"/>
        <v>#REF!</v>
      </c>
      <c r="I49" s="180" t="e">
        <f t="shared" si="4"/>
        <v>#REF!</v>
      </c>
      <c r="J49" s="180" t="e">
        <f t="shared" si="4"/>
        <v>#REF!</v>
      </c>
      <c r="K49" s="625" t="e">
        <f>K48+K41</f>
        <v>#REF!</v>
      </c>
      <c r="L49" s="286" t="s">
        <v>707</v>
      </c>
    </row>
    <row r="50" spans="1:12" ht="15" thickBot="1">
      <c r="A50" s="196" t="s">
        <v>271</v>
      </c>
      <c r="B50" s="172"/>
      <c r="C50" s="172"/>
      <c r="D50" s="97"/>
      <c r="E50" s="97"/>
      <c r="F50" s="97"/>
      <c r="G50" s="97"/>
      <c r="H50" s="97"/>
      <c r="I50" s="97"/>
      <c r="J50" s="97"/>
      <c r="K50" s="98"/>
    </row>
    <row r="51" spans="1:12" ht="15" thickBot="1">
      <c r="A51" s="207" t="s">
        <v>46</v>
      </c>
      <c r="B51" s="172"/>
      <c r="C51" s="172"/>
      <c r="D51" s="607" t="e">
        <f>SUM((HLOOKUP($A$12,'Expense Input File'!$A$27:$L$70,10,FALSE)),(HLOOKUP($A$12,'Expense Input File'!$A$27:$L$70,11,FALSE)),(HLOOKUP($A$12,'Expense Input File'!$A$27:$L$70,12,FALSE)),(HLOOKUP($A$12,'Expense Input File'!$A$27:$L$70,13,FALSE)))</f>
        <v>#N/A</v>
      </c>
      <c r="E51" s="169" t="e">
        <f>(E49/D49)*D51</f>
        <v>#REF!</v>
      </c>
      <c r="F51" s="169" t="e">
        <f>(F49/D49)*D51</f>
        <v>#REF!</v>
      </c>
      <c r="G51" s="169" t="e">
        <f>(G49/D49)*D51</f>
        <v>#REF!</v>
      </c>
      <c r="H51" s="169" t="e">
        <f>(H49/D49)*D51</f>
        <v>#REF!</v>
      </c>
      <c r="I51" s="169" t="e">
        <f>(I49/D49)*D51</f>
        <v>#REF!</v>
      </c>
      <c r="J51" s="169" t="e">
        <f>(J49/D49)*D51</f>
        <v>#REF!</v>
      </c>
      <c r="K51" s="623" t="e">
        <f>(K49/D49)*D51</f>
        <v>#REF!</v>
      </c>
      <c r="L51" s="286" t="s">
        <v>707</v>
      </c>
    </row>
    <row r="52" spans="1:12" ht="15" thickBot="1">
      <c r="A52" s="207" t="s">
        <v>47</v>
      </c>
      <c r="B52" s="172"/>
      <c r="C52" s="172"/>
      <c r="D52" s="608" t="e">
        <f>SUM('Expense Input File'!#REF!)</f>
        <v>#REF!</v>
      </c>
      <c r="E52" s="169" t="e">
        <f>(E49/D49)*D52</f>
        <v>#REF!</v>
      </c>
      <c r="F52" s="169" t="e">
        <f>(F49/D49)*D52</f>
        <v>#REF!</v>
      </c>
      <c r="G52" s="169" t="e">
        <f>(G49/D49)*D52</f>
        <v>#REF!</v>
      </c>
      <c r="H52" s="169" t="e">
        <f>(H49/D49)*D52</f>
        <v>#REF!</v>
      </c>
      <c r="I52" s="169" t="e">
        <f>(I49/D49)*D52</f>
        <v>#REF!</v>
      </c>
      <c r="J52" s="169" t="e">
        <f>(J49/D49)*D52</f>
        <v>#REF!</v>
      </c>
      <c r="K52" s="626" t="e">
        <f>(K49/D49)*D52</f>
        <v>#REF!</v>
      </c>
      <c r="L52" s="286" t="s">
        <v>707</v>
      </c>
    </row>
    <row r="53" spans="1:12" ht="15" thickBot="1">
      <c r="A53" s="207" t="s">
        <v>273</v>
      </c>
      <c r="B53" s="172"/>
      <c r="C53" s="172"/>
      <c r="D53" s="608" t="e">
        <f>HLOOKUP($A$12,'Expense Input File'!$B$14:$L$24,3,FALSE)</f>
        <v>#N/A</v>
      </c>
      <c r="E53" s="610" t="e">
        <f>(E49/D49)*(D53-(HLOOKUP($A$12,'Expense Input File'!$A$14:$L$24,10,FALSE)))</f>
        <v>#REF!</v>
      </c>
      <c r="F53" s="591" t="e">
        <f>(F49/D49)*(D53-(HLOOKUP($A$12,'Expense Input File'!$A$14:$L$24,10,FALSE)))</f>
        <v>#REF!</v>
      </c>
      <c r="G53" s="611" t="e">
        <f>(G49/D49)*(D53-(HLOOKUP($A$12,'Expense Input File'!$A$14:$L$24,10,FALSE)))</f>
        <v>#REF!</v>
      </c>
      <c r="H53" s="611" t="e">
        <f>(H49/D49)*(D53-(HLOOKUP($A$12,'Expense Input File'!$A$14:$L$24,10,FALSE)))</f>
        <v>#REF!</v>
      </c>
      <c r="I53" s="611" t="e">
        <f>(I49/D49)*(D53-(HLOOKUP($A$12,'Expense Input File'!$A$14:$L$24,10,FALSE)))</f>
        <v>#REF!</v>
      </c>
      <c r="J53" s="591" t="e">
        <f>(J49/D49)*(D53-(HLOOKUP($A$12,'Expense Input File'!$A$14:$L$24,10,FALSE)))</f>
        <v>#REF!</v>
      </c>
      <c r="K53" s="628" t="e">
        <f>((K49/D49)*(D53-(HLOOKUP($A$12,'Expense Input File'!$A$14:$L$24,10,FALSE))))+(HLOOKUP($A$12,'Expense Input File'!$A$14:$L$24,10,FALSE))</f>
        <v>#REF!</v>
      </c>
      <c r="L53" s="286" t="s">
        <v>707</v>
      </c>
    </row>
    <row r="54" spans="1:12" ht="15" thickBot="1">
      <c r="A54" s="207" t="s">
        <v>292</v>
      </c>
      <c r="B54" s="172"/>
      <c r="C54" s="172"/>
      <c r="D54" s="609" t="e">
        <f>SUM((HLOOKUP($A$12,'Expense Input File'!$A$14:$L$24,7,FALSE)),(HLOOKUP($A$12,'Expense Input File'!$A$14:$L$24,8,FALSE)))</f>
        <v>#N/A</v>
      </c>
      <c r="E54" s="209" t="e">
        <f>(E49/D49)*D54</f>
        <v>#REF!</v>
      </c>
      <c r="F54" s="209" t="e">
        <f>(F49/D49)*D54</f>
        <v>#REF!</v>
      </c>
      <c r="G54" s="209" t="e">
        <f>(G49/D49)*D54</f>
        <v>#REF!</v>
      </c>
      <c r="H54" s="209" t="e">
        <f>(H49/D49)*D54</f>
        <v>#REF!</v>
      </c>
      <c r="I54" s="209" t="e">
        <f>(I49/D49)*D54</f>
        <v>#REF!</v>
      </c>
      <c r="J54" s="209" t="e">
        <f>(J49/D49)*D54</f>
        <v>#REF!</v>
      </c>
      <c r="K54" s="627" t="e">
        <f>(K49/D49)*D54</f>
        <v>#REF!</v>
      </c>
      <c r="L54" s="286" t="s">
        <v>707</v>
      </c>
    </row>
    <row r="55" spans="1:12" ht="15.75" thickBot="1">
      <c r="A55" s="211" t="s">
        <v>290</v>
      </c>
      <c r="B55" s="172"/>
      <c r="C55" s="172"/>
      <c r="D55" s="180" t="e">
        <f>SUM(D51:D54)</f>
        <v>#N/A</v>
      </c>
      <c r="E55" s="180" t="e">
        <f t="shared" ref="E55:J55" si="5">SUM(E51:E54)</f>
        <v>#REF!</v>
      </c>
      <c r="F55" s="180" t="e">
        <f t="shared" si="5"/>
        <v>#REF!</v>
      </c>
      <c r="G55" s="180" t="e">
        <f t="shared" si="5"/>
        <v>#REF!</v>
      </c>
      <c r="H55" s="180" t="e">
        <f t="shared" si="5"/>
        <v>#REF!</v>
      </c>
      <c r="I55" s="180" t="e">
        <f t="shared" si="5"/>
        <v>#REF!</v>
      </c>
      <c r="J55" s="180" t="e">
        <f t="shared" si="5"/>
        <v>#REF!</v>
      </c>
      <c r="K55" s="625" t="e">
        <f>SUM(K51:K54)</f>
        <v>#REF!</v>
      </c>
      <c r="L55" s="286" t="s">
        <v>707</v>
      </c>
    </row>
    <row r="56" spans="1:12" ht="15.75" thickBot="1">
      <c r="A56" s="165" t="s">
        <v>262</v>
      </c>
      <c r="B56" s="172"/>
      <c r="C56" s="172"/>
      <c r="D56" s="180" t="e">
        <f t="shared" ref="D56:K56" si="6">D55+D49</f>
        <v>#N/A</v>
      </c>
      <c r="E56" s="617" t="e">
        <f t="shared" si="6"/>
        <v>#REF!</v>
      </c>
      <c r="F56" s="618" t="e">
        <f t="shared" si="6"/>
        <v>#REF!</v>
      </c>
      <c r="G56" s="618" t="e">
        <f t="shared" si="6"/>
        <v>#REF!</v>
      </c>
      <c r="H56" s="618" t="e">
        <f t="shared" si="6"/>
        <v>#REF!</v>
      </c>
      <c r="I56" s="618" t="e">
        <f t="shared" si="6"/>
        <v>#REF!</v>
      </c>
      <c r="J56" s="618" t="e">
        <f t="shared" si="6"/>
        <v>#REF!</v>
      </c>
      <c r="K56" s="619" t="e">
        <f t="shared" si="6"/>
        <v>#REF!</v>
      </c>
      <c r="L56" s="286" t="s">
        <v>704</v>
      </c>
    </row>
    <row r="57" spans="1:12">
      <c r="A57" s="212" t="s">
        <v>177</v>
      </c>
      <c r="B57" s="172"/>
      <c r="C57" s="172"/>
      <c r="D57" s="97"/>
      <c r="E57" s="97"/>
      <c r="F57" s="97"/>
      <c r="G57" s="97"/>
      <c r="H57" s="97"/>
      <c r="I57" s="97"/>
      <c r="J57" s="97"/>
      <c r="K57" s="98"/>
    </row>
    <row r="58" spans="1:12" ht="15" thickBot="1">
      <c r="A58" s="185" t="s">
        <v>278</v>
      </c>
      <c r="B58" s="172"/>
      <c r="C58" s="172"/>
      <c r="D58" s="100"/>
      <c r="E58" s="97"/>
      <c r="F58" s="97"/>
      <c r="G58" s="97"/>
      <c r="H58" s="97"/>
      <c r="I58" s="97"/>
      <c r="J58" s="97"/>
      <c r="K58" s="98"/>
    </row>
    <row r="59" spans="1:12" ht="15">
      <c r="A59" s="185" t="s">
        <v>276</v>
      </c>
      <c r="B59" s="172"/>
      <c r="C59" s="172"/>
      <c r="D59" s="607" t="e">
        <f>(HLOOKUP($A$12,'Expense Input File'!$A$27:$L$91,48,FALSE))</f>
        <v>#N/A</v>
      </c>
      <c r="E59" s="100"/>
      <c r="F59" s="213">
        <v>461.13875910621596</v>
      </c>
      <c r="G59" s="100"/>
      <c r="H59" s="100"/>
      <c r="I59" s="213">
        <v>277.78338769221358</v>
      </c>
      <c r="J59" s="100"/>
      <c r="K59" s="98"/>
    </row>
    <row r="60" spans="1:12">
      <c r="A60" s="185" t="s">
        <v>277</v>
      </c>
      <c r="B60" s="172"/>
      <c r="C60" s="172"/>
      <c r="D60" s="608" t="e">
        <f>(HLOOKUP($A$12,'Expense Input File'!$A$27:$L$91,49,FALSE))</f>
        <v>#N/A</v>
      </c>
      <c r="E60" s="100"/>
      <c r="F60" s="97"/>
      <c r="G60" s="182" t="e">
        <f>D60</f>
        <v>#N/A</v>
      </c>
      <c r="H60" s="97"/>
      <c r="I60" s="97"/>
      <c r="J60" s="97"/>
      <c r="K60" s="98"/>
    </row>
    <row r="61" spans="1:12" ht="15" thickBot="1">
      <c r="A61" s="185" t="s">
        <v>275</v>
      </c>
      <c r="B61" s="172"/>
      <c r="C61" s="172"/>
      <c r="D61" s="608" t="e">
        <f>(HLOOKUP($A$12,'Expense Input File'!$A$27:$L$91,52,FALSE))</f>
        <v>#N/A</v>
      </c>
      <c r="E61" s="100"/>
      <c r="F61" s="182" t="e">
        <f>D61</f>
        <v>#N/A</v>
      </c>
      <c r="G61" s="97"/>
      <c r="H61" s="97"/>
      <c r="I61" s="97"/>
      <c r="J61" s="97"/>
      <c r="K61" s="98"/>
    </row>
    <row r="62" spans="1:12" ht="15.75" thickBot="1">
      <c r="A62" s="185" t="s">
        <v>469</v>
      </c>
      <c r="B62" s="172"/>
      <c r="C62" s="172"/>
      <c r="D62" s="608" t="e">
        <f>(HLOOKUP($A$12,'Expense Input File'!$A$27:$L$91,50,FALSE))</f>
        <v>#N/A</v>
      </c>
      <c r="E62" s="100"/>
      <c r="F62" s="614" t="e">
        <f>$D$62*0.397156801</f>
        <v>#N/A</v>
      </c>
      <c r="G62" s="614" t="e">
        <f>$D$62*0.602844218</f>
        <v>#N/A</v>
      </c>
      <c r="H62" s="97"/>
      <c r="I62" s="97"/>
      <c r="J62" s="97"/>
      <c r="K62" s="98"/>
    </row>
    <row r="63" spans="1:12" ht="15" thickBot="1">
      <c r="A63" s="185" t="s">
        <v>274</v>
      </c>
      <c r="B63" s="172"/>
      <c r="C63" s="172"/>
      <c r="D63" s="609" t="e">
        <f>HLOOKUP($A$12,'Expense Input File'!$B$27:$L$91,53,FALSE)</f>
        <v>#N/A</v>
      </c>
      <c r="E63" s="169" t="e">
        <f>(E38/D38)*D63</f>
        <v>#N/A</v>
      </c>
      <c r="F63" s="169" t="e">
        <f>(F38/D38)*D63</f>
        <v>#N/A</v>
      </c>
      <c r="G63" s="169" t="e">
        <f>(G38/D38)*D63</f>
        <v>#N/A</v>
      </c>
      <c r="H63" s="169" t="e">
        <f>(H38/D38)*D63</f>
        <v>#N/A</v>
      </c>
      <c r="I63" s="169" t="e">
        <f>(I38/D38)*D63</f>
        <v>#N/A</v>
      </c>
      <c r="J63" s="169" t="e">
        <f>(J38/D38)*D63</f>
        <v>#N/A</v>
      </c>
      <c r="K63" s="98"/>
    </row>
    <row r="64" spans="1:12" ht="15.75" thickBot="1">
      <c r="A64" s="185" t="s">
        <v>263</v>
      </c>
      <c r="B64" s="168"/>
      <c r="C64" s="172"/>
      <c r="D64" s="404" t="e">
        <f>K64</f>
        <v>#N/A</v>
      </c>
      <c r="E64" s="100"/>
      <c r="F64" s="97"/>
      <c r="G64" s="97"/>
      <c r="H64" s="97"/>
      <c r="I64" s="97"/>
      <c r="J64" s="97"/>
      <c r="K64" s="588" t="e">
        <f>HLOOKUP($A$12,'Expense Input File'!$A$27:$L$91,46,FALSE)</f>
        <v>#N/A</v>
      </c>
    </row>
    <row r="65" spans="1:12" ht="15">
      <c r="A65" s="185" t="s">
        <v>665</v>
      </c>
      <c r="B65" s="168"/>
      <c r="C65" s="172"/>
      <c r="D65" s="404" t="e">
        <f>K65</f>
        <v>#N/A</v>
      </c>
      <c r="E65" s="100"/>
      <c r="F65" s="100"/>
      <c r="G65" s="100"/>
      <c r="H65" s="100"/>
      <c r="I65" s="100"/>
      <c r="J65" s="100"/>
      <c r="K65" s="99" t="e">
        <f>HLOOKUP($A$12,'Expense Input File'!$H$14:$L$107,MATCH($A$65,'Expense Input File'!$B$14:$B$107,0),0)</f>
        <v>#N/A</v>
      </c>
    </row>
    <row r="66" spans="1:12" ht="15">
      <c r="A66" s="179" t="s">
        <v>288</v>
      </c>
      <c r="B66" s="172"/>
      <c r="C66" s="172"/>
      <c r="D66" s="405" t="e">
        <f>SUM(D59:D65)</f>
        <v>#N/A</v>
      </c>
      <c r="E66" s="405" t="e">
        <f t="shared" ref="E66:K66" si="7">SUM(E59:E65)</f>
        <v>#N/A</v>
      </c>
      <c r="F66" s="405" t="e">
        <f t="shared" si="7"/>
        <v>#N/A</v>
      </c>
      <c r="G66" s="405" t="e">
        <f t="shared" si="7"/>
        <v>#N/A</v>
      </c>
      <c r="H66" s="405" t="e">
        <f t="shared" si="7"/>
        <v>#N/A</v>
      </c>
      <c r="I66" s="405" t="e">
        <f t="shared" si="7"/>
        <v>#N/A</v>
      </c>
      <c r="J66" s="405" t="e">
        <f t="shared" si="7"/>
        <v>#N/A</v>
      </c>
      <c r="K66" s="406" t="e">
        <f t="shared" si="7"/>
        <v>#N/A</v>
      </c>
    </row>
    <row r="67" spans="1:12" ht="15" thickBot="1">
      <c r="A67" s="185" t="s">
        <v>279</v>
      </c>
      <c r="B67" s="172"/>
      <c r="C67" s="172"/>
      <c r="D67" s="97"/>
      <c r="E67" s="100"/>
      <c r="F67" s="97"/>
      <c r="G67" s="97"/>
      <c r="H67" s="97"/>
      <c r="I67" s="97"/>
      <c r="J67" s="97"/>
      <c r="K67" s="98"/>
    </row>
    <row r="68" spans="1:12" ht="15" thickBot="1">
      <c r="A68" s="185" t="s">
        <v>42</v>
      </c>
      <c r="B68" s="172"/>
      <c r="C68" s="172"/>
      <c r="D68" s="169" t="e">
        <f>SUM(E68:K68)</f>
        <v>#N/A</v>
      </c>
      <c r="E68" s="610" t="e">
        <f>(HLOOKUP($A$12,'Expense Input File'!$B$71:$L$93,22,FALSE))*E15</f>
        <v>#N/A</v>
      </c>
      <c r="F68" s="611" t="e">
        <f>(HLOOKUP($A$12,'Expense Input File'!$B$71:$L$93,22,FALSE))*F15</f>
        <v>#N/A</v>
      </c>
      <c r="G68" s="611" t="e">
        <f>(HLOOKUP($A$12,'Expense Input File'!$B$71:$L$93,22,FALSE))*G15</f>
        <v>#N/A</v>
      </c>
      <c r="H68" s="611" t="e">
        <f>(HLOOKUP($A$12,'Expense Input File'!$B$71:$L$93,22,FALSE))*H15</f>
        <v>#N/A</v>
      </c>
      <c r="I68" s="611" t="e">
        <f>(HLOOKUP($A$12,'Expense Input File'!$B$71:$L$93,22,FALSE))*I15</f>
        <v>#N/A</v>
      </c>
      <c r="J68" s="591" t="e">
        <f>(HLOOKUP($A$12,'Expense Input File'!$B$71:$L$93,22,FALSE))*J15</f>
        <v>#N/A</v>
      </c>
      <c r="K68" s="624" t="e">
        <f>((HLOOKUP($A$12,'Expense Input File'!$B$71:$L$93,22,FALSE))*K15)+(HLOOKUP($A$12,'Expense Input File'!$B$71:$L$93,23,FALSE))</f>
        <v>#N/A</v>
      </c>
      <c r="L68" s="286" t="s">
        <v>707</v>
      </c>
    </row>
    <row r="69" spans="1:12" ht="15" thickBot="1">
      <c r="A69" s="185" t="s">
        <v>43</v>
      </c>
      <c r="B69" s="172"/>
      <c r="C69" s="172"/>
      <c r="D69" s="607" t="e">
        <f>HLOOKUP($A$12,'Expense Input File'!$A$27:$L$91,57,FALSE)</f>
        <v>#N/A</v>
      </c>
      <c r="E69" s="100"/>
      <c r="F69" s="182" t="e">
        <f>D69</f>
        <v>#N/A</v>
      </c>
      <c r="G69" s="107"/>
      <c r="H69" s="107"/>
      <c r="I69" s="107"/>
      <c r="J69" s="107"/>
      <c r="K69" s="108"/>
    </row>
    <row r="70" spans="1:12" ht="15" thickBot="1">
      <c r="A70" s="185" t="s">
        <v>44</v>
      </c>
      <c r="B70" s="172"/>
      <c r="C70" s="172"/>
      <c r="D70" s="608" t="e">
        <f>HLOOKUP($A$12,'Expense Input File'!$A$27:$L$91,58,FALSE)</f>
        <v>#N/A</v>
      </c>
      <c r="E70" s="201" t="e">
        <f>(E49/D49)*D70</f>
        <v>#REF!</v>
      </c>
      <c r="F70" s="169" t="e">
        <f>(F49/D49)*D70</f>
        <v>#REF!</v>
      </c>
      <c r="G70" s="169" t="e">
        <f>(G49/D49)*D70</f>
        <v>#REF!</v>
      </c>
      <c r="H70" s="169" t="e">
        <f>(H49/D49)*D70</f>
        <v>#REF!</v>
      </c>
      <c r="I70" s="169" t="e">
        <f>(I49/D49)*D70</f>
        <v>#REF!</v>
      </c>
      <c r="J70" s="169" t="e">
        <f>(J49/D49)*D70</f>
        <v>#REF!</v>
      </c>
      <c r="K70" s="623" t="e">
        <f>(K49/D49)*D70</f>
        <v>#REF!</v>
      </c>
      <c r="L70" s="286" t="s">
        <v>707</v>
      </c>
    </row>
    <row r="71" spans="1:12" ht="15" thickBot="1">
      <c r="A71" s="185" t="s">
        <v>45</v>
      </c>
      <c r="B71" s="172"/>
      <c r="C71" s="172"/>
      <c r="D71" s="609" t="e">
        <f>HLOOKUP($A$12,'Expense Input File'!$A$27:$L$91,59,FALSE)</f>
        <v>#N/A</v>
      </c>
      <c r="E71" s="120"/>
      <c r="F71" s="119"/>
      <c r="G71" s="119"/>
      <c r="H71" s="119"/>
      <c r="I71" s="119"/>
      <c r="J71" s="119"/>
      <c r="K71" s="622" t="e">
        <f>D71</f>
        <v>#N/A</v>
      </c>
      <c r="L71" s="286" t="s">
        <v>707</v>
      </c>
    </row>
    <row r="72" spans="1:12" ht="15.75" thickBot="1">
      <c r="A72" s="179" t="s">
        <v>289</v>
      </c>
      <c r="B72" s="172"/>
      <c r="C72" s="172"/>
      <c r="D72" s="217" t="e">
        <f>SUM(D68:D71)</f>
        <v>#N/A</v>
      </c>
      <c r="E72" s="217" t="e">
        <f t="shared" ref="E72:J72" si="8">SUM(E68:E71)</f>
        <v>#N/A</v>
      </c>
      <c r="F72" s="217" t="e">
        <f t="shared" si="8"/>
        <v>#N/A</v>
      </c>
      <c r="G72" s="217" t="e">
        <f t="shared" si="8"/>
        <v>#N/A</v>
      </c>
      <c r="H72" s="217" t="e">
        <f t="shared" si="8"/>
        <v>#N/A</v>
      </c>
      <c r="I72" s="217" t="e">
        <f t="shared" si="8"/>
        <v>#N/A</v>
      </c>
      <c r="J72" s="217" t="e">
        <f t="shared" si="8"/>
        <v>#N/A</v>
      </c>
      <c r="K72" s="692" t="e">
        <f>SUM(K68:K71)</f>
        <v>#N/A</v>
      </c>
      <c r="L72" s="286" t="s">
        <v>707</v>
      </c>
    </row>
    <row r="73" spans="1:12" ht="15.75" thickBot="1">
      <c r="A73" s="219" t="s">
        <v>280</v>
      </c>
      <c r="B73" s="219"/>
      <c r="C73" s="219"/>
      <c r="D73" s="220" t="e">
        <f>SUM(E73:K73)</f>
        <v>#N/A</v>
      </c>
      <c r="E73" s="617" t="e">
        <f>E72+E66</f>
        <v>#N/A</v>
      </c>
      <c r="F73" s="618" t="e">
        <f t="shared" ref="F73:K73" si="9">F72+F66</f>
        <v>#N/A</v>
      </c>
      <c r="G73" s="618" t="e">
        <f t="shared" si="9"/>
        <v>#N/A</v>
      </c>
      <c r="H73" s="618" t="e">
        <f t="shared" si="9"/>
        <v>#N/A</v>
      </c>
      <c r="I73" s="618" t="e">
        <f t="shared" si="9"/>
        <v>#N/A</v>
      </c>
      <c r="J73" s="618" t="e">
        <f t="shared" si="9"/>
        <v>#N/A</v>
      </c>
      <c r="K73" s="619" t="e">
        <f t="shared" si="9"/>
        <v>#N/A</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t="e">
        <f>HLOOKUP($A$12,'Expense Input File'!$A$71:$L$94,24,FALSE)</f>
        <v>#N/A</v>
      </c>
      <c r="E75" s="617"/>
      <c r="F75" s="618" t="e">
        <f>+$D75*(F56/SUM($F56:$H56))</f>
        <v>#N/A</v>
      </c>
      <c r="G75" s="618" t="e">
        <f>+$D75*(G56/SUM($F56:$H56))</f>
        <v>#N/A</v>
      </c>
      <c r="H75" s="618" t="e">
        <f>+$D75*(H56/SUM($F56:$H56))</f>
        <v>#N/A</v>
      </c>
      <c r="I75" s="618"/>
      <c r="J75" s="618"/>
      <c r="K75" s="619"/>
      <c r="L75" s="286" t="s">
        <v>704</v>
      </c>
    </row>
    <row r="76" spans="1:12">
      <c r="D76" s="229"/>
    </row>
    <row r="77" spans="1:12">
      <c r="D77" s="286" t="s">
        <v>716</v>
      </c>
      <c r="E77" s="111" t="e">
        <f>+E73+E75</f>
        <v>#N/A</v>
      </c>
      <c r="F77" s="111" t="e">
        <f t="shared" ref="F77:K77" si="10">+F73+F75</f>
        <v>#N/A</v>
      </c>
      <c r="G77" s="111" t="e">
        <f t="shared" si="10"/>
        <v>#N/A</v>
      </c>
      <c r="H77" s="111" t="e">
        <f t="shared" si="10"/>
        <v>#N/A</v>
      </c>
      <c r="I77" s="111" t="e">
        <f t="shared" si="10"/>
        <v>#N/A</v>
      </c>
      <c r="J77" s="111" t="e">
        <f t="shared" si="10"/>
        <v>#N/A</v>
      </c>
      <c r="K77" s="111" t="e">
        <f t="shared" si="10"/>
        <v>#N/A</v>
      </c>
      <c r="L77" s="90" t="s">
        <v>719</v>
      </c>
    </row>
  </sheetData>
  <customSheetViews>
    <customSheetView guid="{2226E858-00AE-4A92-8CF6-5B54D2FA62D4}" showPageBreaks="1" fitToPage="1" topLeftCell="A31">
      <selection activeCell="D32" sqref="D32"/>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C00-000000000000}"/>
    <hyperlink ref="I4" location="AFUDC!A1" display="AFUDC" xr:uid="{00000000-0004-0000-1C00-000001000000}"/>
    <hyperlink ref="I3" location="'Repayment Inputs'!A1" display="Repayment Inputs" xr:uid="{00000000-0004-0000-1C00-000002000000}"/>
    <hyperlink ref="I6" location="'Expense Input File'!A1" display="Expense Input" xr:uid="{00000000-0004-0000-1C00-000003000000}"/>
    <hyperlink ref="G6" r:id="rId2" xr:uid="{00000000-0004-0000-1C00-000004000000}"/>
  </hyperlinks>
  <pageMargins left="0.25" right="0.25" top="0.75" bottom="0.75" header="0.3" footer="0.3"/>
  <pageSetup scale="56" orientation="portrait" r:id="rId3"/>
  <legacyDrawing r:id="rId4"/>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codeName="Sheet26">
    <tabColor rgb="FFCCFF66"/>
    <pageSetUpPr autoPageBreaks="0" fitToPage="1"/>
  </sheetPr>
  <dimension ref="A1:O84"/>
  <sheetViews>
    <sheetView topLeftCell="A41" workbookViewId="0">
      <selection activeCell="D69" sqref="D69:D71"/>
    </sheetView>
  </sheetViews>
  <sheetFormatPr defaultColWidth="9.140625" defaultRowHeight="14.25" outlineLevelRow="1"/>
  <cols>
    <col min="1" max="2" width="9.140625" style="90"/>
    <col min="3" max="3" width="29.28515625" style="90" customWidth="1"/>
    <col min="4" max="11" width="15.7109375" style="90" customWidth="1"/>
    <col min="12" max="14" width="9.140625" style="90"/>
    <col min="15" max="15" width="10.42578125" style="90" bestFit="1" customWidth="1"/>
    <col min="16" max="16384" width="9.140625" style="90"/>
  </cols>
  <sheetData>
    <row r="1" spans="1:11" ht="18" outlineLevel="1">
      <c r="A1" s="996" t="s">
        <v>506</v>
      </c>
      <c r="B1" s="997"/>
      <c r="C1" s="997"/>
      <c r="D1" s="997"/>
      <c r="E1" s="997"/>
      <c r="F1" s="997"/>
      <c r="G1" s="997"/>
      <c r="H1" s="997"/>
      <c r="I1" s="997"/>
      <c r="J1" s="997"/>
      <c r="K1" s="998"/>
    </row>
    <row r="2" spans="1:11" ht="18" outlineLevel="1">
      <c r="A2" s="407"/>
      <c r="B2" s="125"/>
      <c r="C2" s="91"/>
      <c r="D2" s="3"/>
      <c r="E2" s="94"/>
      <c r="F2" s="147" t="s">
        <v>397</v>
      </c>
      <c r="G2" s="148"/>
      <c r="H2" s="138"/>
      <c r="I2" s="147" t="s">
        <v>399</v>
      </c>
      <c r="J2" s="139"/>
      <c r="K2" s="408"/>
    </row>
    <row r="3" spans="1:11" ht="18" outlineLevel="1">
      <c r="A3" s="407"/>
      <c r="B3" s="125" t="s">
        <v>73</v>
      </c>
      <c r="C3" s="735" t="s">
        <v>765</v>
      </c>
      <c r="D3" s="3"/>
      <c r="E3" s="94"/>
      <c r="F3" s="150" t="s">
        <v>398</v>
      </c>
      <c r="G3" s="151" t="s">
        <v>235</v>
      </c>
      <c r="H3" s="138"/>
      <c r="I3" s="152" t="s">
        <v>238</v>
      </c>
      <c r="J3" s="138"/>
      <c r="K3" s="408"/>
    </row>
    <row r="4" spans="1:11" ht="18" customHeight="1" outlineLevel="1">
      <c r="A4" s="407"/>
      <c r="B4" s="125"/>
      <c r="C4" s="153"/>
      <c r="D4" s="3"/>
      <c r="E4" s="94"/>
      <c r="F4" s="144"/>
      <c r="G4" s="331" t="s">
        <v>769</v>
      </c>
      <c r="H4" s="138"/>
      <c r="I4" s="155" t="s">
        <v>87</v>
      </c>
      <c r="J4" s="3"/>
      <c r="K4" s="408"/>
    </row>
    <row r="5" spans="1:11" ht="18" customHeight="1" outlineLevel="1">
      <c r="A5" s="407"/>
      <c r="B5" s="126" t="s">
        <v>9</v>
      </c>
      <c r="C5" s="153" t="e">
        <f>'Revenue Requirement'!#REF!</f>
        <v>#REF!</v>
      </c>
      <c r="D5" s="94"/>
      <c r="F5" s="144" t="str">
        <f>IF('20 Seg Dev'!F5=0," ",'20 Seg Dev'!F5)</f>
        <v xml:space="preserve"> </v>
      </c>
      <c r="G5" s="605" t="s">
        <v>770</v>
      </c>
      <c r="H5" s="138"/>
      <c r="I5" s="141" t="s">
        <v>390</v>
      </c>
      <c r="J5" s="94"/>
      <c r="K5" s="408"/>
    </row>
    <row r="6" spans="1:11" ht="15" outlineLevel="1">
      <c r="A6" s="407"/>
      <c r="B6" s="126"/>
      <c r="C6" s="93"/>
      <c r="D6" s="94"/>
      <c r="E6" s="157"/>
      <c r="F6" s="157"/>
      <c r="G6" s="158" t="s">
        <v>465</v>
      </c>
      <c r="H6" s="138"/>
      <c r="I6" s="587" t="s">
        <v>387</v>
      </c>
      <c r="J6" s="94"/>
      <c r="K6" s="408"/>
    </row>
    <row r="7" spans="1:11" ht="15" outlineLevel="1">
      <c r="A7" s="407"/>
      <c r="B7" s="126"/>
      <c r="C7" s="93"/>
      <c r="D7" s="94"/>
      <c r="E7" s="157"/>
      <c r="F7" s="616" t="s">
        <v>469</v>
      </c>
      <c r="G7" s="613" t="s">
        <v>703</v>
      </c>
      <c r="H7" s="138"/>
      <c r="I7" s="140"/>
      <c r="J7" s="94"/>
      <c r="K7" s="408"/>
    </row>
    <row r="8" spans="1:11" ht="15" outlineLevel="1">
      <c r="A8" s="407"/>
      <c r="B8" s="126" t="s">
        <v>281</v>
      </c>
      <c r="C8" s="160">
        <v>2034</v>
      </c>
      <c r="D8" s="94"/>
      <c r="E8" s="92"/>
      <c r="F8" s="92"/>
      <c r="G8" s="157"/>
      <c r="H8" s="223"/>
      <c r="I8" s="92"/>
      <c r="J8" s="92"/>
      <c r="K8" s="408"/>
    </row>
    <row r="9" spans="1:11" ht="15.75" outlineLevel="1" thickBot="1">
      <c r="A9" s="407"/>
      <c r="B9" s="126"/>
      <c r="C9" s="129"/>
      <c r="D9" s="94"/>
      <c r="E9" s="92"/>
      <c r="F9" s="92"/>
      <c r="G9" s="92"/>
      <c r="H9" s="92"/>
      <c r="I9" s="92"/>
      <c r="J9" s="92"/>
      <c r="K9" s="408"/>
    </row>
    <row r="10" spans="1:11" ht="15.75" outlineLevel="1" thickBot="1">
      <c r="A10" s="999"/>
      <c r="B10" s="983"/>
      <c r="C10" s="142"/>
      <c r="D10" s="113"/>
      <c r="E10" s="582" t="s">
        <v>700</v>
      </c>
      <c r="F10" s="113"/>
      <c r="G10" s="621" t="s">
        <v>705</v>
      </c>
      <c r="H10" s="621"/>
      <c r="I10" s="113"/>
      <c r="J10" s="113"/>
      <c r="K10" s="409"/>
    </row>
    <row r="11" spans="1:11" ht="15" outlineLevel="1" thickBot="1">
      <c r="A11" s="136"/>
      <c r="B11" s="94"/>
      <c r="C11" s="94"/>
      <c r="D11" s="94"/>
      <c r="E11" s="94"/>
      <c r="F11" s="94"/>
      <c r="G11" s="94"/>
      <c r="H11" s="94"/>
      <c r="I11" s="94"/>
      <c r="J11" s="94"/>
      <c r="K11" s="95"/>
    </row>
    <row r="12" spans="1:11" ht="29.25" customHeight="1">
      <c r="A12" s="984">
        <f>C8</f>
        <v>2034</v>
      </c>
      <c r="B12" s="985"/>
      <c r="C12" s="985"/>
      <c r="D12" s="161" t="s">
        <v>170</v>
      </c>
      <c r="E12" s="162" t="s">
        <v>171</v>
      </c>
      <c r="F12" s="162" t="s">
        <v>172</v>
      </c>
      <c r="G12" s="162" t="s">
        <v>173</v>
      </c>
      <c r="H12" s="162" t="s">
        <v>174</v>
      </c>
      <c r="I12" s="162" t="s">
        <v>175</v>
      </c>
      <c r="J12" s="162" t="s">
        <v>176</v>
      </c>
      <c r="K12" s="163" t="s">
        <v>177</v>
      </c>
    </row>
    <row r="13" spans="1:11" ht="15.75" thickBot="1">
      <c r="A13" s="165" t="s">
        <v>272</v>
      </c>
      <c r="B13" s="128"/>
      <c r="C13" s="128"/>
      <c r="D13" s="127"/>
      <c r="E13" s="127"/>
      <c r="F13" s="127"/>
      <c r="G13" s="127"/>
      <c r="H13" s="127"/>
      <c r="I13" s="127"/>
      <c r="J13" s="127"/>
      <c r="K13" s="166"/>
    </row>
    <row r="14" spans="1:11" ht="15.75" thickBot="1">
      <c r="A14" s="167" t="s">
        <v>178</v>
      </c>
      <c r="B14" s="168"/>
      <c r="C14" s="168"/>
      <c r="D14" s="169">
        <f>SUM(E14:K14)</f>
        <v>11792073.866358498</v>
      </c>
      <c r="E14" s="578">
        <v>103893.48761645936</v>
      </c>
      <c r="F14" s="579">
        <v>9786218.4399983641</v>
      </c>
      <c r="G14" s="579">
        <v>531017.71654750849</v>
      </c>
      <c r="H14" s="579">
        <v>51595.921564159951</v>
      </c>
      <c r="I14" s="579">
        <v>10851.202136230164</v>
      </c>
      <c r="J14" s="579">
        <v>4647.2568168658017</v>
      </c>
      <c r="K14" s="580">
        <v>1303849.8416789114</v>
      </c>
    </row>
    <row r="15" spans="1:11">
      <c r="A15" s="171" t="s">
        <v>237</v>
      </c>
      <c r="B15" s="172"/>
      <c r="C15" s="172"/>
      <c r="D15" s="173">
        <f>SUM(E15:K15)</f>
        <v>1</v>
      </c>
      <c r="E15" s="174">
        <f>E14/D14</f>
        <v>8.8104508836953747E-3</v>
      </c>
      <c r="F15" s="174">
        <f>F14/D14</f>
        <v>0.82989799342398785</v>
      </c>
      <c r="G15" s="174">
        <f>G14/D14</f>
        <v>4.5031749509511144E-2</v>
      </c>
      <c r="H15" s="174">
        <f>H14/D14</f>
        <v>4.3754747594786951E-3</v>
      </c>
      <c r="I15" s="174">
        <f>I14/D14</f>
        <v>9.2021151319170928E-4</v>
      </c>
      <c r="J15" s="174">
        <f>J14/D14</f>
        <v>3.9410004292153556E-4</v>
      </c>
      <c r="K15" s="175">
        <f>K14/D14</f>
        <v>0.11057001986721376</v>
      </c>
    </row>
    <row r="16" spans="1:11" ht="15" thickBot="1">
      <c r="A16" s="176" t="s">
        <v>81</v>
      </c>
      <c r="B16" s="172"/>
      <c r="C16" s="172"/>
      <c r="D16" s="97"/>
      <c r="E16" s="97"/>
      <c r="F16" s="97"/>
      <c r="G16" s="97"/>
      <c r="H16" s="97"/>
      <c r="I16" s="97"/>
      <c r="J16" s="97"/>
      <c r="K16" s="98"/>
    </row>
    <row r="17" spans="1:15" ht="15" thickBot="1">
      <c r="A17" s="167"/>
      <c r="B17" s="172" t="s">
        <v>499</v>
      </c>
      <c r="C17" s="172"/>
      <c r="D17" s="169" t="e">
        <f>SUM(E17:K17)</f>
        <v>#N/A</v>
      </c>
      <c r="E17" s="100"/>
      <c r="F17" s="597" t="e">
        <f>HLOOKUP($A$12,'Repayment Inputs'!$B$2:$J$24,19,FALSE)</f>
        <v>#N/A</v>
      </c>
      <c r="G17" s="224"/>
      <c r="H17" s="100"/>
      <c r="I17" s="100"/>
      <c r="J17" s="100"/>
      <c r="K17" s="99"/>
    </row>
    <row r="18" spans="1:15">
      <c r="A18" s="167"/>
      <c r="B18" s="172" t="s">
        <v>500</v>
      </c>
      <c r="C18" s="172"/>
      <c r="D18" s="169">
        <f>SUM(E18:K18)</f>
        <v>0</v>
      </c>
      <c r="E18" s="100"/>
      <c r="F18" s="101">
        <f>-(HLOOKUP($A$12,AFUDC!$I$13:$AJ$38,25,FALSE))</f>
        <v>0</v>
      </c>
      <c r="G18" s="100"/>
      <c r="H18" s="100"/>
      <c r="I18" s="100"/>
      <c r="J18" s="100"/>
      <c r="K18" s="99"/>
    </row>
    <row r="19" spans="1:15" ht="15" thickBot="1">
      <c r="A19" s="167"/>
      <c r="B19" s="172" t="s">
        <v>496</v>
      </c>
      <c r="C19" s="172"/>
      <c r="D19" s="169" t="e">
        <f>SUM(E19:K19)</f>
        <v>#N/A</v>
      </c>
      <c r="E19" s="100"/>
      <c r="F19" s="169" t="e">
        <f>SUM(F17:F18)</f>
        <v>#N/A</v>
      </c>
      <c r="G19" s="100"/>
      <c r="H19" s="100"/>
      <c r="I19" s="100"/>
      <c r="J19" s="100"/>
      <c r="K19" s="99"/>
    </row>
    <row r="20" spans="1:15" ht="15" thickBot="1">
      <c r="A20" s="177" t="s">
        <v>179</v>
      </c>
      <c r="B20" s="172"/>
      <c r="C20" s="172"/>
      <c r="D20" s="595" t="e">
        <f>HLOOKUP($A$12,'Revenue Requirement'!$A$2:$I$26,25,FALSE)-$D$19</f>
        <v>#N/A</v>
      </c>
      <c r="E20" s="169" t="e">
        <f>D20*E15</f>
        <v>#N/A</v>
      </c>
      <c r="F20" s="169" t="e">
        <f>D20*F15</f>
        <v>#N/A</v>
      </c>
      <c r="G20" s="169" t="e">
        <f>D20*G15</f>
        <v>#N/A</v>
      </c>
      <c r="H20" s="169" t="e">
        <f>D20*H15</f>
        <v>#N/A</v>
      </c>
      <c r="I20" s="169" t="e">
        <f>D20*I15</f>
        <v>#N/A</v>
      </c>
      <c r="J20" s="169" t="e">
        <f>D20*J15</f>
        <v>#N/A</v>
      </c>
      <c r="K20" s="178" t="e">
        <f>D20*K15</f>
        <v>#N/A</v>
      </c>
      <c r="O20" s="111"/>
    </row>
    <row r="21" spans="1:15" ht="15.75" thickBot="1">
      <c r="A21" s="179" t="s">
        <v>180</v>
      </c>
      <c r="B21" s="168"/>
      <c r="C21" s="168"/>
      <c r="D21" s="180" t="e">
        <f>D20+D19</f>
        <v>#N/A</v>
      </c>
      <c r="E21" s="617" t="e">
        <f t="shared" ref="E21:K21" si="0">E20+E19</f>
        <v>#N/A</v>
      </c>
      <c r="F21" s="618" t="e">
        <f t="shared" si="0"/>
        <v>#N/A</v>
      </c>
      <c r="G21" s="618" t="e">
        <f t="shared" si="0"/>
        <v>#N/A</v>
      </c>
      <c r="H21" s="618" t="e">
        <f t="shared" si="0"/>
        <v>#N/A</v>
      </c>
      <c r="I21" s="618" t="e">
        <f t="shared" si="0"/>
        <v>#N/A</v>
      </c>
      <c r="J21" s="618" t="e">
        <f t="shared" si="0"/>
        <v>#N/A</v>
      </c>
      <c r="K21" s="625" t="e">
        <f t="shared" si="0"/>
        <v>#N/A</v>
      </c>
      <c r="L21" s="286" t="s">
        <v>708</v>
      </c>
    </row>
    <row r="22" spans="1:15" ht="15" thickBot="1">
      <c r="A22" s="176" t="s">
        <v>184</v>
      </c>
      <c r="B22" s="172"/>
      <c r="C22" s="172"/>
      <c r="D22" s="97"/>
      <c r="E22" s="97"/>
      <c r="F22" s="97"/>
      <c r="G22" s="97"/>
      <c r="H22" s="97"/>
      <c r="I22" s="97"/>
      <c r="J22" s="97"/>
      <c r="K22" s="98"/>
    </row>
    <row r="23" spans="1:15" ht="15" thickBot="1">
      <c r="A23" s="167"/>
      <c r="B23" s="172" t="s">
        <v>495</v>
      </c>
      <c r="C23" s="172"/>
      <c r="D23" s="97"/>
      <c r="E23" s="97"/>
      <c r="F23" s="597" t="e">
        <f>HLOOKUP($A$12,'Repayment Inputs'!$A$2:$J$43,38,FALSE)</f>
        <v>#N/A</v>
      </c>
      <c r="G23" s="224"/>
      <c r="H23" s="97"/>
      <c r="I23" s="97"/>
      <c r="J23" s="97"/>
      <c r="K23" s="98"/>
    </row>
    <row r="24" spans="1:15" ht="15" thickBot="1">
      <c r="A24" s="167"/>
      <c r="B24" s="172" t="s">
        <v>496</v>
      </c>
      <c r="C24" s="172"/>
      <c r="D24" s="97"/>
      <c r="E24" s="97"/>
      <c r="F24" s="182" t="e">
        <f>F19</f>
        <v>#N/A</v>
      </c>
      <c r="G24" s="107"/>
      <c r="H24" s="97"/>
      <c r="I24" s="97"/>
      <c r="J24" s="97"/>
      <c r="K24" s="98"/>
    </row>
    <row r="25" spans="1:15" ht="15" thickBot="1">
      <c r="A25" s="167"/>
      <c r="B25" s="172" t="s">
        <v>497</v>
      </c>
      <c r="C25" s="172"/>
      <c r="D25" s="97"/>
      <c r="E25" s="97"/>
      <c r="F25" s="581">
        <v>11286.889087545353</v>
      </c>
      <c r="G25" s="225"/>
      <c r="H25" s="97"/>
      <c r="I25" s="97"/>
      <c r="J25" s="97"/>
      <c r="K25" s="98"/>
    </row>
    <row r="26" spans="1:15" ht="15" thickBot="1">
      <c r="A26" s="167"/>
      <c r="B26" s="172" t="s">
        <v>498</v>
      </c>
      <c r="C26" s="172"/>
      <c r="D26" s="182" t="e">
        <f>F26</f>
        <v>#N/A</v>
      </c>
      <c r="E26" s="97"/>
      <c r="F26" s="182" t="e">
        <f>F23-F24-F25</f>
        <v>#N/A</v>
      </c>
      <c r="G26" s="107"/>
      <c r="H26" s="97"/>
      <c r="I26" s="97"/>
      <c r="J26" s="97"/>
      <c r="K26" s="98"/>
    </row>
    <row r="27" spans="1:15" ht="15" thickBot="1">
      <c r="A27" s="185" t="s">
        <v>481</v>
      </c>
      <c r="B27" s="172"/>
      <c r="C27" s="172"/>
      <c r="D27" s="596"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5" ht="15.75" thickBot="1">
      <c r="A28" s="179" t="s">
        <v>185</v>
      </c>
      <c r="B28" s="172"/>
      <c r="C28" s="172"/>
      <c r="D28" s="180" t="e">
        <f t="shared" ref="D28:K28" si="1">D27+D26</f>
        <v>#N/A</v>
      </c>
      <c r="E28" s="617" t="e">
        <f t="shared" si="1"/>
        <v>#N/A</v>
      </c>
      <c r="F28" s="618" t="e">
        <f t="shared" si="1"/>
        <v>#N/A</v>
      </c>
      <c r="G28" s="618" t="e">
        <f t="shared" si="1"/>
        <v>#N/A</v>
      </c>
      <c r="H28" s="618" t="e">
        <f t="shared" si="1"/>
        <v>#N/A</v>
      </c>
      <c r="I28" s="618" t="e">
        <f t="shared" si="1"/>
        <v>#N/A</v>
      </c>
      <c r="J28" s="618" t="e">
        <f t="shared" si="1"/>
        <v>#N/A</v>
      </c>
      <c r="K28" s="625" t="e">
        <f t="shared" si="1"/>
        <v>#N/A</v>
      </c>
      <c r="L28" s="286" t="s">
        <v>708</v>
      </c>
    </row>
    <row r="29" spans="1:15" ht="15.75" thickBot="1">
      <c r="A29" s="176" t="s">
        <v>189</v>
      </c>
      <c r="B29" s="172"/>
      <c r="C29" s="172"/>
      <c r="D29" s="122"/>
      <c r="E29" s="122"/>
      <c r="F29" s="122"/>
      <c r="G29" s="122"/>
      <c r="H29" s="122"/>
      <c r="I29" s="122"/>
      <c r="J29" s="122"/>
      <c r="K29" s="121"/>
    </row>
    <row r="30" spans="1:15" ht="15" thickBot="1">
      <c r="A30" s="186" t="s">
        <v>550</v>
      </c>
      <c r="B30" s="172"/>
      <c r="C30" s="172"/>
      <c r="D30" s="169">
        <f>SUM(E30:K30)</f>
        <v>420264.04538600001</v>
      </c>
      <c r="E30" s="583">
        <v>4807</v>
      </c>
      <c r="F30" s="584">
        <v>347762.04538600001</v>
      </c>
      <c r="G30" s="584">
        <v>27899</v>
      </c>
      <c r="H30" s="584">
        <v>3349</v>
      </c>
      <c r="I30" s="584">
        <v>448</v>
      </c>
      <c r="J30" s="584">
        <v>188</v>
      </c>
      <c r="K30" s="585">
        <v>35811</v>
      </c>
    </row>
    <row r="31" spans="1:15" ht="15" thickBot="1">
      <c r="A31" s="186" t="s">
        <v>186</v>
      </c>
      <c r="B31" s="172"/>
      <c r="C31" s="172"/>
      <c r="D31" s="188" t="e">
        <f>SUM(E31:K31)</f>
        <v>#REF!</v>
      </c>
      <c r="E31" s="189" t="e">
        <f>E49/D49</f>
        <v>#REF!</v>
      </c>
      <c r="F31" s="189" t="e">
        <f>F49/D49</f>
        <v>#REF!</v>
      </c>
      <c r="G31" s="189" t="e">
        <f>G49/D49</f>
        <v>#REF!</v>
      </c>
      <c r="H31" s="189" t="e">
        <f>H49/D49</f>
        <v>#REF!</v>
      </c>
      <c r="I31" s="189" t="e">
        <f>I49/D49</f>
        <v>#REF!</v>
      </c>
      <c r="J31" s="189" t="e">
        <f>J49/D49</f>
        <v>#REF!</v>
      </c>
      <c r="K31" s="190" t="e">
        <f>K49/D49</f>
        <v>#REF!</v>
      </c>
      <c r="N31" s="111"/>
    </row>
    <row r="32" spans="1:15" ht="15" thickBot="1">
      <c r="A32" s="186" t="s">
        <v>187</v>
      </c>
      <c r="B32" s="172"/>
      <c r="C32" s="172"/>
      <c r="D32" s="586">
        <v>138337.56025974534</v>
      </c>
      <c r="E32" s="169" t="e">
        <f>D32*E31</f>
        <v>#REF!</v>
      </c>
      <c r="F32" s="169" t="e">
        <f>D32*F31</f>
        <v>#REF!</v>
      </c>
      <c r="G32" s="169" t="e">
        <f>D32*G31</f>
        <v>#REF!</v>
      </c>
      <c r="H32" s="169" t="e">
        <f>D32*H31</f>
        <v>#REF!</v>
      </c>
      <c r="I32" s="169" t="e">
        <f>D32*I31</f>
        <v>#REF!</v>
      </c>
      <c r="J32" s="169" t="e">
        <f>D32*J31</f>
        <v>#REF!</v>
      </c>
      <c r="K32" s="178" t="e">
        <f>D32*K31</f>
        <v>#REF!</v>
      </c>
    </row>
    <row r="33" spans="1:14" ht="15.75" thickBot="1">
      <c r="A33" s="179" t="s">
        <v>188</v>
      </c>
      <c r="B33" s="172"/>
      <c r="C33" s="172"/>
      <c r="D33" s="180" t="e">
        <f>SUM(E33:K33)</f>
        <v>#REF!</v>
      </c>
      <c r="E33" s="617" t="e">
        <f t="shared" ref="E33:K33" si="2">E32+E30</f>
        <v>#REF!</v>
      </c>
      <c r="F33" s="618" t="e">
        <f>F32+F30</f>
        <v>#REF!</v>
      </c>
      <c r="G33" s="618" t="e">
        <f>G32+G30</f>
        <v>#REF!</v>
      </c>
      <c r="H33" s="618" t="e">
        <f t="shared" si="2"/>
        <v>#REF!</v>
      </c>
      <c r="I33" s="618" t="e">
        <f t="shared" si="2"/>
        <v>#REF!</v>
      </c>
      <c r="J33" s="618" t="e">
        <f t="shared" si="2"/>
        <v>#REF!</v>
      </c>
      <c r="K33" s="625" t="e">
        <f t="shared" si="2"/>
        <v>#REF!</v>
      </c>
      <c r="L33" s="286" t="s">
        <v>708</v>
      </c>
    </row>
    <row r="34" spans="1:14" ht="9" customHeight="1">
      <c r="A34" s="167"/>
      <c r="B34" s="172"/>
      <c r="C34" s="172"/>
      <c r="D34" s="97"/>
      <c r="E34" s="97"/>
      <c r="F34" s="97"/>
      <c r="G34" s="97"/>
      <c r="H34" s="97"/>
      <c r="I34" s="97"/>
      <c r="J34" s="97"/>
      <c r="K34" s="98"/>
    </row>
    <row r="35" spans="1:14" ht="15">
      <c r="A35" s="165" t="s">
        <v>236</v>
      </c>
      <c r="B35" s="172"/>
      <c r="C35" s="172"/>
      <c r="D35" s="97"/>
      <c r="E35" s="97"/>
      <c r="F35" s="97"/>
      <c r="G35" s="97"/>
      <c r="H35" s="97"/>
      <c r="I35" s="97"/>
      <c r="J35" s="97"/>
      <c r="K35" s="98"/>
    </row>
    <row r="36" spans="1:14" ht="15" thickBot="1">
      <c r="A36" s="191" t="s">
        <v>520</v>
      </c>
      <c r="B36" s="172"/>
      <c r="C36" s="172"/>
      <c r="D36" s="97"/>
      <c r="E36" s="97"/>
      <c r="F36" s="97"/>
      <c r="G36" s="97"/>
      <c r="H36" s="97"/>
      <c r="I36" s="97"/>
      <c r="J36" s="97"/>
      <c r="K36" s="98"/>
    </row>
    <row r="37" spans="1:14">
      <c r="A37" s="192" t="s">
        <v>299</v>
      </c>
      <c r="B37" s="172"/>
      <c r="C37" s="172"/>
      <c r="D37" s="193">
        <f>SUM(E37:J37)</f>
        <v>55257.949820708738</v>
      </c>
      <c r="E37" s="599">
        <v>661.02284632795602</v>
      </c>
      <c r="F37" s="600">
        <v>50810.755286172913</v>
      </c>
      <c r="G37" s="600">
        <v>2810.7714197653595</v>
      </c>
      <c r="H37" s="600">
        <v>960.18814525035441</v>
      </c>
      <c r="I37" s="600">
        <v>15.212123192158659</v>
      </c>
      <c r="J37" s="601">
        <v>0</v>
      </c>
      <c r="K37" s="98"/>
    </row>
    <row r="38" spans="1:14" ht="15" thickBot="1">
      <c r="A38" s="192" t="s">
        <v>300</v>
      </c>
      <c r="B38" s="172"/>
      <c r="C38" s="172"/>
      <c r="D38" s="193">
        <f>SUM(E38:J38)</f>
        <v>136761.67424071985</v>
      </c>
      <c r="E38" s="602">
        <v>3562.2256722987713</v>
      </c>
      <c r="F38" s="603">
        <v>111214.08679934609</v>
      </c>
      <c r="G38" s="603">
        <v>19446.284155813479</v>
      </c>
      <c r="H38" s="603">
        <v>1170.1171027329681</v>
      </c>
      <c r="I38" s="603">
        <v>1095.4567357703675</v>
      </c>
      <c r="J38" s="604">
        <v>273.50377475820966</v>
      </c>
      <c r="K38" s="98"/>
    </row>
    <row r="39" spans="1:14" ht="15">
      <c r="A39" s="195" t="s">
        <v>301</v>
      </c>
      <c r="B39" s="168"/>
      <c r="C39" s="168"/>
      <c r="D39" s="193">
        <f>SUM(D37:D38)</f>
        <v>192019.62406142859</v>
      </c>
      <c r="E39" s="97"/>
      <c r="F39" s="97"/>
      <c r="G39" s="97"/>
      <c r="H39" s="97"/>
      <c r="I39" s="97"/>
      <c r="J39" s="97"/>
      <c r="K39" s="98"/>
      <c r="N39" s="111"/>
    </row>
    <row r="40" spans="1:14" ht="15" thickBot="1">
      <c r="A40" s="196" t="s">
        <v>239</v>
      </c>
      <c r="B40" s="172"/>
      <c r="C40" s="172"/>
      <c r="D40" s="97"/>
      <c r="E40" s="97"/>
      <c r="F40" s="97"/>
      <c r="G40" s="97"/>
      <c r="H40" s="97"/>
      <c r="I40" s="97"/>
      <c r="J40" s="97"/>
      <c r="K40" s="98"/>
    </row>
    <row r="41" spans="1:14" ht="15" thickBot="1">
      <c r="A41" s="185" t="s">
        <v>240</v>
      </c>
      <c r="B41" s="172"/>
      <c r="C41" s="172"/>
      <c r="D41" s="588" t="e">
        <f>'Expense Input File'!#REF!+'Expense Input File'!#REF!+'Expense Input File'!#REF!+'Expense Input File'!#REF!</f>
        <v>#REF!</v>
      </c>
      <c r="E41" s="97"/>
      <c r="F41" s="588" t="e">
        <f>(HLOOKUP($A$12,'Expense Input File'!$A$27:$L$70,33,FALSE))</f>
        <v>#N/A</v>
      </c>
      <c r="G41" s="97"/>
      <c r="H41" s="97"/>
      <c r="I41" s="97"/>
      <c r="J41" s="97"/>
      <c r="K41" s="588" t="e">
        <f>SUM('Expense Input File'!#REF!,'Expense Input File'!#REF!)</f>
        <v>#REF!</v>
      </c>
    </row>
    <row r="42" spans="1:14" ht="15" thickBot="1">
      <c r="A42" s="185" t="s">
        <v>241</v>
      </c>
      <c r="B42" s="172"/>
      <c r="C42" s="172"/>
      <c r="D42" s="588" t="e">
        <f>HLOOKUP($A$12,'Expense Input File'!$B$14:$L$24,4,FALSE)</f>
        <v>#N/A</v>
      </c>
      <c r="E42" s="97"/>
      <c r="F42" s="97"/>
      <c r="G42" s="97"/>
      <c r="H42" s="97"/>
      <c r="I42" s="97"/>
      <c r="J42" s="97"/>
      <c r="K42" s="98"/>
    </row>
    <row r="43" spans="1:14" ht="5.25" customHeight="1">
      <c r="A43" s="185"/>
      <c r="B43" s="172"/>
      <c r="C43" s="172"/>
      <c r="D43" s="100"/>
      <c r="E43" s="97"/>
      <c r="F43" s="97"/>
      <c r="G43" s="97"/>
      <c r="H43" s="97"/>
      <c r="I43" s="97"/>
      <c r="J43" s="97"/>
      <c r="K43" s="98"/>
    </row>
    <row r="44" spans="1:14">
      <c r="A44" s="199" t="s">
        <v>266</v>
      </c>
      <c r="B44" s="172"/>
      <c r="C44" s="172"/>
      <c r="D44" s="182" t="e">
        <f>SUM(D41:D42)</f>
        <v>#REF!</v>
      </c>
      <c r="E44" s="97"/>
      <c r="F44" s="97"/>
      <c r="G44" s="97"/>
      <c r="H44" s="97"/>
      <c r="I44" s="97"/>
      <c r="J44" s="97"/>
      <c r="K44" s="98"/>
    </row>
    <row r="45" spans="1:14">
      <c r="A45" s="200" t="s">
        <v>267</v>
      </c>
      <c r="B45" s="172"/>
      <c r="C45" s="172"/>
      <c r="D45" s="182" t="e">
        <f>D44-D46</f>
        <v>#REF!</v>
      </c>
      <c r="E45" s="226" t="e">
        <f>(E37/D37)*D45</f>
        <v>#REF!</v>
      </c>
      <c r="F45" s="226" t="e">
        <f>(F37/D37)*D45</f>
        <v>#REF!</v>
      </c>
      <c r="G45" s="226" t="e">
        <f>(G37/D37)*D45</f>
        <v>#REF!</v>
      </c>
      <c r="H45" s="226" t="e">
        <f>(H37/D37)*D45</f>
        <v>#REF!</v>
      </c>
      <c r="I45" s="226" t="e">
        <f>(I37/D37)*D45</f>
        <v>#REF!</v>
      </c>
      <c r="J45" s="182" t="e">
        <f>(J37/D37)*D45</f>
        <v>#REF!</v>
      </c>
      <c r="K45" s="98"/>
    </row>
    <row r="46" spans="1:14">
      <c r="A46" s="200" t="s">
        <v>269</v>
      </c>
      <c r="B46" s="172"/>
      <c r="C46" s="172"/>
      <c r="D46" s="169" t="e">
        <f>((D38/D39)*D44)</f>
        <v>#REF!</v>
      </c>
      <c r="E46" s="226" t="e">
        <f>(E38/D38)*D46</f>
        <v>#REF!</v>
      </c>
      <c r="F46" s="226" t="e">
        <f>(F38/D38)*D46</f>
        <v>#REF!</v>
      </c>
      <c r="G46" s="226" t="e">
        <f>(G38/D38)*D46</f>
        <v>#REF!</v>
      </c>
      <c r="H46" s="226" t="e">
        <f>(H38/D38)*D46</f>
        <v>#REF!</v>
      </c>
      <c r="I46" s="226" t="e">
        <f>(I38/D38)*D46</f>
        <v>#REF!</v>
      </c>
      <c r="J46" s="226" t="e">
        <f>(J38/D38)*D46</f>
        <v>#REF!</v>
      </c>
      <c r="K46" s="98"/>
    </row>
    <row r="47" spans="1:14" ht="15.75" thickBot="1">
      <c r="A47" s="202" t="s">
        <v>268</v>
      </c>
      <c r="B47" s="168"/>
      <c r="C47" s="168"/>
      <c r="D47" s="182" t="e">
        <f>SUM(E47:J47)</f>
        <v>#REF!</v>
      </c>
      <c r="E47" s="182" t="e">
        <f t="shared" ref="E47:J47" si="3">SUM(E45:E46)</f>
        <v>#REF!</v>
      </c>
      <c r="F47" s="182" t="e">
        <f t="shared" si="3"/>
        <v>#REF!</v>
      </c>
      <c r="G47" s="182" t="e">
        <f t="shared" si="3"/>
        <v>#REF!</v>
      </c>
      <c r="H47" s="182" t="e">
        <f t="shared" si="3"/>
        <v>#REF!</v>
      </c>
      <c r="I47" s="182" t="e">
        <f t="shared" si="3"/>
        <v>#REF!</v>
      </c>
      <c r="J47" s="182" t="e">
        <f t="shared" si="3"/>
        <v>#REF!</v>
      </c>
      <c r="K47" s="98"/>
    </row>
    <row r="48" spans="1:14" ht="15" thickBot="1">
      <c r="A48" s="203" t="s">
        <v>25</v>
      </c>
      <c r="B48" s="172"/>
      <c r="C48" s="172"/>
      <c r="D48" s="204" t="e">
        <f>K48</f>
        <v>#REF!</v>
      </c>
      <c r="E48" s="119"/>
      <c r="F48" s="119"/>
      <c r="G48" s="119"/>
      <c r="H48" s="119"/>
      <c r="I48" s="119"/>
      <c r="J48" s="119"/>
      <c r="K48" s="589" t="e">
        <f>SUM('Expense Input File'!#REF!)</f>
        <v>#REF!</v>
      </c>
    </row>
    <row r="49" spans="1:15" ht="15.75" thickBot="1">
      <c r="A49" s="206" t="s">
        <v>270</v>
      </c>
      <c r="B49" s="168"/>
      <c r="C49" s="168"/>
      <c r="D49" s="180" t="e">
        <f>SUM(E49:K49)</f>
        <v>#REF!</v>
      </c>
      <c r="E49" s="180" t="e">
        <f>E47</f>
        <v>#REF!</v>
      </c>
      <c r="F49" s="180" t="e">
        <f>F47+F41</f>
        <v>#REF!</v>
      </c>
      <c r="G49" s="180" t="e">
        <f>G47</f>
        <v>#REF!</v>
      </c>
      <c r="H49" s="180" t="e">
        <f>H47</f>
        <v>#REF!</v>
      </c>
      <c r="I49" s="180" t="e">
        <f>I47</f>
        <v>#REF!</v>
      </c>
      <c r="J49" s="180" t="e">
        <f>J47</f>
        <v>#REF!</v>
      </c>
      <c r="K49" s="625" t="e">
        <f>K48+K41</f>
        <v>#REF!</v>
      </c>
      <c r="L49" s="286" t="s">
        <v>707</v>
      </c>
    </row>
    <row r="50" spans="1:15" ht="15" thickBot="1">
      <c r="A50" s="196" t="s">
        <v>271</v>
      </c>
      <c r="B50" s="172"/>
      <c r="C50" s="172"/>
      <c r="D50" s="97"/>
      <c r="E50" s="97"/>
      <c r="F50" s="97"/>
      <c r="G50" s="97"/>
      <c r="H50" s="97"/>
      <c r="I50" s="97"/>
      <c r="J50" s="97"/>
      <c r="K50" s="98"/>
      <c r="O50" s="123"/>
    </row>
    <row r="51" spans="1:15" ht="15" thickBot="1">
      <c r="A51" s="207" t="s">
        <v>46</v>
      </c>
      <c r="B51" s="172"/>
      <c r="C51" s="172"/>
      <c r="D51" s="588" t="e">
        <f>SUM((HLOOKUP($A$12,'Expense Input File'!$A$27:$L$70,10,FALSE)),(HLOOKUP($A$12,'Expense Input File'!$A$27:$L$70,11,FALSE)),(HLOOKUP($A$12,'Expense Input File'!$A$27:$L$70,12,FALSE)),(HLOOKUP($A$12,'Expense Input File'!$A$27:$L$70,13,FALSE)))</f>
        <v>#N/A</v>
      </c>
      <c r="E51" s="201" t="e">
        <f>(E49/D49)*D51</f>
        <v>#REF!</v>
      </c>
      <c r="F51" s="201" t="e">
        <f>(F49/D49)*D51</f>
        <v>#REF!</v>
      </c>
      <c r="G51" s="201" t="e">
        <f>(G49/D49)*D51</f>
        <v>#REF!</v>
      </c>
      <c r="H51" s="201" t="e">
        <f>(H49/D49)*D51</f>
        <v>#REF!</v>
      </c>
      <c r="I51" s="201" t="e">
        <f>(I49/D49)*D51</f>
        <v>#REF!</v>
      </c>
      <c r="J51" s="169" t="e">
        <f>(J49/D49)*D51</f>
        <v>#REF!</v>
      </c>
      <c r="K51" s="623" t="e">
        <f>(K49/D49)*D51</f>
        <v>#REF!</v>
      </c>
      <c r="L51" s="286" t="s">
        <v>707</v>
      </c>
      <c r="O51" s="123"/>
    </row>
    <row r="52" spans="1:15" ht="15" thickBot="1">
      <c r="A52" s="207" t="s">
        <v>47</v>
      </c>
      <c r="B52" s="172"/>
      <c r="C52" s="172"/>
      <c r="D52" s="589" t="e">
        <f>SUM('Expense Input File'!#REF!)</f>
        <v>#REF!</v>
      </c>
      <c r="E52" s="201" t="e">
        <f>(E49/D49)*D52</f>
        <v>#REF!</v>
      </c>
      <c r="F52" s="201" t="e">
        <f>(F49/D49)*D52</f>
        <v>#REF!</v>
      </c>
      <c r="G52" s="201" t="e">
        <f>(G49/D49)*D52</f>
        <v>#REF!</v>
      </c>
      <c r="H52" s="201" t="e">
        <f>(H49/D49)*D52</f>
        <v>#REF!</v>
      </c>
      <c r="I52" s="201" t="e">
        <f>(I49/D49)*D52</f>
        <v>#REF!</v>
      </c>
      <c r="J52" s="169" t="e">
        <f>(J49/D49)*D52</f>
        <v>#REF!</v>
      </c>
      <c r="K52" s="626" t="e">
        <f>(K49/D49)*D52</f>
        <v>#REF!</v>
      </c>
      <c r="L52" s="286" t="s">
        <v>707</v>
      </c>
    </row>
    <row r="53" spans="1:15" ht="15" thickBot="1">
      <c r="A53" s="207" t="s">
        <v>273</v>
      </c>
      <c r="B53" s="172"/>
      <c r="C53" s="172"/>
      <c r="D53" s="590" t="e">
        <f>HLOOKUP($A$12,'Expense Input File'!$B$14:$L$24,3,FALSE)</f>
        <v>#N/A</v>
      </c>
      <c r="E53" s="591" t="e">
        <f>(E49/D49)*(D53-(HLOOKUP($A$12,'Expense Input File'!$A$14:$L$24,10,FALSE)))</f>
        <v>#REF!</v>
      </c>
      <c r="F53" s="591" t="e">
        <f>(F49/D49)*(D53-(HLOOKUP($A$12,'Expense Input File'!$A$14:$L$24,10,FALSE)))</f>
        <v>#REF!</v>
      </c>
      <c r="G53" s="591" t="e">
        <f>(G49/D49)*(D53-(HLOOKUP($A$12,'Expense Input File'!$A$14:$L$24,10,FALSE)))</f>
        <v>#REF!</v>
      </c>
      <c r="H53" s="591" t="e">
        <f>(H49/D49)*(D53-(HLOOKUP($A$12,'Expense Input File'!$A$14:$L$24,10,FALSE)))</f>
        <v>#REF!</v>
      </c>
      <c r="I53" s="591" t="e">
        <f>(I49/D49)*(D53-(HLOOKUP($A$12,'Expense Input File'!$A$14:$L$24,10,FALSE)))</f>
        <v>#REF!</v>
      </c>
      <c r="J53" s="591" t="e">
        <f>(J49/D49)*(D53-(HLOOKUP($A$12,'Expense Input File'!$A$14:$L$24,10,FALSE)))</f>
        <v>#REF!</v>
      </c>
      <c r="K53" s="628" t="e">
        <f>((K49/D49)*(D53-(HLOOKUP($A$12,'Expense Input File'!$A$14:$L$24,10,FALSE))))+(HLOOKUP($A$12,'Expense Input File'!$A$14:$L$24,10,FALSE))</f>
        <v>#REF!</v>
      </c>
      <c r="L53" s="286" t="s">
        <v>707</v>
      </c>
      <c r="O53" s="111"/>
    </row>
    <row r="54" spans="1:15" ht="15" thickBot="1">
      <c r="A54" s="207" t="s">
        <v>292</v>
      </c>
      <c r="B54" s="172"/>
      <c r="C54" s="172"/>
      <c r="D54" s="588" t="e">
        <f>SUM((HLOOKUP($A$12,'Expense Input File'!$A$14:$L$24,7,FALSE)),(HLOOKUP($A$12,'Expense Input File'!$A$14:$L$24,8,FALSE)))</f>
        <v>#N/A</v>
      </c>
      <c r="E54" s="598" t="e">
        <f>(E49/D49)*D54</f>
        <v>#REF!</v>
      </c>
      <c r="F54" s="598" t="e">
        <f>(F49/D49)*D54</f>
        <v>#REF!</v>
      </c>
      <c r="G54" s="598" t="e">
        <f>(G49/D49)*D54</f>
        <v>#REF!</v>
      </c>
      <c r="H54" s="598" t="e">
        <f>(H49/D49)*D54</f>
        <v>#REF!</v>
      </c>
      <c r="I54" s="598" t="e">
        <f>(I49/D49)*D54</f>
        <v>#REF!</v>
      </c>
      <c r="J54" s="209" t="e">
        <f>(J49/D49)*D54</f>
        <v>#REF!</v>
      </c>
      <c r="K54" s="627" t="e">
        <f>(K49/D49)*D54</f>
        <v>#REF!</v>
      </c>
      <c r="L54" s="286" t="s">
        <v>707</v>
      </c>
    </row>
    <row r="55" spans="1:15" ht="15.75" thickBot="1">
      <c r="A55" s="211" t="s">
        <v>290</v>
      </c>
      <c r="B55" s="172"/>
      <c r="C55" s="172"/>
      <c r="D55" s="180" t="e">
        <f t="shared" ref="D55:K55" si="4">SUM(D51:D54)</f>
        <v>#N/A</v>
      </c>
      <c r="E55" s="180" t="e">
        <f t="shared" si="4"/>
        <v>#REF!</v>
      </c>
      <c r="F55" s="180" t="e">
        <f t="shared" si="4"/>
        <v>#REF!</v>
      </c>
      <c r="G55" s="180" t="e">
        <f t="shared" si="4"/>
        <v>#REF!</v>
      </c>
      <c r="H55" s="180" t="e">
        <f t="shared" si="4"/>
        <v>#REF!</v>
      </c>
      <c r="I55" s="180" t="e">
        <f t="shared" si="4"/>
        <v>#REF!</v>
      </c>
      <c r="J55" s="180" t="e">
        <f t="shared" si="4"/>
        <v>#REF!</v>
      </c>
      <c r="K55" s="625" t="e">
        <f t="shared" si="4"/>
        <v>#REF!</v>
      </c>
      <c r="L55" s="286" t="s">
        <v>707</v>
      </c>
    </row>
    <row r="56" spans="1:15" ht="15.75" thickBot="1">
      <c r="A56" s="165" t="s">
        <v>262</v>
      </c>
      <c r="B56" s="172"/>
      <c r="C56" s="172"/>
      <c r="D56" s="180" t="e">
        <f t="shared" ref="D56:K56" si="5">D55+D49</f>
        <v>#N/A</v>
      </c>
      <c r="E56" s="617" t="e">
        <f t="shared" si="5"/>
        <v>#REF!</v>
      </c>
      <c r="F56" s="618" t="e">
        <f t="shared" si="5"/>
        <v>#REF!</v>
      </c>
      <c r="G56" s="618" t="e">
        <f t="shared" si="5"/>
        <v>#REF!</v>
      </c>
      <c r="H56" s="618" t="e">
        <f t="shared" si="5"/>
        <v>#REF!</v>
      </c>
      <c r="I56" s="618" t="e">
        <f t="shared" si="5"/>
        <v>#REF!</v>
      </c>
      <c r="J56" s="618" t="e">
        <f t="shared" si="5"/>
        <v>#REF!</v>
      </c>
      <c r="K56" s="619" t="e">
        <f t="shared" si="5"/>
        <v>#REF!</v>
      </c>
      <c r="L56" s="286" t="s">
        <v>704</v>
      </c>
    </row>
    <row r="57" spans="1:15">
      <c r="A57" s="212" t="s">
        <v>177</v>
      </c>
      <c r="B57" s="172"/>
      <c r="C57" s="172"/>
      <c r="D57" s="97"/>
      <c r="E57" s="97"/>
      <c r="F57" s="97"/>
      <c r="G57" s="97"/>
      <c r="H57" s="97"/>
      <c r="I57" s="97"/>
      <c r="J57" s="97"/>
      <c r="K57" s="98"/>
    </row>
    <row r="58" spans="1:15" ht="15" thickBot="1">
      <c r="A58" s="185" t="s">
        <v>278</v>
      </c>
      <c r="B58" s="172"/>
      <c r="C58" s="172"/>
      <c r="D58" s="100"/>
      <c r="E58" s="97"/>
      <c r="F58" s="97"/>
      <c r="G58" s="97"/>
      <c r="H58" s="97"/>
      <c r="I58" s="97"/>
      <c r="J58" s="97"/>
      <c r="K58" s="98"/>
    </row>
    <row r="59" spans="1:15" ht="15">
      <c r="A59" s="185" t="s">
        <v>276</v>
      </c>
      <c r="B59" s="172"/>
      <c r="C59" s="172"/>
      <c r="D59" s="607" t="e">
        <f>(HLOOKUP($A$12,'Expense Input File'!$A$27:$L$91,48,FALSE))</f>
        <v>#N/A</v>
      </c>
      <c r="E59" s="100"/>
      <c r="F59" s="213">
        <v>471.70674659258151</v>
      </c>
      <c r="G59" s="100"/>
      <c r="H59" s="100"/>
      <c r="I59" s="213">
        <v>284.14939208260876</v>
      </c>
      <c r="J59" s="100"/>
      <c r="K59" s="98"/>
    </row>
    <row r="60" spans="1:15">
      <c r="A60" s="185" t="s">
        <v>277</v>
      </c>
      <c r="B60" s="172"/>
      <c r="C60" s="172"/>
      <c r="D60" s="608" t="e">
        <f>(HLOOKUP($A$12,'Expense Input File'!$A$27:$L$91,49,FALSE))</f>
        <v>#N/A</v>
      </c>
      <c r="E60" s="100"/>
      <c r="F60" s="97"/>
      <c r="G60" s="182" t="e">
        <f>D60</f>
        <v>#N/A</v>
      </c>
      <c r="H60" s="97"/>
      <c r="I60" s="97"/>
      <c r="J60" s="97"/>
      <c r="K60" s="98"/>
    </row>
    <row r="61" spans="1:15" ht="15" thickBot="1">
      <c r="A61" s="185" t="s">
        <v>275</v>
      </c>
      <c r="B61" s="172"/>
      <c r="C61" s="172"/>
      <c r="D61" s="608" t="e">
        <f>(HLOOKUP($A$12,'Expense Input File'!$A$27:$L$91,52,FALSE))</f>
        <v>#N/A</v>
      </c>
      <c r="E61" s="100"/>
      <c r="F61" s="182" t="e">
        <f>D61</f>
        <v>#N/A</v>
      </c>
      <c r="G61" s="97"/>
      <c r="H61" s="97"/>
      <c r="I61" s="97"/>
      <c r="J61" s="97"/>
      <c r="K61" s="98"/>
    </row>
    <row r="62" spans="1:15" ht="15.75" thickBot="1">
      <c r="A62" s="185" t="s">
        <v>469</v>
      </c>
      <c r="B62" s="172"/>
      <c r="C62" s="172"/>
      <c r="D62" s="608" t="e">
        <f>(HLOOKUP($A$12,'Expense Input File'!$A$27:$L$91,50,FALSE))</f>
        <v>#N/A</v>
      </c>
      <c r="E62" s="100"/>
      <c r="F62" s="614" t="e">
        <f>$D$62*0.397156801</f>
        <v>#N/A</v>
      </c>
      <c r="G62" s="614" t="e">
        <f>$D$62*0.602844218</f>
        <v>#N/A</v>
      </c>
      <c r="H62" s="97"/>
      <c r="I62" s="97"/>
      <c r="J62" s="97"/>
      <c r="K62" s="98"/>
      <c r="M62" s="286"/>
      <c r="N62" s="286"/>
      <c r="O62" s="286"/>
    </row>
    <row r="63" spans="1:15" ht="15" thickBot="1">
      <c r="A63" s="185" t="s">
        <v>274</v>
      </c>
      <c r="B63" s="172"/>
      <c r="C63" s="172"/>
      <c r="D63" s="609" t="e">
        <f>HLOOKUP($A$12,'Expense Input File'!$B$27:$L$91,53,FALSE)</f>
        <v>#N/A</v>
      </c>
      <c r="E63" s="169" t="e">
        <f>(E38/D38)*D63</f>
        <v>#N/A</v>
      </c>
      <c r="F63" s="169" t="e">
        <f>(F38/D38)*D63</f>
        <v>#N/A</v>
      </c>
      <c r="G63" s="169" t="e">
        <f>(G38/D38)*D63</f>
        <v>#N/A</v>
      </c>
      <c r="H63" s="169" t="e">
        <f>(H38/D38)*D63</f>
        <v>#N/A</v>
      </c>
      <c r="I63" s="169" t="e">
        <f>(I38/D38)*D63</f>
        <v>#N/A</v>
      </c>
      <c r="J63" s="169" t="e">
        <f>(J38/D38)*D63</f>
        <v>#N/A</v>
      </c>
      <c r="K63" s="98"/>
      <c r="M63" s="612"/>
    </row>
    <row r="64" spans="1:15" ht="15.75" thickBot="1">
      <c r="A64" s="185" t="s">
        <v>263</v>
      </c>
      <c r="B64" s="168"/>
      <c r="C64" s="172"/>
      <c r="D64" s="404" t="e">
        <f>K64</f>
        <v>#N/A</v>
      </c>
      <c r="E64" s="100"/>
      <c r="F64" s="97"/>
      <c r="G64" s="97"/>
      <c r="H64" s="97"/>
      <c r="I64" s="97"/>
      <c r="J64" s="97"/>
      <c r="K64" s="588" t="e">
        <f>HLOOKUP($A$12,'Expense Input File'!$A$27:$L$91,46,FALSE)</f>
        <v>#N/A</v>
      </c>
    </row>
    <row r="65" spans="1:12" ht="15">
      <c r="A65" s="185" t="s">
        <v>665</v>
      </c>
      <c r="B65" s="168"/>
      <c r="C65" s="172"/>
      <c r="D65" s="404" t="e">
        <f>K65</f>
        <v>#N/A</v>
      </c>
      <c r="E65" s="100"/>
      <c r="F65" s="100"/>
      <c r="G65" s="100"/>
      <c r="H65" s="100"/>
      <c r="I65" s="100"/>
      <c r="J65" s="100"/>
      <c r="K65" s="99" t="e">
        <f>HLOOKUP($A$12,'Expense Input File'!$H$14:$L$107,MATCH($A$65,'Expense Input File'!$B$14:$B$107,0),0)</f>
        <v>#N/A</v>
      </c>
    </row>
    <row r="66" spans="1:12" ht="15">
      <c r="A66" s="179" t="s">
        <v>288</v>
      </c>
      <c r="B66" s="172"/>
      <c r="C66" s="172"/>
      <c r="D66" s="405" t="e">
        <f>SUM(D59:D65)</f>
        <v>#N/A</v>
      </c>
      <c r="E66" s="405" t="e">
        <f t="shared" ref="E66:K66" si="6">SUM(E59:E65)</f>
        <v>#N/A</v>
      </c>
      <c r="F66" s="405" t="e">
        <f t="shared" si="6"/>
        <v>#N/A</v>
      </c>
      <c r="G66" s="405" t="e">
        <f t="shared" si="6"/>
        <v>#N/A</v>
      </c>
      <c r="H66" s="405" t="e">
        <f t="shared" si="6"/>
        <v>#N/A</v>
      </c>
      <c r="I66" s="405" t="e">
        <f t="shared" si="6"/>
        <v>#N/A</v>
      </c>
      <c r="J66" s="405" t="e">
        <f t="shared" si="6"/>
        <v>#N/A</v>
      </c>
      <c r="K66" s="406" t="e">
        <f t="shared" si="6"/>
        <v>#N/A</v>
      </c>
    </row>
    <row r="67" spans="1:12" ht="15" thickBot="1">
      <c r="A67" s="185" t="s">
        <v>279</v>
      </c>
      <c r="B67" s="172"/>
      <c r="C67" s="172"/>
      <c r="D67" s="97"/>
      <c r="E67" s="100"/>
      <c r="F67" s="97"/>
      <c r="G67" s="97"/>
      <c r="H67" s="97"/>
      <c r="I67" s="97"/>
      <c r="J67" s="97"/>
      <c r="K67" s="98"/>
    </row>
    <row r="68" spans="1:12" ht="15" thickBot="1">
      <c r="A68" s="185" t="s">
        <v>42</v>
      </c>
      <c r="B68" s="172"/>
      <c r="C68" s="172"/>
      <c r="D68" s="169" t="e">
        <f>SUM(E68:K68)</f>
        <v>#N/A</v>
      </c>
      <c r="E68" s="610" t="e">
        <f>(HLOOKUP($A$12,'Expense Input File'!$B$71:$L$93,22,FALSE))*E15</f>
        <v>#N/A</v>
      </c>
      <c r="F68" s="611" t="e">
        <f>(HLOOKUP($A$12,'Expense Input File'!$B$71:$L$93,22,FALSE))*F15</f>
        <v>#N/A</v>
      </c>
      <c r="G68" s="611" t="e">
        <f>(HLOOKUP($A$12,'Expense Input File'!$B$71:$L$93,22,FALSE))*G15</f>
        <v>#N/A</v>
      </c>
      <c r="H68" s="611" t="e">
        <f>(HLOOKUP($A$12,'Expense Input File'!$B$71:$L$93,22,FALSE))*H15</f>
        <v>#N/A</v>
      </c>
      <c r="I68" s="611" t="e">
        <f>(HLOOKUP($A$12,'Expense Input File'!$B$71:$L$93,22,FALSE))*I15</f>
        <v>#N/A</v>
      </c>
      <c r="J68" s="591" t="e">
        <f>(HLOOKUP($A$12,'Expense Input File'!$B$71:$L$93,22,FALSE))*J15</f>
        <v>#N/A</v>
      </c>
      <c r="K68" s="624" t="e">
        <f>((HLOOKUP($A$12,'Expense Input File'!$B$71:$L$93,22,FALSE))*K15)+(HLOOKUP($A$12,'Expense Input File'!$B$71:$L$93,23,FALSE))</f>
        <v>#N/A</v>
      </c>
      <c r="L68" s="286" t="s">
        <v>707</v>
      </c>
    </row>
    <row r="69" spans="1:12" ht="15" thickBot="1">
      <c r="A69" s="185" t="s">
        <v>43</v>
      </c>
      <c r="B69" s="172"/>
      <c r="C69" s="172"/>
      <c r="D69" s="607" t="e">
        <f>HLOOKUP($A$12,'Expense Input File'!$A$27:$L$91,57,FALSE)</f>
        <v>#N/A</v>
      </c>
      <c r="E69" s="100"/>
      <c r="F69" s="182" t="e">
        <f>D69</f>
        <v>#N/A</v>
      </c>
      <c r="G69" s="107"/>
      <c r="H69" s="107"/>
      <c r="I69" s="107"/>
      <c r="J69" s="107"/>
      <c r="K69" s="108"/>
    </row>
    <row r="70" spans="1:12" ht="15" thickBot="1">
      <c r="A70" s="185" t="s">
        <v>44</v>
      </c>
      <c r="B70" s="172"/>
      <c r="C70" s="172"/>
      <c r="D70" s="608" t="e">
        <f>HLOOKUP($A$12,'Expense Input File'!$A$27:$L$91,58,FALSE)</f>
        <v>#N/A</v>
      </c>
      <c r="E70" s="201" t="e">
        <f>(E49/D49)*D70</f>
        <v>#REF!</v>
      </c>
      <c r="F70" s="169" t="e">
        <f>(F49/D49)*D70</f>
        <v>#REF!</v>
      </c>
      <c r="G70" s="169" t="e">
        <f>(G49/D49)*D70</f>
        <v>#REF!</v>
      </c>
      <c r="H70" s="169" t="e">
        <f>(H49/D49)*D70</f>
        <v>#REF!</v>
      </c>
      <c r="I70" s="169" t="e">
        <f>(I49/D49)*D70</f>
        <v>#REF!</v>
      </c>
      <c r="J70" s="169" t="e">
        <f>(J49/D49)*D70</f>
        <v>#REF!</v>
      </c>
      <c r="K70" s="623" t="e">
        <f>(K49/D49)*D70</f>
        <v>#REF!</v>
      </c>
      <c r="L70" s="286" t="s">
        <v>707</v>
      </c>
    </row>
    <row r="71" spans="1:12" ht="15" thickBot="1">
      <c r="A71" s="185" t="s">
        <v>45</v>
      </c>
      <c r="B71" s="172"/>
      <c r="C71" s="172"/>
      <c r="D71" s="609" t="e">
        <f>HLOOKUP($A$12,'Expense Input File'!$A$27:$L$91,59,FALSE)</f>
        <v>#N/A</v>
      </c>
      <c r="E71" s="120"/>
      <c r="F71" s="119"/>
      <c r="G71" s="119"/>
      <c r="H71" s="119"/>
      <c r="I71" s="119"/>
      <c r="J71" s="119"/>
      <c r="K71" s="622" t="e">
        <f>D71</f>
        <v>#N/A</v>
      </c>
      <c r="L71" s="286" t="s">
        <v>707</v>
      </c>
    </row>
    <row r="72" spans="1:12" ht="15.75" thickBot="1">
      <c r="A72" s="179" t="s">
        <v>289</v>
      </c>
      <c r="B72" s="172"/>
      <c r="C72" s="172"/>
      <c r="D72" s="217" t="e">
        <f>SUM(D68:D71)</f>
        <v>#N/A</v>
      </c>
      <c r="E72" s="217" t="e">
        <f t="shared" ref="E72:J72" si="7">SUM(E68:E71)</f>
        <v>#N/A</v>
      </c>
      <c r="F72" s="217" t="e">
        <f t="shared" si="7"/>
        <v>#N/A</v>
      </c>
      <c r="G72" s="217" t="e">
        <f t="shared" si="7"/>
        <v>#N/A</v>
      </c>
      <c r="H72" s="217" t="e">
        <f t="shared" si="7"/>
        <v>#N/A</v>
      </c>
      <c r="I72" s="217" t="e">
        <f t="shared" si="7"/>
        <v>#N/A</v>
      </c>
      <c r="J72" s="217" t="e">
        <f t="shared" si="7"/>
        <v>#N/A</v>
      </c>
      <c r="K72" s="692" t="e">
        <f>SUM(K68:K71)</f>
        <v>#N/A</v>
      </c>
      <c r="L72" s="286" t="s">
        <v>707</v>
      </c>
    </row>
    <row r="73" spans="1:12" ht="15.75" thickBot="1">
      <c r="A73" s="219" t="s">
        <v>280</v>
      </c>
      <c r="B73" s="219"/>
      <c r="C73" s="219"/>
      <c r="D73" s="220" t="e">
        <f>SUM(E73:K73)</f>
        <v>#N/A</v>
      </c>
      <c r="E73" s="617" t="e">
        <f>E72+E66</f>
        <v>#N/A</v>
      </c>
      <c r="F73" s="618" t="e">
        <f t="shared" ref="F73:K73" si="8">F72+F66</f>
        <v>#N/A</v>
      </c>
      <c r="G73" s="618" t="e">
        <f t="shared" si="8"/>
        <v>#N/A</v>
      </c>
      <c r="H73" s="618" t="e">
        <f t="shared" si="8"/>
        <v>#N/A</v>
      </c>
      <c r="I73" s="618" t="e">
        <f t="shared" si="8"/>
        <v>#N/A</v>
      </c>
      <c r="J73" s="618" t="e">
        <f t="shared" si="8"/>
        <v>#N/A</v>
      </c>
      <c r="K73" s="619" t="e">
        <f t="shared" si="8"/>
        <v>#N/A</v>
      </c>
      <c r="L73" s="286" t="s">
        <v>704</v>
      </c>
    </row>
    <row r="74" spans="1:12" ht="15" thickBot="1">
      <c r="A74" s="212" t="s">
        <v>661</v>
      </c>
      <c r="B74" s="172"/>
      <c r="C74" s="172"/>
      <c r="D74" s="97"/>
      <c r="E74" s="97"/>
      <c r="F74" s="97"/>
      <c r="G74" s="97"/>
      <c r="H74" s="97"/>
      <c r="I74" s="97"/>
      <c r="J74" s="97"/>
      <c r="K74" s="98"/>
    </row>
    <row r="75" spans="1:12" ht="15.75" thickBot="1">
      <c r="A75" s="410" t="s">
        <v>662</v>
      </c>
      <c r="B75" s="297"/>
      <c r="C75" s="297"/>
      <c r="D75" s="691" t="e">
        <f>HLOOKUP($A$12,'Expense Input File'!$A$71:$L$94,24,FALSE)</f>
        <v>#N/A</v>
      </c>
      <c r="E75" s="617"/>
      <c r="F75" s="618" t="e">
        <f>+$D75*(F56/SUM($F56:$H56))</f>
        <v>#N/A</v>
      </c>
      <c r="G75" s="618" t="e">
        <f>+$D75*(G56/SUM($F56:$H56))</f>
        <v>#N/A</v>
      </c>
      <c r="H75" s="618" t="e">
        <f>+$D75*(H56/SUM($F56:$H56))</f>
        <v>#N/A</v>
      </c>
      <c r="I75" s="618"/>
      <c r="J75" s="618"/>
      <c r="K75" s="619"/>
      <c r="L75" s="286" t="s">
        <v>704</v>
      </c>
    </row>
    <row r="76" spans="1:12">
      <c r="D76" s="229"/>
    </row>
    <row r="77" spans="1:12">
      <c r="D77" s="286" t="s">
        <v>716</v>
      </c>
      <c r="E77" s="111" t="e">
        <f>+E73+E75</f>
        <v>#N/A</v>
      </c>
      <c r="F77" s="111" t="e">
        <f t="shared" ref="F77:K77" si="9">+F73+F75</f>
        <v>#N/A</v>
      </c>
      <c r="G77" s="111" t="e">
        <f t="shared" si="9"/>
        <v>#N/A</v>
      </c>
      <c r="H77" s="111" t="e">
        <f t="shared" si="9"/>
        <v>#N/A</v>
      </c>
      <c r="I77" s="111" t="e">
        <f t="shared" si="9"/>
        <v>#N/A</v>
      </c>
      <c r="J77" s="111" t="e">
        <f t="shared" si="9"/>
        <v>#N/A</v>
      </c>
      <c r="K77" s="111" t="e">
        <f t="shared" si="9"/>
        <v>#N/A</v>
      </c>
      <c r="L77" s="90" t="s">
        <v>719</v>
      </c>
    </row>
    <row r="84" spans="5:5">
      <c r="E84" s="404">
        <f>L84</f>
        <v>0</v>
      </c>
    </row>
  </sheetData>
  <customSheetViews>
    <customSheetView guid="{2226E858-00AE-4A92-8CF6-5B54D2FA62D4}" showPageBreaks="1" fitToPage="1">
      <selection activeCell="Q54" sqref="Q54"/>
      <pageMargins left="0.25" right="0.25" top="0.75" bottom="0.75" header="0.3" footer="0.3"/>
      <pageSetup scale="55" orientation="portrait" r:id="rId1"/>
    </customSheetView>
  </customSheetViews>
  <mergeCells count="3">
    <mergeCell ref="A1:K1"/>
    <mergeCell ref="A10:B10"/>
    <mergeCell ref="A12:C12"/>
  </mergeCells>
  <hyperlinks>
    <hyperlink ref="I5" location="'Revenue Requirement'!A1" display="Revenue Requirement" xr:uid="{00000000-0004-0000-1D00-000000000000}"/>
    <hyperlink ref="I4" location="AFUDC!A1" display="AFUDC" xr:uid="{00000000-0004-0000-1D00-000001000000}"/>
    <hyperlink ref="I3" location="'Repayment Inputs'!A1" display="Repayment Inputs" xr:uid="{00000000-0004-0000-1D00-000002000000}"/>
    <hyperlink ref="G6" r:id="rId2" xr:uid="{00000000-0004-0000-1D00-000003000000}"/>
  </hyperlinks>
  <pageMargins left="0.25" right="0.25" top="0.75" bottom="0.75" header="0.3" footer="0.3"/>
  <pageSetup scale="56" orientation="portrait" r:id="rId3"/>
  <legacyDrawing r:id="rId4"/>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5A0489-08D0-473E-8C53-7350DB6DD726}">
  <sheetPr>
    <tabColor theme="9"/>
    <outlinePr summaryBelow="0" summaryRight="0"/>
    <pageSetUpPr autoPageBreaks="0" fitToPage="1"/>
  </sheetPr>
  <dimension ref="A1:R33"/>
  <sheetViews>
    <sheetView topLeftCell="B7" workbookViewId="0">
      <selection activeCell="B7" sqref="B7:O38"/>
    </sheetView>
  </sheetViews>
  <sheetFormatPr defaultColWidth="9.140625" defaultRowHeight="14.25" outlineLevelRow="1"/>
  <cols>
    <col min="1" max="1" width="44.85546875" style="746" bestFit="1" customWidth="1"/>
    <col min="2" max="2" width="24.5703125" style="746" customWidth="1"/>
    <col min="3" max="3" width="22.28515625" style="746" customWidth="1"/>
    <col min="4" max="4" width="22.42578125" style="746" customWidth="1"/>
    <col min="5" max="5" width="13" style="746" customWidth="1"/>
    <col min="6" max="6" width="14.42578125" style="746" customWidth="1"/>
    <col min="7" max="7" width="11.5703125" style="746" bestFit="1" customWidth="1"/>
    <col min="8" max="8" width="12.28515625" style="746" customWidth="1"/>
    <col min="9" max="11" width="10.7109375" style="746" customWidth="1"/>
    <col min="12" max="12" width="12.42578125" style="746" customWidth="1"/>
    <col min="13" max="13" width="14" style="746" customWidth="1"/>
    <col min="14" max="14" width="11.7109375" style="746" customWidth="1"/>
    <col min="15" max="15" width="16.85546875" style="866" bestFit="1" customWidth="1"/>
    <col min="16" max="16" width="13.28515625" style="746" bestFit="1" customWidth="1"/>
    <col min="17" max="17" width="27.42578125" style="746" customWidth="1"/>
    <col min="18" max="18" width="9.85546875" style="746" bestFit="1" customWidth="1"/>
    <col min="19" max="16384" width="9.140625" style="746"/>
  </cols>
  <sheetData>
    <row r="1" spans="1:17" ht="18" hidden="1">
      <c r="B1" s="956"/>
      <c r="C1" s="956"/>
      <c r="D1" s="956"/>
      <c r="E1" s="956"/>
      <c r="F1" s="956"/>
      <c r="G1" s="956"/>
      <c r="H1" s="956"/>
      <c r="I1" s="956"/>
      <c r="J1" s="956"/>
      <c r="K1" s="956"/>
      <c r="L1" s="956"/>
      <c r="M1" s="956"/>
      <c r="N1" s="956"/>
    </row>
    <row r="2" spans="1:17" ht="15" hidden="1" outlineLevel="1">
      <c r="B2" s="747"/>
      <c r="C2" s="867"/>
      <c r="D2" s="740"/>
      <c r="F2" s="769"/>
      <c r="J2" s="769"/>
      <c r="K2" s="862"/>
      <c r="N2" s="848"/>
    </row>
    <row r="3" spans="1:17" hidden="1" outlineLevel="1">
      <c r="B3" s="747"/>
      <c r="C3" s="867"/>
      <c r="D3" s="740"/>
      <c r="F3" s="816"/>
      <c r="H3" s="418"/>
      <c r="L3" s="863"/>
    </row>
    <row r="4" spans="1:17" ht="15" hidden="1" outlineLevel="1">
      <c r="B4" s="761"/>
      <c r="C4" s="868"/>
      <c r="D4" s="740"/>
      <c r="F4" s="816"/>
      <c r="G4" s="418"/>
      <c r="H4" s="418"/>
      <c r="J4" s="864"/>
      <c r="K4" s="832"/>
      <c r="L4" s="832"/>
    </row>
    <row r="5" spans="1:17" ht="15" hidden="1" customHeight="1" outlineLevel="1">
      <c r="B5" s="761"/>
      <c r="C5" s="868"/>
      <c r="D5" s="740"/>
      <c r="J5" s="832"/>
      <c r="K5" s="832"/>
      <c r="L5" s="832"/>
    </row>
    <row r="6" spans="1:17" ht="15" hidden="1" outlineLevel="1">
      <c r="B6" s="761"/>
      <c r="C6" s="869"/>
      <c r="D6" s="870"/>
      <c r="F6" s="853"/>
      <c r="G6" s="853"/>
      <c r="H6" s="853"/>
      <c r="I6" s="853"/>
      <c r="J6" s="853"/>
      <c r="K6" s="853"/>
      <c r="L6" s="853"/>
      <c r="M6" s="853"/>
    </row>
    <row r="7" spans="1:17" ht="15" customHeight="1" outlineLevel="1">
      <c r="B7" s="761" t="s">
        <v>13</v>
      </c>
      <c r="C7" s="869">
        <v>2026</v>
      </c>
      <c r="D7" s="871"/>
      <c r="F7" s="853"/>
      <c r="G7" s="853"/>
      <c r="H7" s="853"/>
      <c r="I7" s="853"/>
      <c r="J7" s="853"/>
      <c r="K7" s="853"/>
      <c r="L7" s="853"/>
      <c r="M7" s="853"/>
    </row>
    <row r="8" spans="1:17" ht="15" outlineLevel="1">
      <c r="B8" s="761" t="s">
        <v>14</v>
      </c>
      <c r="C8" s="869">
        <v>2028</v>
      </c>
      <c r="D8" s="871"/>
      <c r="F8" s="853"/>
      <c r="G8" s="853"/>
      <c r="H8" s="853"/>
      <c r="I8" s="853"/>
      <c r="J8" s="853"/>
      <c r="K8" s="853"/>
      <c r="L8" s="853"/>
      <c r="M8" s="853"/>
    </row>
    <row r="9" spans="1:17" ht="15" customHeight="1">
      <c r="E9" s="994" t="s">
        <v>170</v>
      </c>
      <c r="F9" s="995" t="s">
        <v>171</v>
      </c>
      <c r="G9" s="994" t="s">
        <v>172</v>
      </c>
      <c r="H9" s="995" t="s">
        <v>173</v>
      </c>
      <c r="I9" s="995" t="s">
        <v>174</v>
      </c>
      <c r="J9" s="995" t="s">
        <v>175</v>
      </c>
      <c r="K9" s="995" t="s">
        <v>176</v>
      </c>
      <c r="L9" s="995" t="s">
        <v>177</v>
      </c>
      <c r="M9" s="995" t="s">
        <v>464</v>
      </c>
      <c r="N9" s="995"/>
    </row>
    <row r="10" spans="1:17" ht="15">
      <c r="B10" s="872">
        <f>C7</f>
        <v>2026</v>
      </c>
      <c r="C10" s="993" t="s">
        <v>282</v>
      </c>
      <c r="D10" s="993"/>
      <c r="E10" s="994"/>
      <c r="F10" s="994"/>
      <c r="G10" s="994"/>
      <c r="H10" s="994"/>
      <c r="I10" s="994"/>
      <c r="J10" s="994"/>
      <c r="K10" s="994"/>
      <c r="L10" s="994"/>
      <c r="M10" s="995"/>
      <c r="N10" s="995"/>
      <c r="P10" s="285"/>
    </row>
    <row r="11" spans="1:17">
      <c r="A11" s="746" t="s">
        <v>546</v>
      </c>
      <c r="B11" s="817" t="s">
        <v>283</v>
      </c>
      <c r="D11" s="864"/>
      <c r="E11" s="285">
        <f ca="1">SUM(F11:L11)</f>
        <v>721862.38764000009</v>
      </c>
      <c r="F11" s="285">
        <f ca="1">'Segmented Rev Req.'!F11</f>
        <v>11747.72860412782</v>
      </c>
      <c r="G11" s="285">
        <f ca="1">'Segmented Rev Req.'!G11+'Segmented Rev Req.'!J11</f>
        <v>453790.89102117799</v>
      </c>
      <c r="H11" s="285">
        <f ca="1">'Segmented Rev Req.'!H11</f>
        <v>61912.020397490647</v>
      </c>
      <c r="I11" s="285">
        <f ca="1">'Segmented Rev Req.'!I11</f>
        <v>5925.8288464149082</v>
      </c>
      <c r="J11" s="285">
        <v>0</v>
      </c>
      <c r="K11" s="285">
        <f ca="1">'Segmented Rev Req.'!K11</f>
        <v>760.80015274799382</v>
      </c>
      <c r="L11" s="285">
        <f ca="1">'Segmented Rev Req.'!L11</f>
        <v>187725.11861804064</v>
      </c>
      <c r="M11" s="285">
        <f>'Segmented Rev Req.'!M11</f>
        <v>721862.38763999997</v>
      </c>
      <c r="N11" s="285">
        <f ca="1">M11-E11</f>
        <v>0</v>
      </c>
      <c r="Q11" s="759"/>
    </row>
    <row r="12" spans="1:17">
      <c r="A12" s="746" t="s">
        <v>280</v>
      </c>
      <c r="B12" s="817" t="s">
        <v>284</v>
      </c>
      <c r="D12" s="816"/>
      <c r="E12" s="285">
        <f ca="1">SUM(F12:L12)</f>
        <v>146541.11987526744</v>
      </c>
      <c r="F12" s="285">
        <f ca="1">'Segmented Rev Req.'!F12</f>
        <v>87.826251904217884</v>
      </c>
      <c r="G12" s="285">
        <f ca="1">'Segmented Rev Req.'!G12+'Segmented Rev Req.'!J12</f>
        <v>16052.49738692631</v>
      </c>
      <c r="H12" s="285">
        <f ca="1">'Segmented Rev Req.'!H12</f>
        <v>2315.0971258676736</v>
      </c>
      <c r="I12" s="285">
        <f ca="1">'Segmented Rev Req.'!I12</f>
        <v>42.566666324979302</v>
      </c>
      <c r="J12" s="285">
        <v>0</v>
      </c>
      <c r="K12" s="285">
        <f ca="1">'Segmented Rev Req.'!K12</f>
        <v>6.6356465022728672</v>
      </c>
      <c r="L12" s="285">
        <f ca="1">'Segmented Rev Req.'!L12</f>
        <v>128036.49679774199</v>
      </c>
      <c r="M12" s="285">
        <f>'Segmented Rev Req.'!M12</f>
        <v>146541.11820729065</v>
      </c>
      <c r="N12" s="759">
        <f t="shared" ref="N12:N16" ca="1" si="0">M12-E12</f>
        <v>-1.6679767868481576E-3</v>
      </c>
      <c r="P12" s="285"/>
    </row>
    <row r="13" spans="1:17">
      <c r="A13" s="746" t="s">
        <v>188</v>
      </c>
      <c r="B13" s="817" t="s">
        <v>189</v>
      </c>
      <c r="D13" s="816"/>
      <c r="E13" s="285">
        <f ca="1">SUM(F13:L13)</f>
        <v>377162.04538600007</v>
      </c>
      <c r="F13" s="285">
        <f ca="1">'Segmented Rev Req.'!F13</f>
        <v>6257.7689057906828</v>
      </c>
      <c r="G13" s="285">
        <f ca="1">'Segmented Rev Req.'!G13+'Segmented Rev Req.'!J13</f>
        <v>283963.30104812433</v>
      </c>
      <c r="H13" s="285">
        <f ca="1">'Segmented Rev Req.'!H13</f>
        <v>35442.73621966358</v>
      </c>
      <c r="I13" s="285">
        <f ca="1">'Segmented Rev Req.'!I13</f>
        <v>4080.8017398184934</v>
      </c>
      <c r="J13" s="285">
        <v>0</v>
      </c>
      <c r="K13" s="285">
        <f ca="1">'Segmented Rev Req.'!K13</f>
        <v>281.95392439860814</v>
      </c>
      <c r="L13" s="285">
        <f ca="1">'Segmented Rev Req.'!L13</f>
        <v>47135.483548204356</v>
      </c>
      <c r="M13" s="285">
        <f>'Segmented Rev Req.'!M13</f>
        <v>377162.04538600001</v>
      </c>
      <c r="N13" s="285">
        <f t="shared" ca="1" si="0"/>
        <v>0</v>
      </c>
      <c r="P13" s="285"/>
    </row>
    <row r="14" spans="1:17">
      <c r="A14" s="746" t="s">
        <v>180</v>
      </c>
      <c r="B14" s="817" t="s">
        <v>89</v>
      </c>
      <c r="D14" s="864"/>
      <c r="E14" s="285">
        <f ca="1">SUM(F14:L14)</f>
        <v>203728.93535300213</v>
      </c>
      <c r="F14" s="285">
        <f ca="1">'Segmented Rev Req.'!F14</f>
        <v>3645.7283400794731</v>
      </c>
      <c r="G14" s="285">
        <f ca="1">'Segmented Rev Req.'!G14+'Segmented Rev Req.'!J14</f>
        <v>169726.0835492092</v>
      </c>
      <c r="H14" s="285">
        <f ca="1">'Segmented Rev Req.'!H14</f>
        <v>18530.477763213185</v>
      </c>
      <c r="I14" s="285">
        <f ca="1">'Segmented Rev Req.'!I14</f>
        <v>2032.7248281018321</v>
      </c>
      <c r="J14" s="285">
        <v>0</v>
      </c>
      <c r="K14" s="285">
        <f ca="1">'Segmented Rev Req.'!K14</f>
        <v>156.8346271597209</v>
      </c>
      <c r="L14" s="285">
        <f ca="1">'Segmented Rev Req.'!L14</f>
        <v>9637.0862452386864</v>
      </c>
      <c r="M14" s="759">
        <f>'Segmented Rev Req.'!M14</f>
        <v>203728.9353530021</v>
      </c>
      <c r="N14" s="759">
        <f t="shared" ca="1" si="0"/>
        <v>0</v>
      </c>
      <c r="P14" s="285"/>
    </row>
    <row r="15" spans="1:17">
      <c r="A15" s="746" t="s">
        <v>185</v>
      </c>
      <c r="B15" s="817" t="s">
        <v>265</v>
      </c>
      <c r="D15" s="864"/>
      <c r="E15" s="285">
        <f ca="1">SUM(F15:L15)</f>
        <v>177401.26576231883</v>
      </c>
      <c r="F15" s="285">
        <f ca="1">'Segmented Rev Req.'!F15</f>
        <v>2788.3718845483927</v>
      </c>
      <c r="G15" s="285">
        <f ca="1">'Segmented Rev Req.'!G15+'Segmented Rev Req.'!J15</f>
        <v>151394.77621622861</v>
      </c>
      <c r="H15" s="285">
        <f ca="1">'Segmented Rev Req.'!H15</f>
        <v>14172.713483382166</v>
      </c>
      <c r="I15" s="285">
        <f ca="1">'Segmented Rev Req.'!I15</f>
        <v>1554.6942149779204</v>
      </c>
      <c r="J15" s="285">
        <v>0</v>
      </c>
      <c r="K15" s="285">
        <f ca="1">'Segmented Rev Req.'!K15</f>
        <v>119.95223563099123</v>
      </c>
      <c r="L15" s="285">
        <f ca="1">'Segmented Rev Req.'!L15</f>
        <v>7370.757727550762</v>
      </c>
      <c r="M15" s="759">
        <f>'Segmented Rev Req.'!M15</f>
        <v>177401.26576231886</v>
      </c>
      <c r="N15" s="759">
        <f t="shared" ca="1" si="0"/>
        <v>0</v>
      </c>
      <c r="P15" s="285"/>
    </row>
    <row r="16" spans="1:17" ht="15">
      <c r="B16" s="873" t="s">
        <v>285</v>
      </c>
      <c r="D16" s="864"/>
      <c r="E16" s="285">
        <f ca="1">SUM(E11:E15)</f>
        <v>1626695.7540165884</v>
      </c>
      <c r="F16" s="285">
        <f ca="1">SUM(F11:F15)</f>
        <v>24527.423986450587</v>
      </c>
      <c r="G16" s="285">
        <f t="shared" ref="G16:L16" ca="1" si="1">SUM(G11:G15)</f>
        <v>1074927.5492216665</v>
      </c>
      <c r="H16" s="285">
        <f t="shared" ca="1" si="1"/>
        <v>132373.04498961725</v>
      </c>
      <c r="I16" s="285">
        <f t="shared" ca="1" si="1"/>
        <v>13636.616295638134</v>
      </c>
      <c r="J16" s="285">
        <f t="shared" si="1"/>
        <v>0</v>
      </c>
      <c r="K16" s="285">
        <f t="shared" ca="1" si="1"/>
        <v>1326.1765864395868</v>
      </c>
      <c r="L16" s="285">
        <f t="shared" ca="1" si="1"/>
        <v>379904.94293677638</v>
      </c>
      <c r="M16" s="285">
        <f>SUM(M11:M15)</f>
        <v>1626695.7523486116</v>
      </c>
      <c r="N16" s="285">
        <f t="shared" ca="1" si="0"/>
        <v>-1.6679768450558186E-3</v>
      </c>
      <c r="P16" s="285"/>
    </row>
    <row r="17" spans="1:18" ht="15.75" customHeight="1">
      <c r="B17" s="873"/>
      <c r="C17" s="816"/>
      <c r="D17" s="865"/>
      <c r="E17" s="760"/>
      <c r="F17" s="760"/>
      <c r="G17" s="760"/>
      <c r="H17" s="760"/>
      <c r="I17" s="760"/>
      <c r="J17" s="760"/>
      <c r="K17" s="760"/>
      <c r="L17" s="760"/>
      <c r="M17" s="760"/>
      <c r="N17" s="760"/>
      <c r="P17" s="874"/>
    </row>
    <row r="18" spans="1:18" ht="15">
      <c r="B18" s="872">
        <f>B10+1</f>
        <v>2027</v>
      </c>
      <c r="C18" s="993" t="s">
        <v>282</v>
      </c>
      <c r="D18" s="993"/>
      <c r="E18" s="759"/>
      <c r="F18" s="759"/>
      <c r="G18" s="759"/>
      <c r="H18" s="759"/>
      <c r="I18" s="759"/>
      <c r="J18" s="759"/>
      <c r="K18" s="759"/>
      <c r="L18" s="759"/>
      <c r="M18" s="759"/>
      <c r="N18" s="759"/>
      <c r="P18" s="285"/>
    </row>
    <row r="19" spans="1:18">
      <c r="A19" s="746" t="str">
        <f>IF(A11=0," ",A11)</f>
        <v>Total O&amp;M</v>
      </c>
      <c r="B19" s="817" t="s">
        <v>283</v>
      </c>
      <c r="D19" s="864"/>
      <c r="E19" s="285">
        <f ca="1">SUM(F19:L19)</f>
        <v>774349.23599000019</v>
      </c>
      <c r="F19" s="285">
        <f ca="1">'Segmented Rev Req.'!F19</f>
        <v>12653.277318176271</v>
      </c>
      <c r="G19" s="285">
        <f ca="1">'Segmented Rev Req.'!G19+'Segmented Rev Req.'!J19</f>
        <v>488770.39826539019</v>
      </c>
      <c r="H19" s="285">
        <f ca="1">'Segmented Rev Req.'!H19</f>
        <v>66684.377024404006</v>
      </c>
      <c r="I19" s="285">
        <f ca="1">'Segmented Rev Req.'!I19</f>
        <v>6382.6087799977049</v>
      </c>
      <c r="J19" s="285">
        <v>0</v>
      </c>
      <c r="K19" s="285">
        <f ca="1">'Segmented Rev Req.'!K19</f>
        <v>819.44481702179496</v>
      </c>
      <c r="L19" s="285">
        <f ca="1">'Segmented Rev Req.'!L19</f>
        <v>199039.12978501007</v>
      </c>
      <c r="M19" s="285">
        <f>'Segmented Rev Req.'!M19</f>
        <v>774349.23598999996</v>
      </c>
      <c r="N19" s="285">
        <f t="shared" ref="N19:N24" ca="1" si="2">M19-E19</f>
        <v>0</v>
      </c>
      <c r="P19" s="285"/>
      <c r="Q19" s="759"/>
    </row>
    <row r="20" spans="1:18">
      <c r="A20" s="746" t="str">
        <f t="shared" ref="A20:A33" si="3">IF(A12=0," ",A12)</f>
        <v>TOTAL TRANS ACQ AND ANCILLARY</v>
      </c>
      <c r="B20" s="817" t="s">
        <v>284</v>
      </c>
      <c r="D20" s="816"/>
      <c r="E20" s="285">
        <f ca="1">SUM(F20:L20)</f>
        <v>146179.45645248369</v>
      </c>
      <c r="F20" s="285">
        <f ca="1">'Segmented Rev Req.'!F20</f>
        <v>88.979369139014864</v>
      </c>
      <c r="G20" s="285">
        <f ca="1">'Segmented Rev Req.'!G20+'Segmented Rev Req.'!J20</f>
        <v>16050.30017206875</v>
      </c>
      <c r="H20" s="285">
        <f ca="1">'Segmented Rev Req.'!H20</f>
        <v>1952.2691529843869</v>
      </c>
      <c r="I20" s="285">
        <f ca="1">'Segmented Rev Req.'!I20</f>
        <v>42.851024788292222</v>
      </c>
      <c r="J20" s="285">
        <v>0</v>
      </c>
      <c r="K20" s="285">
        <f ca="1">'Segmented Rev Req.'!K20</f>
        <v>6.7362290007975032</v>
      </c>
      <c r="L20" s="285">
        <f ca="1">'Segmented Rev Req.'!L20</f>
        <v>128038.32050450245</v>
      </c>
      <c r="M20" s="285">
        <f>'Segmented Rev Req.'!M20</f>
        <v>146179.45513593568</v>
      </c>
      <c r="N20" s="759">
        <f t="shared" ca="1" si="2"/>
        <v>-1.3165480049792677E-3</v>
      </c>
      <c r="P20" s="285"/>
    </row>
    <row r="21" spans="1:18">
      <c r="A21" s="746" t="str">
        <f t="shared" si="3"/>
        <v>TOTAL DEPRECIATION EXPENSE</v>
      </c>
      <c r="B21" s="817" t="s">
        <v>189</v>
      </c>
      <c r="D21" s="816"/>
      <c r="E21" s="285">
        <f ca="1">SUM(F21:L21)</f>
        <v>403792.33492134151</v>
      </c>
      <c r="F21" s="285">
        <f ca="1">'Segmented Rev Req.'!F21</f>
        <v>6378.9538430126249</v>
      </c>
      <c r="G21" s="285">
        <f ca="1">'Segmented Rev Req.'!G21+'Segmented Rev Req.'!J21</f>
        <v>304993.42899152666</v>
      </c>
      <c r="H21" s="285">
        <f ca="1">'Segmented Rev Req.'!H21</f>
        <v>36108.396215819535</v>
      </c>
      <c r="I21" s="285">
        <f ca="1">'Segmented Rev Req.'!I21</f>
        <v>4141.930254184108</v>
      </c>
      <c r="J21" s="285">
        <v>0</v>
      </c>
      <c r="K21" s="285">
        <f ca="1">'Segmented Rev Req.'!K21</f>
        <v>289.80203886022531</v>
      </c>
      <c r="L21" s="285">
        <f ca="1">'Segmented Rev Req.'!L21</f>
        <v>51879.823577938339</v>
      </c>
      <c r="M21" s="285">
        <f>'Segmented Rev Req.'!M21</f>
        <v>403792.33492134156</v>
      </c>
      <c r="N21" s="285">
        <f t="shared" ca="1" si="2"/>
        <v>0</v>
      </c>
      <c r="P21" s="285"/>
    </row>
    <row r="22" spans="1:18">
      <c r="A22" s="746" t="str">
        <f t="shared" si="3"/>
        <v>TOTAL NET INTEREST EXPENSE</v>
      </c>
      <c r="B22" s="817" t="s">
        <v>89</v>
      </c>
      <c r="D22" s="864"/>
      <c r="E22" s="285">
        <f ca="1">SUM(F22:L22)</f>
        <v>241158.50758254458</v>
      </c>
      <c r="F22" s="285">
        <f ca="1">'Segmented Rev Req.'!F22</f>
        <v>3878.040917733324</v>
      </c>
      <c r="G22" s="285">
        <f ca="1">'Segmented Rev Req.'!G22+'Segmented Rev Req.'!J22</f>
        <v>201240.82707929396</v>
      </c>
      <c r="H22" s="285">
        <f ca="1">'Segmented Rev Req.'!H22</f>
        <v>19751.506323351161</v>
      </c>
      <c r="I22" s="285">
        <f ca="1">'Segmented Rev Req.'!I22</f>
        <v>2140.8977210715007</v>
      </c>
      <c r="J22" s="285">
        <v>0</v>
      </c>
      <c r="K22" s="285">
        <f ca="1">'Segmented Rev Req.'!K22</f>
        <v>167.42846335057078</v>
      </c>
      <c r="L22" s="285">
        <f ca="1">'Segmented Rev Req.'!L22</f>
        <v>13979.807077744048</v>
      </c>
      <c r="M22" s="759">
        <f>'Segmented Rev Req.'!M22</f>
        <v>241158.50758254458</v>
      </c>
      <c r="N22" s="759">
        <f t="shared" ca="1" si="2"/>
        <v>0</v>
      </c>
      <c r="P22" s="285"/>
    </row>
    <row r="23" spans="1:18">
      <c r="A23" s="746" t="str">
        <f t="shared" si="3"/>
        <v>TOTAL MINIMUM REQUIRED NET REVENUE</v>
      </c>
      <c r="B23" s="817" t="s">
        <v>265</v>
      </c>
      <c r="D23" s="864"/>
      <c r="E23" s="285">
        <f ca="1">SUM(F23:L23)</f>
        <v>150226.47815209482</v>
      </c>
      <c r="F23" s="285">
        <f ca="1">'Segmented Rev Req.'!F23</f>
        <v>1658.8739830415036</v>
      </c>
      <c r="G23" s="285">
        <f ca="1">'Segmented Rev Req.'!G23+'Segmented Rev Req.'!J23</f>
        <v>133151.25820085476</v>
      </c>
      <c r="H23" s="285">
        <f ca="1">'Segmented Rev Req.'!H23</f>
        <v>8448.9206433742202</v>
      </c>
      <c r="I23" s="285">
        <f ca="1">'Segmented Rev Req.'!I23</f>
        <v>915.7921757860571</v>
      </c>
      <c r="J23" s="285">
        <v>0</v>
      </c>
      <c r="K23" s="285">
        <f ca="1">'Segmented Rev Req.'!K23</f>
        <v>71.619337641031805</v>
      </c>
      <c r="L23" s="285">
        <f ca="1">'Segmented Rev Req.'!L23</f>
        <v>5980.0138113972835</v>
      </c>
      <c r="M23" s="759">
        <f>'Segmented Rev Req.'!M23</f>
        <v>150226.47815209487</v>
      </c>
      <c r="N23" s="759">
        <f t="shared" ca="1" si="2"/>
        <v>0</v>
      </c>
      <c r="P23" s="285"/>
    </row>
    <row r="24" spans="1:18" ht="15">
      <c r="A24" s="746" t="str">
        <f t="shared" si="3"/>
        <v xml:space="preserve"> </v>
      </c>
      <c r="B24" s="873" t="s">
        <v>285</v>
      </c>
      <c r="D24" s="864"/>
      <c r="E24" s="285">
        <f ca="1">SUM(E19:E23)</f>
        <v>1715706.0130984648</v>
      </c>
      <c r="F24" s="285">
        <f ca="1">SUM(F19:F23)</f>
        <v>24658.125431102737</v>
      </c>
      <c r="G24" s="285">
        <f t="shared" ref="G24:L24" ca="1" si="4">SUM(G19:G23)</f>
        <v>1144206.2127091344</v>
      </c>
      <c r="H24" s="285">
        <f t="shared" ca="1" si="4"/>
        <v>132945.46935993331</v>
      </c>
      <c r="I24" s="285">
        <f t="shared" ca="1" si="4"/>
        <v>13624.079955827661</v>
      </c>
      <c r="J24" s="285">
        <f t="shared" si="4"/>
        <v>0</v>
      </c>
      <c r="K24" s="285">
        <f t="shared" ca="1" si="4"/>
        <v>1355.0308858744204</v>
      </c>
      <c r="L24" s="285">
        <f t="shared" ca="1" si="4"/>
        <v>398917.09475659224</v>
      </c>
      <c r="M24" s="285">
        <f>SUM(M19:M23)</f>
        <v>1715706.0117819167</v>
      </c>
      <c r="N24" s="285">
        <f t="shared" ca="1" si="2"/>
        <v>-1.3165480922907591E-3</v>
      </c>
      <c r="P24" s="285"/>
    </row>
    <row r="25" spans="1:18" ht="15">
      <c r="B25" s="875"/>
      <c r="C25" s="875"/>
      <c r="D25" s="875"/>
      <c r="E25" s="875"/>
      <c r="F25" s="875"/>
      <c r="G25" s="875"/>
      <c r="H25" s="875"/>
      <c r="I25" s="875"/>
      <c r="J25" s="875"/>
      <c r="K25" s="875"/>
      <c r="L25" s="875"/>
      <c r="M25" s="875"/>
      <c r="N25" s="875"/>
      <c r="P25" s="285"/>
    </row>
    <row r="26" spans="1:18" ht="15">
      <c r="A26" s="746" t="str">
        <f t="shared" si="3"/>
        <v xml:space="preserve"> </v>
      </c>
      <c r="B26" s="872">
        <f>B18+1</f>
        <v>2028</v>
      </c>
      <c r="C26" s="993" t="s">
        <v>282</v>
      </c>
      <c r="D26" s="993"/>
      <c r="E26" s="759"/>
      <c r="F26" s="759"/>
      <c r="G26" s="759"/>
      <c r="H26" s="759"/>
      <c r="I26" s="759"/>
      <c r="J26" s="759"/>
      <c r="K26" s="759"/>
      <c r="L26" s="759"/>
      <c r="M26" s="759"/>
      <c r="N26" s="759"/>
      <c r="P26" s="285"/>
    </row>
    <row r="27" spans="1:18">
      <c r="A27" s="746" t="str">
        <f t="shared" si="3"/>
        <v>Total O&amp;M</v>
      </c>
      <c r="B27" s="817" t="s">
        <v>283</v>
      </c>
      <c r="D27" s="864"/>
      <c r="E27" s="285">
        <f ca="1">SUM(F27:L27)</f>
        <v>818143.52504000021</v>
      </c>
      <c r="F27" s="285">
        <f ca="1">'Segmented Rev Req.'!F27</f>
        <v>13383.870758050505</v>
      </c>
      <c r="G27" s="285">
        <f ca="1">'Segmented Rev Req.'!G27+'Segmented Rev Req.'!J27</f>
        <v>516991.73868163582</v>
      </c>
      <c r="H27" s="285">
        <f ca="1">'Segmented Rev Req.'!H27</f>
        <v>70534.697156576032</v>
      </c>
      <c r="I27" s="285">
        <f ca="1">'Segmented Rev Req.'!I27</f>
        <v>6751.1371846705042</v>
      </c>
      <c r="J27" s="285">
        <v>0</v>
      </c>
      <c r="K27" s="285">
        <f ca="1">'Segmented Rev Req.'!K27</f>
        <v>866.75912086583321</v>
      </c>
      <c r="L27" s="285">
        <f ca="1">'Segmented Rev Req.'!L27</f>
        <v>209615.3221382015</v>
      </c>
      <c r="M27" s="285">
        <f>'Segmented Rev Req.'!M27</f>
        <v>818143.52503999998</v>
      </c>
      <c r="N27" s="285">
        <f t="shared" ref="N27:N32" ca="1" si="5">M27-E27</f>
        <v>0</v>
      </c>
      <c r="P27" s="285"/>
      <c r="Q27" s="285"/>
    </row>
    <row r="28" spans="1:18">
      <c r="A28" s="746" t="str">
        <f t="shared" si="3"/>
        <v>TOTAL TRANS ACQ AND ANCILLARY</v>
      </c>
      <c r="B28" s="817" t="s">
        <v>284</v>
      </c>
      <c r="D28" s="816"/>
      <c r="E28" s="285">
        <f ca="1">SUM(F28:L28)</f>
        <v>146179.45645248369</v>
      </c>
      <c r="F28" s="285">
        <f ca="1">'Segmented Rev Req.'!F28</f>
        <v>88.643579529467175</v>
      </c>
      <c r="G28" s="285">
        <f ca="1">'Segmented Rev Req.'!G28+'Segmented Rev Req.'!J28</f>
        <v>16050.837233436921</v>
      </c>
      <c r="H28" s="285">
        <f ca="1">'Segmented Rev Req.'!H28</f>
        <v>1950.595329882746</v>
      </c>
      <c r="I28" s="285">
        <f ca="1">'Segmented Rev Req.'!I28</f>
        <v>42.650710362796858</v>
      </c>
      <c r="J28" s="285">
        <v>0</v>
      </c>
      <c r="K28" s="285">
        <f ca="1">'Segmented Rev Req.'!K28</f>
        <v>6.7221515575073889</v>
      </c>
      <c r="L28" s="285">
        <f ca="1">'Segmented Rev Req.'!L28</f>
        <v>128040.00744771425</v>
      </c>
      <c r="M28" s="285">
        <f>'Segmented Rev Req.'!M28</f>
        <v>146179.45513593568</v>
      </c>
      <c r="N28" s="759">
        <f t="shared" ca="1" si="5"/>
        <v>-1.3165480049792677E-3</v>
      </c>
      <c r="P28" s="285"/>
    </row>
    <row r="29" spans="1:18">
      <c r="A29" s="746" t="str">
        <f t="shared" si="3"/>
        <v>TOTAL DEPRECIATION EXPENSE</v>
      </c>
      <c r="B29" s="817" t="s">
        <v>189</v>
      </c>
      <c r="D29" s="816"/>
      <c r="E29" s="285">
        <f ca="1">SUM(F29:L29)</f>
        <v>431924.68447867892</v>
      </c>
      <c r="F29" s="285">
        <f ca="1">'Segmented Rev Req.'!F29</f>
        <v>6496.4162675017624</v>
      </c>
      <c r="G29" s="285">
        <f ca="1">'Segmented Rev Req.'!G29+'Segmented Rev Req.'!J29</f>
        <v>328823.76383016986</v>
      </c>
      <c r="H29" s="285">
        <f ca="1">'Segmented Rev Req.'!H29</f>
        <v>36769.438097528895</v>
      </c>
      <c r="I29" s="285">
        <f ca="1">'Segmented Rev Req.'!I29</f>
        <v>4201.1810461340501</v>
      </c>
      <c r="J29" s="285">
        <v>0</v>
      </c>
      <c r="K29" s="285">
        <f ca="1">'Segmented Rev Req.'!K29</f>
        <v>297.40907793176848</v>
      </c>
      <c r="L29" s="285">
        <f ca="1">'Segmented Rev Req.'!L29</f>
        <v>55336.476159412603</v>
      </c>
      <c r="M29" s="285">
        <f>'Segmented Rev Req.'!M29</f>
        <v>431924.68447867892</v>
      </c>
      <c r="N29" s="285">
        <f t="shared" ca="1" si="5"/>
        <v>0</v>
      </c>
      <c r="P29" s="285"/>
      <c r="Q29" s="759"/>
      <c r="R29" s="759"/>
    </row>
    <row r="30" spans="1:18">
      <c r="A30" s="746" t="str">
        <f t="shared" si="3"/>
        <v>TOTAL NET INTEREST EXPENSE</v>
      </c>
      <c r="B30" s="817" t="s">
        <v>89</v>
      </c>
      <c r="D30" s="864"/>
      <c r="E30" s="285">
        <f ca="1">SUM(F30:L30)</f>
        <v>281056.30317079922</v>
      </c>
      <c r="F30" s="285">
        <f ca="1">'Segmented Rev Req.'!F30</f>
        <v>4028.0204395912087</v>
      </c>
      <c r="G30" s="285">
        <f ca="1">'Segmented Rev Req.'!G30+'Segmented Rev Req.'!J30</f>
        <v>234903.030995184</v>
      </c>
      <c r="H30" s="285">
        <f ca="1">'Segmented Rev Req.'!H30</f>
        <v>20573.892466921043</v>
      </c>
      <c r="I30" s="285">
        <f ca="1">'Segmented Rev Req.'!I30</f>
        <v>2199.6844920116919</v>
      </c>
      <c r="J30" s="285">
        <v>0</v>
      </c>
      <c r="K30" s="285">
        <f ca="1">'Segmented Rev Req.'!K30</f>
        <v>174.57821926536568</v>
      </c>
      <c r="L30" s="285">
        <f ca="1">'Segmented Rev Req.'!L30</f>
        <v>19177.096557825895</v>
      </c>
      <c r="M30" s="759">
        <f>'Segmented Rev Req.'!M30</f>
        <v>281056.30317079922</v>
      </c>
      <c r="N30" s="759">
        <f t="shared" ca="1" si="5"/>
        <v>0</v>
      </c>
      <c r="P30" s="285"/>
      <c r="Q30" s="759"/>
    </row>
    <row r="31" spans="1:18">
      <c r="A31" s="746" t="str">
        <f t="shared" si="3"/>
        <v>TOTAL MINIMUM REQUIRED NET REVENUE</v>
      </c>
      <c r="B31" s="817" t="s">
        <v>265</v>
      </c>
      <c r="D31" s="864"/>
      <c r="E31" s="285">
        <f ca="1">SUM(F31:L31)</f>
        <v>172910.78815747864</v>
      </c>
      <c r="F31" s="285">
        <f ca="1">'Segmented Rev Req.'!F31</f>
        <v>1785.3319067997443</v>
      </c>
      <c r="G31" s="285">
        <f ca="1">'Segmented Rev Req.'!G31+'Segmented Rev Req.'!J31</f>
        <v>152454.36032795624</v>
      </c>
      <c r="H31" s="285">
        <f ca="1">'Segmented Rev Req.'!H31</f>
        <v>9118.92757723662</v>
      </c>
      <c r="I31" s="285">
        <f ca="1">'Segmented Rev Req.'!I31</f>
        <v>974.96201108642254</v>
      </c>
      <c r="J31" s="285">
        <v>0</v>
      </c>
      <c r="K31" s="285">
        <f ca="1">'Segmented Rev Req.'!K31</f>
        <v>77.377975052770736</v>
      </c>
      <c r="L31" s="285">
        <f ca="1">'Segmented Rev Req.'!L31</f>
        <v>8499.8283593468477</v>
      </c>
      <c r="M31" s="759">
        <f>'Segmented Rev Req.'!M31</f>
        <v>172910.78815747867</v>
      </c>
      <c r="N31" s="759">
        <f t="shared" ca="1" si="5"/>
        <v>0</v>
      </c>
      <c r="P31" s="285"/>
    </row>
    <row r="32" spans="1:18" ht="15">
      <c r="A32" s="746" t="str">
        <f t="shared" si="3"/>
        <v xml:space="preserve"> </v>
      </c>
      <c r="B32" s="873" t="s">
        <v>285</v>
      </c>
      <c r="D32" s="864"/>
      <c r="E32" s="285">
        <f ca="1">SUM(E27:E31)</f>
        <v>1850214.7572994407</v>
      </c>
      <c r="F32" s="285">
        <f ca="1">SUM(F27:F31)</f>
        <v>25782.282951472687</v>
      </c>
      <c r="G32" s="285">
        <f t="shared" ref="G32:L32" ca="1" si="6">SUM(G27:G31)</f>
        <v>1249223.731068383</v>
      </c>
      <c r="H32" s="285">
        <f t="shared" ca="1" si="6"/>
        <v>138947.55062814534</v>
      </c>
      <c r="I32" s="285">
        <f t="shared" ca="1" si="6"/>
        <v>14169.615444265466</v>
      </c>
      <c r="J32" s="285">
        <f t="shared" si="6"/>
        <v>0</v>
      </c>
      <c r="K32" s="285">
        <f t="shared" ca="1" si="6"/>
        <v>1422.8465446732457</v>
      </c>
      <c r="L32" s="285">
        <f t="shared" ca="1" si="6"/>
        <v>420668.73066250113</v>
      </c>
      <c r="M32" s="285">
        <f>SUM(M27:M31)</f>
        <v>1850214.7559828926</v>
      </c>
      <c r="N32" s="285">
        <f t="shared" ca="1" si="5"/>
        <v>-1.3165480922907591E-3</v>
      </c>
      <c r="P32" s="285"/>
      <c r="Q32" s="759"/>
    </row>
    <row r="33" spans="1:16">
      <c r="A33" s="746" t="str">
        <f t="shared" si="3"/>
        <v xml:space="preserve"> </v>
      </c>
      <c r="B33" s="818"/>
      <c r="C33" s="816"/>
      <c r="D33" s="865"/>
      <c r="E33" s="760"/>
      <c r="F33" s="760"/>
      <c r="G33" s="760"/>
      <c r="H33" s="760"/>
      <c r="I33" s="760"/>
      <c r="J33" s="760"/>
      <c r="K33" s="760"/>
      <c r="L33" s="760"/>
      <c r="M33" s="760"/>
      <c r="N33" s="760"/>
      <c r="P33" s="285"/>
    </row>
  </sheetData>
  <mergeCells count="13">
    <mergeCell ref="C18:D18"/>
    <mergeCell ref="C26:D26"/>
    <mergeCell ref="B1:N1"/>
    <mergeCell ref="E9:E10"/>
    <mergeCell ref="F9:F10"/>
    <mergeCell ref="G9:G10"/>
    <mergeCell ref="H9:H10"/>
    <mergeCell ref="I9:I10"/>
    <mergeCell ref="J9:J10"/>
    <mergeCell ref="K9:K10"/>
    <mergeCell ref="L9:L10"/>
    <mergeCell ref="M9:N10"/>
    <mergeCell ref="C10:D10"/>
  </mergeCells>
  <pageMargins left="0.7" right="0.7" top="0.75" bottom="0.75" header="0.3" footer="0.3"/>
  <pageSetup scale="36"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B6D1FA-1B61-48E7-AD77-6EA4516F090C}">
  <sheetPr>
    <tabColor theme="9"/>
    <pageSetUpPr autoPageBreaks="0" fitToPage="1"/>
  </sheetPr>
  <dimension ref="A1:S84"/>
  <sheetViews>
    <sheetView topLeftCell="A8" workbookViewId="0">
      <selection activeCell="A10" sqref="A10:M76"/>
    </sheetView>
  </sheetViews>
  <sheetFormatPr defaultColWidth="9.140625" defaultRowHeight="14.25" outlineLevelRow="1"/>
  <cols>
    <col min="1" max="2" width="9.140625" style="746"/>
    <col min="3" max="3" width="29.28515625" style="746" customWidth="1"/>
    <col min="4" max="11" width="15.7109375" style="746" customWidth="1"/>
    <col min="12" max="12" width="21.28515625" style="746" customWidth="1"/>
    <col min="13" max="13" width="15.42578125" style="746" customWidth="1"/>
    <col min="14" max="14" width="10.42578125" style="746" bestFit="1" customWidth="1"/>
    <col min="15" max="15" width="15.140625" style="746" bestFit="1" customWidth="1"/>
    <col min="16" max="16" width="11.5703125" style="746" bestFit="1" customWidth="1"/>
    <col min="17" max="17" width="10.42578125" style="746" bestFit="1" customWidth="1"/>
    <col min="18" max="19" width="9.28515625" style="746" bestFit="1" customWidth="1"/>
    <col min="20" max="16384" width="9.140625" style="746"/>
  </cols>
  <sheetData>
    <row r="1" spans="1:13" ht="18" hidden="1" outlineLevel="1">
      <c r="A1" s="989"/>
      <c r="B1" s="989"/>
      <c r="C1" s="989"/>
      <c r="D1" s="989"/>
      <c r="E1" s="989"/>
      <c r="F1" s="989"/>
      <c r="G1" s="989"/>
      <c r="H1" s="989"/>
      <c r="I1" s="989"/>
      <c r="J1" s="989"/>
      <c r="K1" s="989"/>
    </row>
    <row r="2" spans="1:13" ht="18" hidden="1" outlineLevel="1">
      <c r="B2" s="747"/>
      <c r="C2" s="748"/>
      <c r="D2" s="738"/>
      <c r="F2" s="883"/>
      <c r="G2" s="877"/>
      <c r="H2" s="576"/>
      <c r="I2" s="883"/>
      <c r="J2" s="576"/>
      <c r="K2" s="769"/>
    </row>
    <row r="3" spans="1:13" ht="18" hidden="1" outlineLevel="1">
      <c r="B3" s="747"/>
      <c r="C3" s="418"/>
      <c r="D3" s="738"/>
      <c r="F3" s="883"/>
      <c r="G3" s="883"/>
      <c r="H3" s="576"/>
      <c r="I3" s="878"/>
      <c r="J3" s="576"/>
      <c r="K3" s="769"/>
    </row>
    <row r="4" spans="1:13" ht="18" hidden="1" customHeight="1" outlineLevel="1">
      <c r="B4" s="747"/>
      <c r="C4" s="884"/>
      <c r="D4" s="738"/>
      <c r="F4" s="145"/>
      <c r="G4" s="885"/>
      <c r="H4" s="576"/>
      <c r="I4" s="878"/>
      <c r="J4" s="738"/>
      <c r="K4" s="769"/>
    </row>
    <row r="5" spans="1:13" ht="18" hidden="1" customHeight="1" outlineLevel="1">
      <c r="B5" s="761"/>
      <c r="C5" s="884"/>
      <c r="F5" s="145"/>
      <c r="G5" s="885"/>
      <c r="H5" s="576"/>
      <c r="I5" s="830"/>
      <c r="K5" s="769"/>
    </row>
    <row r="6" spans="1:13" ht="15" hidden="1" outlineLevel="1">
      <c r="B6" s="761"/>
      <c r="C6" s="418"/>
      <c r="E6" s="876"/>
      <c r="F6" s="876"/>
      <c r="G6" s="745"/>
      <c r="H6" s="576"/>
      <c r="I6" s="879"/>
      <c r="K6" s="769"/>
    </row>
    <row r="7" spans="1:13" ht="15" hidden="1" outlineLevel="1">
      <c r="B7" s="761"/>
      <c r="C7" s="418"/>
      <c r="E7" s="876"/>
      <c r="F7" s="886"/>
      <c r="G7" s="885"/>
      <c r="H7" s="576"/>
      <c r="I7" s="828"/>
      <c r="K7" s="769"/>
    </row>
    <row r="8" spans="1:13" ht="15" outlineLevel="1">
      <c r="B8" s="761" t="s">
        <v>281</v>
      </c>
      <c r="C8" s="418">
        <v>2026</v>
      </c>
      <c r="E8" s="769"/>
      <c r="F8" s="769"/>
      <c r="G8" s="876"/>
      <c r="H8" s="830"/>
      <c r="I8" s="769"/>
      <c r="J8" s="769"/>
      <c r="K8" s="769"/>
    </row>
    <row r="9" spans="1:13" ht="15" outlineLevel="1">
      <c r="B9" s="761"/>
      <c r="C9" s="418"/>
      <c r="E9" s="769"/>
      <c r="F9" s="769"/>
      <c r="G9" s="769"/>
      <c r="H9" s="769"/>
      <c r="I9" s="769"/>
      <c r="J9" s="769"/>
      <c r="K9" s="769"/>
    </row>
    <row r="10" spans="1:13" ht="15" outlineLevel="1">
      <c r="A10" s="991"/>
      <c r="B10" s="991"/>
      <c r="C10" s="418"/>
    </row>
    <row r="11" spans="1:13" outlineLevel="1"/>
    <row r="12" spans="1:13" ht="29.25" customHeight="1">
      <c r="A12" s="935">
        <f>C8</f>
        <v>2026</v>
      </c>
      <c r="B12" s="935"/>
      <c r="C12" s="935"/>
      <c r="D12" s="805" t="s">
        <v>170</v>
      </c>
      <c r="E12" s="805" t="s">
        <v>171</v>
      </c>
      <c r="F12" s="805" t="s">
        <v>172</v>
      </c>
      <c r="G12" s="805" t="s">
        <v>173</v>
      </c>
      <c r="H12" s="805" t="s">
        <v>174</v>
      </c>
      <c r="I12" s="805" t="s">
        <v>175</v>
      </c>
      <c r="J12" s="805" t="s">
        <v>176</v>
      </c>
      <c r="K12" s="805" t="s">
        <v>177</v>
      </c>
    </row>
    <row r="13" spans="1:13" ht="15">
      <c r="A13" s="887" t="s">
        <v>272</v>
      </c>
      <c r="B13" s="805"/>
      <c r="C13" s="805"/>
      <c r="D13" s="805"/>
      <c r="E13" s="805"/>
      <c r="F13" s="805"/>
      <c r="G13" s="805"/>
      <c r="H13" s="805"/>
      <c r="I13" s="805"/>
      <c r="J13" s="805"/>
      <c r="K13" s="805"/>
      <c r="L13" s="418" t="s">
        <v>785</v>
      </c>
      <c r="M13" s="746" t="s">
        <v>784</v>
      </c>
    </row>
    <row r="14" spans="1:13" ht="15">
      <c r="A14" s="746" t="s">
        <v>178</v>
      </c>
      <c r="B14" s="769"/>
      <c r="C14" s="769"/>
      <c r="D14" s="285">
        <f>+'26 Seg Dev'!D14</f>
        <v>7828709.9148501875</v>
      </c>
      <c r="E14" s="285">
        <f>+'26 Seg Dev'!E14</f>
        <v>146295.03577129162</v>
      </c>
      <c r="F14" s="285">
        <f>+'26 Seg Dev'!F14+'26 Seg Dev'!I14</f>
        <v>6464250.4826223403</v>
      </c>
      <c r="G14" s="285">
        <f>+'26 Seg Dev'!G14</f>
        <v>743587.19420364196</v>
      </c>
      <c r="H14" s="285">
        <f>+'26 Seg Dev'!H14</f>
        <v>81568.763138799201</v>
      </c>
      <c r="I14" s="285">
        <v>0</v>
      </c>
      <c r="J14" s="285">
        <f>+'26 Seg Dev'!J14</f>
        <v>6293.4276090380317</v>
      </c>
      <c r="K14" s="285">
        <f>+'26 Seg Dev'!K14</f>
        <v>386715.01150507625</v>
      </c>
      <c r="L14" s="904">
        <f>SUM(E14:K14)-D14</f>
        <v>0</v>
      </c>
      <c r="M14" s="759">
        <f>D14-'26 Seg Dev'!D14</f>
        <v>0</v>
      </c>
    </row>
    <row r="15" spans="1:13">
      <c r="A15" s="816" t="s">
        <v>237</v>
      </c>
      <c r="D15" s="881">
        <f>+'26 Seg Dev'!D15</f>
        <v>1</v>
      </c>
      <c r="E15" s="881">
        <f>+'26 Seg Dev'!E15</f>
        <v>1.8686991517438432E-2</v>
      </c>
      <c r="F15" s="881">
        <f>+'26 Seg Dev'!F15+'26 Seg Dev'!I15</f>
        <v>0.82571081990921391</v>
      </c>
      <c r="G15" s="881">
        <f>+'26 Seg Dev'!G15</f>
        <v>9.4982085463805502E-2</v>
      </c>
      <c r="H15" s="881">
        <f>+'26 Seg Dev'!H15</f>
        <v>1.0419183240404958E-2</v>
      </c>
      <c r="I15" s="901"/>
      <c r="J15" s="881">
        <f>+'26 Seg Dev'!J15</f>
        <v>8.0389076584637571E-4</v>
      </c>
      <c r="K15" s="881">
        <f>+'26 Seg Dev'!K15</f>
        <v>4.9397029103290836E-2</v>
      </c>
      <c r="L15" s="904">
        <f>SUM(E15:K15)-D15</f>
        <v>0</v>
      </c>
      <c r="M15" s="759">
        <f>D15-'26 Seg Dev'!D15</f>
        <v>0</v>
      </c>
    </row>
    <row r="16" spans="1:13">
      <c r="A16" s="859" t="s">
        <v>81</v>
      </c>
      <c r="D16" s="746">
        <f>+'26 Seg Dev'!D16</f>
        <v>0</v>
      </c>
      <c r="L16" s="904">
        <f t="shared" ref="L16:L19" si="0">SUM(E16:K16)-D16</f>
        <v>0</v>
      </c>
      <c r="M16" s="759">
        <f>D16-'26 Seg Dev'!D16</f>
        <v>0</v>
      </c>
    </row>
    <row r="17" spans="1:19">
      <c r="B17" s="746" t="s">
        <v>499</v>
      </c>
      <c r="D17" s="285">
        <f>+'26 Seg Dev'!D17</f>
        <v>8634.4849339856464</v>
      </c>
      <c r="E17" s="285"/>
      <c r="F17" s="285">
        <f>+'26 Seg Dev'!F17</f>
        <v>8634.4849339856464</v>
      </c>
      <c r="G17" s="285"/>
      <c r="H17" s="285"/>
      <c r="I17" s="285"/>
      <c r="J17" s="285"/>
      <c r="K17" s="285"/>
      <c r="L17" s="904">
        <f t="shared" si="0"/>
        <v>0</v>
      </c>
      <c r="M17" s="759">
        <f>D17-'26 Seg Dev'!D17</f>
        <v>0</v>
      </c>
    </row>
    <row r="18" spans="1:19">
      <c r="B18" s="746" t="s">
        <v>500</v>
      </c>
      <c r="D18" s="285">
        <f>+'26 Seg Dev'!D18</f>
        <v>0</v>
      </c>
      <c r="E18" s="285"/>
      <c r="F18" s="285">
        <f>+'26 Seg Dev'!F18</f>
        <v>0</v>
      </c>
      <c r="G18" s="285"/>
      <c r="H18" s="285"/>
      <c r="I18" s="285"/>
      <c r="J18" s="285"/>
      <c r="K18" s="285"/>
      <c r="L18" s="904">
        <f t="shared" si="0"/>
        <v>0</v>
      </c>
      <c r="M18" s="759">
        <f>D18-'26 Seg Dev'!D18</f>
        <v>0</v>
      </c>
    </row>
    <row r="19" spans="1:19">
      <c r="B19" s="746" t="s">
        <v>496</v>
      </c>
      <c r="D19" s="285">
        <f>+'26 Seg Dev'!D19</f>
        <v>8634.4849339856464</v>
      </c>
      <c r="E19" s="285"/>
      <c r="F19" s="285">
        <f>+'26 Seg Dev'!F19</f>
        <v>8634.4849339856464</v>
      </c>
      <c r="G19" s="285"/>
      <c r="H19" s="285"/>
      <c r="I19" s="285"/>
      <c r="J19" s="285"/>
      <c r="K19" s="285"/>
      <c r="L19" s="904">
        <f t="shared" si="0"/>
        <v>0</v>
      </c>
      <c r="M19" s="759">
        <f>D19-'26 Seg Dev'!D19</f>
        <v>0</v>
      </c>
    </row>
    <row r="20" spans="1:19">
      <c r="A20" s="840" t="s">
        <v>179</v>
      </c>
      <c r="D20" s="285">
        <f>+'26 Seg Dev'!D20</f>
        <v>195094.45041901644</v>
      </c>
      <c r="E20" s="902">
        <f>+'26 Seg Dev'!E20</f>
        <v>3645.7283400794731</v>
      </c>
      <c r="F20" s="902">
        <f>+'26 Seg Dev'!F20+'26 Seg Dev'!I20</f>
        <v>161091.59861522354</v>
      </c>
      <c r="G20" s="902">
        <f>+'26 Seg Dev'!G20</f>
        <v>18530.477763213185</v>
      </c>
      <c r="H20" s="902">
        <f>+'26 Seg Dev'!H20</f>
        <v>2032.7248281018321</v>
      </c>
      <c r="I20" s="903"/>
      <c r="J20" s="902">
        <f>+'26 Seg Dev'!J20</f>
        <v>156.8346271597209</v>
      </c>
      <c r="K20" s="902">
        <f>+'26 Seg Dev'!K20</f>
        <v>9637.0862452386864</v>
      </c>
      <c r="L20" s="904">
        <f t="shared" ref="L20:L54" si="1">SUM(E20:K20)-D20</f>
        <v>0</v>
      </c>
      <c r="M20" s="759">
        <f>D20-'26 Seg Dev'!D20</f>
        <v>0</v>
      </c>
      <c r="N20" s="285"/>
      <c r="O20" s="905"/>
      <c r="P20" s="285"/>
      <c r="Q20" s="285"/>
      <c r="R20" s="285"/>
      <c r="S20" s="285"/>
    </row>
    <row r="21" spans="1:19" ht="15">
      <c r="A21" s="858" t="s">
        <v>180</v>
      </c>
      <c r="B21" s="769"/>
      <c r="C21" s="769"/>
      <c r="D21" s="821">
        <f>D20+D19</f>
        <v>203728.9353530021</v>
      </c>
      <c r="E21" s="821">
        <f>+'26 Seg Dev'!E21</f>
        <v>3645.7283400794731</v>
      </c>
      <c r="F21" s="821">
        <f t="shared" ref="F21:K21" si="2">F20+F19</f>
        <v>169726.0835492092</v>
      </c>
      <c r="G21" s="821">
        <f t="shared" si="2"/>
        <v>18530.477763213185</v>
      </c>
      <c r="H21" s="821">
        <f t="shared" si="2"/>
        <v>2032.7248281018321</v>
      </c>
      <c r="I21" s="821">
        <f t="shared" si="2"/>
        <v>0</v>
      </c>
      <c r="J21" s="821">
        <f t="shared" si="2"/>
        <v>156.8346271597209</v>
      </c>
      <c r="K21" s="821">
        <f t="shared" si="2"/>
        <v>9637.0862452386864</v>
      </c>
      <c r="L21" s="904">
        <f>SUM(E21:K21)-D21</f>
        <v>0</v>
      </c>
      <c r="M21" s="759">
        <f>D21-'26 Seg Dev'!D21</f>
        <v>0</v>
      </c>
    </row>
    <row r="22" spans="1:19">
      <c r="A22" s="859" t="s">
        <v>184</v>
      </c>
      <c r="L22" s="904">
        <f t="shared" si="1"/>
        <v>0</v>
      </c>
      <c r="M22" s="759">
        <f>D22-'26 Seg Dev'!D22</f>
        <v>0</v>
      </c>
    </row>
    <row r="23" spans="1:19">
      <c r="B23" s="746" t="s">
        <v>495</v>
      </c>
      <c r="F23" s="285">
        <f>HLOOKUP($A$12,'Repayment Inputs'!$A$2:$J$43,38,FALSE)</f>
        <v>48108.044061134184</v>
      </c>
      <c r="G23" s="285"/>
      <c r="L23" s="904"/>
      <c r="M23" s="759">
        <f>D23-'26 Seg Dev'!D23</f>
        <v>0</v>
      </c>
    </row>
    <row r="24" spans="1:19">
      <c r="B24" s="746" t="s">
        <v>496</v>
      </c>
      <c r="F24" s="759">
        <f>F19</f>
        <v>8634.4849339856464</v>
      </c>
      <c r="G24" s="759"/>
      <c r="L24" s="904"/>
      <c r="M24" s="759">
        <f>D24-'26 Seg Dev'!D24</f>
        <v>0</v>
      </c>
    </row>
    <row r="25" spans="1:19">
      <c r="B25" s="746" t="s">
        <v>497</v>
      </c>
      <c r="F25" s="861">
        <v>11286.889087545353</v>
      </c>
      <c r="G25" s="861"/>
      <c r="L25" s="904"/>
      <c r="M25" s="759">
        <f>D25-'26 Seg Dev'!D25</f>
        <v>0</v>
      </c>
    </row>
    <row r="26" spans="1:19">
      <c r="B26" s="746" t="s">
        <v>498</v>
      </c>
      <c r="D26" s="759">
        <f>F26</f>
        <v>28186.670039603188</v>
      </c>
      <c r="F26" s="759">
        <f>F23-F24-F25</f>
        <v>28186.670039603188</v>
      </c>
      <c r="G26" s="759"/>
      <c r="L26" s="904">
        <f t="shared" si="1"/>
        <v>0</v>
      </c>
      <c r="M26" s="759">
        <f>D26-'26 Seg Dev'!D26</f>
        <v>0</v>
      </c>
    </row>
    <row r="27" spans="1:19">
      <c r="A27" s="817" t="s">
        <v>481</v>
      </c>
      <c r="D27" s="285">
        <f>+'26 Seg Dev'!D27</f>
        <v>149214.59572271566</v>
      </c>
      <c r="E27" s="902">
        <f>+'26 Seg Dev'!E27</f>
        <v>2788.3718845483927</v>
      </c>
      <c r="F27" s="902">
        <f>+'26 Seg Dev'!F27+'26 Seg Dev'!I27</f>
        <v>123208.10617662543</v>
      </c>
      <c r="G27" s="902">
        <f>+'26 Seg Dev'!G27</f>
        <v>14172.713483382166</v>
      </c>
      <c r="H27" s="902">
        <f>+'26 Seg Dev'!H27</f>
        <v>1554.6942149779204</v>
      </c>
      <c r="I27" s="903"/>
      <c r="J27" s="902">
        <f>+'26 Seg Dev'!J27</f>
        <v>119.95223563099123</v>
      </c>
      <c r="K27" s="902">
        <f>+'26 Seg Dev'!K27</f>
        <v>7370.757727550762</v>
      </c>
      <c r="L27" s="904">
        <f t="shared" si="1"/>
        <v>0</v>
      </c>
      <c r="M27" s="759">
        <f>D27-'26 Seg Dev'!D27</f>
        <v>0</v>
      </c>
    </row>
    <row r="28" spans="1:19" ht="15">
      <c r="A28" s="858" t="s">
        <v>185</v>
      </c>
      <c r="D28" s="821">
        <f>D27+D26</f>
        <v>177401.26576231886</v>
      </c>
      <c r="E28" s="821">
        <f t="shared" ref="E28:K28" si="3">E27+E26</f>
        <v>2788.3718845483927</v>
      </c>
      <c r="F28" s="821">
        <f t="shared" si="3"/>
        <v>151394.77621622861</v>
      </c>
      <c r="G28" s="821">
        <f t="shared" si="3"/>
        <v>14172.713483382166</v>
      </c>
      <c r="H28" s="821">
        <f t="shared" si="3"/>
        <v>1554.6942149779204</v>
      </c>
      <c r="I28" s="821">
        <f t="shared" si="3"/>
        <v>0</v>
      </c>
      <c r="J28" s="821">
        <f t="shared" si="3"/>
        <v>119.95223563099123</v>
      </c>
      <c r="K28" s="821">
        <f t="shared" si="3"/>
        <v>7370.757727550762</v>
      </c>
      <c r="L28" s="904">
        <f t="shared" si="1"/>
        <v>0</v>
      </c>
      <c r="M28" s="759">
        <f>D28-'26 Seg Dev'!D28</f>
        <v>0</v>
      </c>
    </row>
    <row r="29" spans="1:19" ht="15">
      <c r="A29" s="859" t="s">
        <v>189</v>
      </c>
      <c r="D29" s="821"/>
      <c r="E29" s="821"/>
      <c r="F29" s="821"/>
      <c r="G29" s="821"/>
      <c r="H29" s="821"/>
      <c r="I29" s="821"/>
      <c r="J29" s="821"/>
      <c r="K29" s="821"/>
      <c r="L29" s="904">
        <f t="shared" si="1"/>
        <v>0</v>
      </c>
      <c r="M29" s="759">
        <f>D29-'26 Seg Dev'!D29</f>
        <v>0</v>
      </c>
    </row>
    <row r="30" spans="1:19">
      <c r="A30" s="818" t="s">
        <v>791</v>
      </c>
      <c r="D30" s="285">
        <f>SUM(E30:K30)</f>
        <v>288356.04538600001</v>
      </c>
      <c r="E30" s="861">
        <v>4807</v>
      </c>
      <c r="F30" s="861">
        <f>'26 Seg Dev'!F30+'26 Seg Dev'!I30</f>
        <v>227923.04538600001</v>
      </c>
      <c r="G30" s="861">
        <v>27797</v>
      </c>
      <c r="H30" s="861">
        <v>3349</v>
      </c>
      <c r="I30" s="861"/>
      <c r="J30" s="861">
        <v>188</v>
      </c>
      <c r="K30" s="861">
        <v>24292</v>
      </c>
      <c r="L30" s="904">
        <f t="shared" si="1"/>
        <v>0</v>
      </c>
      <c r="M30" s="759">
        <f>D30-'26 Seg Dev'!D30</f>
        <v>0</v>
      </c>
    </row>
    <row r="31" spans="1:19">
      <c r="A31" s="818" t="s">
        <v>186</v>
      </c>
      <c r="D31" s="888">
        <f>SUM(E31:K31)</f>
        <v>1</v>
      </c>
      <c r="E31" s="881">
        <f>+'26 Seg Dev'!E31</f>
        <v>1.6336383868102187E-2</v>
      </c>
      <c r="F31" s="881">
        <f>+'26 Seg Dev'!F31+'26 Seg Dev'!I31</f>
        <v>0.63104132223187936</v>
      </c>
      <c r="G31" s="881">
        <f>+'26 Seg Dev'!G31</f>
        <v>8.6094815887029927E-2</v>
      </c>
      <c r="H31" s="881">
        <f>+'26 Seg Dev'!H31</f>
        <v>8.2404537961229367E-3</v>
      </c>
      <c r="I31" s="901"/>
      <c r="J31" s="881">
        <f>+'26 Seg Dev'!J31</f>
        <v>1.0579682048353503E-3</v>
      </c>
      <c r="K31" s="881">
        <f>+'26 Seg Dev'!K31</f>
        <v>0.25722905601203017</v>
      </c>
      <c r="L31" s="904">
        <f t="shared" si="1"/>
        <v>0</v>
      </c>
      <c r="M31" s="759">
        <f>D31-'26 Seg Dev'!D31</f>
        <v>0</v>
      </c>
    </row>
    <row r="32" spans="1:19">
      <c r="A32" s="818" t="s">
        <v>187</v>
      </c>
      <c r="D32" s="285">
        <f>+'26 Seg Dev'!D32</f>
        <v>88806</v>
      </c>
      <c r="E32" s="902">
        <f>+'26 Seg Dev'!E32</f>
        <v>1450.7689057906828</v>
      </c>
      <c r="F32" s="902">
        <f>+'26 Seg Dev'!F32+'26 Seg Dev'!I32</f>
        <v>56040.255662124284</v>
      </c>
      <c r="G32" s="902">
        <f>+'26 Seg Dev'!G32</f>
        <v>7645.7362196635795</v>
      </c>
      <c r="H32" s="902">
        <f>+'26 Seg Dev'!H32</f>
        <v>731.8017398184935</v>
      </c>
      <c r="I32" s="903"/>
      <c r="J32" s="902">
        <f>+'26 Seg Dev'!J32</f>
        <v>93.953924398608123</v>
      </c>
      <c r="K32" s="902">
        <f>+'26 Seg Dev'!K32</f>
        <v>22843.483548204353</v>
      </c>
      <c r="L32" s="904">
        <f t="shared" si="1"/>
        <v>0</v>
      </c>
      <c r="M32" s="759">
        <f>D32-'26 Seg Dev'!D32</f>
        <v>0</v>
      </c>
    </row>
    <row r="33" spans="1:13" ht="15">
      <c r="A33" s="858" t="s">
        <v>188</v>
      </c>
      <c r="D33" s="821">
        <f>SUM(E33:K33)</f>
        <v>377162.04538600007</v>
      </c>
      <c r="E33" s="821">
        <f t="shared" ref="E33:K33" si="4">E32+E30</f>
        <v>6257.7689057906828</v>
      </c>
      <c r="F33" s="821">
        <f>F32+F30</f>
        <v>283963.30104812433</v>
      </c>
      <c r="G33" s="821">
        <f>G32+G30</f>
        <v>35442.73621966358</v>
      </c>
      <c r="H33" s="821">
        <f t="shared" si="4"/>
        <v>4080.8017398184934</v>
      </c>
      <c r="I33" s="821">
        <f t="shared" si="4"/>
        <v>0</v>
      </c>
      <c r="J33" s="821">
        <f t="shared" si="4"/>
        <v>281.95392439860814</v>
      </c>
      <c r="K33" s="821">
        <f t="shared" si="4"/>
        <v>47135.483548204356</v>
      </c>
      <c r="L33" s="904">
        <f t="shared" si="1"/>
        <v>0</v>
      </c>
      <c r="M33" s="759">
        <f>D33-'26 Seg Dev'!D33</f>
        <v>0</v>
      </c>
    </row>
    <row r="34" spans="1:13" ht="9" customHeight="1">
      <c r="L34" s="904">
        <f t="shared" si="1"/>
        <v>0</v>
      </c>
      <c r="M34" s="759">
        <f>D34-'26 Seg Dev'!D34</f>
        <v>0</v>
      </c>
    </row>
    <row r="35" spans="1:13" ht="15">
      <c r="A35" s="887" t="s">
        <v>236</v>
      </c>
      <c r="L35" s="904">
        <f t="shared" si="1"/>
        <v>0</v>
      </c>
      <c r="M35" s="759">
        <f>D35-'26 Seg Dev'!D35</f>
        <v>0</v>
      </c>
    </row>
    <row r="36" spans="1:13">
      <c r="A36" s="889" t="s">
        <v>520</v>
      </c>
      <c r="L36" s="904">
        <f t="shared" si="1"/>
        <v>0</v>
      </c>
      <c r="M36" s="759">
        <f>D36-'26 Seg Dev'!D36</f>
        <v>0</v>
      </c>
    </row>
    <row r="37" spans="1:13">
      <c r="A37" s="890" t="s">
        <v>299</v>
      </c>
      <c r="D37" s="285">
        <f>+'26 Seg Dev'!D37</f>
        <v>55257.949820708738</v>
      </c>
      <c r="E37" s="861">
        <v>661.02284632795602</v>
      </c>
      <c r="F37" s="861">
        <f>'26 Seg Dev'!F37+'26 Seg Dev'!I37</f>
        <v>50825.967409365068</v>
      </c>
      <c r="G37" s="861">
        <v>2810.7714197653595</v>
      </c>
      <c r="H37" s="861">
        <v>960.18814525035441</v>
      </c>
      <c r="I37" s="861"/>
      <c r="J37" s="861">
        <v>0</v>
      </c>
      <c r="L37" s="904">
        <f t="shared" si="1"/>
        <v>0</v>
      </c>
      <c r="M37" s="759">
        <f>D37-'26 Seg Dev'!D37</f>
        <v>0</v>
      </c>
    </row>
    <row r="38" spans="1:13">
      <c r="A38" s="890" t="s">
        <v>300</v>
      </c>
      <c r="D38" s="285">
        <f>+'26 Seg Dev'!D38</f>
        <v>136761.67424071985</v>
      </c>
      <c r="E38" s="861">
        <v>3562.2256722987713</v>
      </c>
      <c r="F38" s="861">
        <f>'26 Seg Dev'!F38+'26 Seg Dev'!I38</f>
        <v>112309.54353511645</v>
      </c>
      <c r="G38" s="861">
        <v>19446.284155813479</v>
      </c>
      <c r="H38" s="861">
        <v>1170.1171027329681</v>
      </c>
      <c r="I38" s="861"/>
      <c r="J38" s="861">
        <v>273.50377475820966</v>
      </c>
      <c r="L38" s="904">
        <f t="shared" si="1"/>
        <v>0</v>
      </c>
      <c r="M38" s="759">
        <f>D38-'26 Seg Dev'!D38</f>
        <v>0</v>
      </c>
    </row>
    <row r="39" spans="1:13" ht="15">
      <c r="A39" s="891" t="s">
        <v>301</v>
      </c>
      <c r="B39" s="769"/>
      <c r="C39" s="769"/>
      <c r="D39" s="285">
        <f>+'26 Seg Dev'!D39</f>
        <v>192019.62406142859</v>
      </c>
      <c r="L39" s="904"/>
      <c r="M39" s="759">
        <f>D39-'26 Seg Dev'!D39</f>
        <v>0</v>
      </c>
    </row>
    <row r="40" spans="1:13">
      <c r="A40" s="883" t="s">
        <v>239</v>
      </c>
      <c r="L40" s="904">
        <f t="shared" si="1"/>
        <v>0</v>
      </c>
      <c r="M40" s="759">
        <f>D40-'26 Seg Dev'!D40</f>
        <v>0</v>
      </c>
    </row>
    <row r="41" spans="1:13">
      <c r="A41" s="817" t="s">
        <v>240</v>
      </c>
      <c r="D41" s="285">
        <f>+'26 Seg Dev'!D41</f>
        <v>32680.865569999998</v>
      </c>
      <c r="F41" s="285">
        <f>(HLOOKUP($A$12,'Expense Input File'!$A$27:$L$70,33,FALSE))</f>
        <v>0</v>
      </c>
      <c r="K41" s="285">
        <f>SUM('Expense Input File'!J29:J32)-'Expense Input File'!J34</f>
        <v>79020.923029999991</v>
      </c>
      <c r="L41" s="904"/>
      <c r="M41" s="759">
        <f>D41-'26 Seg Dev'!D41</f>
        <v>0</v>
      </c>
    </row>
    <row r="42" spans="1:13">
      <c r="A42" s="817" t="s">
        <v>241</v>
      </c>
      <c r="D42" s="285">
        <f>+'26 Seg Dev'!D42</f>
        <v>224667.20569000003</v>
      </c>
      <c r="L42" s="904"/>
      <c r="M42" s="759">
        <f>D42-'26 Seg Dev'!D42</f>
        <v>0</v>
      </c>
    </row>
    <row r="43" spans="1:13" ht="5.25" customHeight="1">
      <c r="A43" s="817"/>
      <c r="D43" s="285"/>
      <c r="L43" s="904"/>
      <c r="M43" s="759">
        <f>D43-'26 Seg Dev'!D43</f>
        <v>0</v>
      </c>
    </row>
    <row r="44" spans="1:13">
      <c r="A44" s="892" t="s">
        <v>266</v>
      </c>
      <c r="D44" s="759">
        <f>SUM(D41:D42)</f>
        <v>257348.07126000003</v>
      </c>
      <c r="L44" s="904"/>
      <c r="M44" s="759">
        <f>D44-'26 Seg Dev'!D44</f>
        <v>0</v>
      </c>
    </row>
    <row r="45" spans="1:13">
      <c r="A45" s="893" t="s">
        <v>267</v>
      </c>
      <c r="D45" s="285">
        <f>+'26 Seg Dev'!D45</f>
        <v>74057.674457231507</v>
      </c>
      <c r="E45" s="902">
        <f>+'26 Seg Dev'!E45</f>
        <v>885.91442355326342</v>
      </c>
      <c r="F45" s="902">
        <f>+'26 Seg Dev'!F45+'26 Seg Dev'!I45</f>
        <v>68117.853821749683</v>
      </c>
      <c r="G45" s="902">
        <f>+'26 Seg Dev'!G45</f>
        <v>3767.0452026192011</v>
      </c>
      <c r="H45" s="902">
        <f>+'26 Seg Dev'!H45</f>
        <v>1286.8610093093682</v>
      </c>
      <c r="I45" s="903"/>
      <c r="J45" s="902">
        <f>+'26 Seg Dev'!J45</f>
        <v>0</v>
      </c>
      <c r="K45" s="902">
        <f>+'26 Seg Dev'!K45</f>
        <v>0</v>
      </c>
      <c r="L45" s="904">
        <f t="shared" si="1"/>
        <v>0</v>
      </c>
      <c r="M45" s="759">
        <f>D45-'26 Seg Dev'!D45</f>
        <v>0</v>
      </c>
    </row>
    <row r="46" spans="1:13">
      <c r="A46" s="893" t="s">
        <v>269</v>
      </c>
      <c r="D46" s="285">
        <f>+'26 Seg Dev'!D46</f>
        <v>183290.39680276852</v>
      </c>
      <c r="E46" s="902">
        <f>+'26 Seg Dev'!E46</f>
        <v>4774.1573843810675</v>
      </c>
      <c r="F46" s="902">
        <f>+'26 Seg Dev'!F46+'26 Seg Dev'!I46</f>
        <v>150519.22194997655</v>
      </c>
      <c r="G46" s="902">
        <f>+'26 Seg Dev'!G46</f>
        <v>26062.251424216567</v>
      </c>
      <c r="H46" s="902">
        <f>+'26 Seg Dev'!H46</f>
        <v>1568.211483636358</v>
      </c>
      <c r="I46" s="903"/>
      <c r="J46" s="902">
        <f>+'26 Seg Dev'!J46</f>
        <v>366.55456055802824</v>
      </c>
      <c r="K46" s="902">
        <f>+'26 Seg Dev'!K46</f>
        <v>0</v>
      </c>
      <c r="L46" s="904">
        <f t="shared" si="1"/>
        <v>0</v>
      </c>
      <c r="M46" s="759">
        <f>D46-'26 Seg Dev'!D46</f>
        <v>0</v>
      </c>
    </row>
    <row r="47" spans="1:13" ht="15">
      <c r="A47" s="894" t="s">
        <v>268</v>
      </c>
      <c r="B47" s="769"/>
      <c r="C47" s="769"/>
      <c r="D47" s="285">
        <f>+'26 Seg Dev'!D47</f>
        <v>257348.07126000008</v>
      </c>
      <c r="E47" s="902">
        <f>+'26 Seg Dev'!E47</f>
        <v>5660.0718079343305</v>
      </c>
      <c r="F47" s="902">
        <f>+'26 Seg Dev'!F47+'26 Seg Dev'!I47</f>
        <v>218637.07577172623</v>
      </c>
      <c r="G47" s="902">
        <f>+'26 Seg Dev'!G47</f>
        <v>29829.296626835767</v>
      </c>
      <c r="H47" s="902">
        <f>+'26 Seg Dev'!H47</f>
        <v>2855.0724929457265</v>
      </c>
      <c r="I47" s="903"/>
      <c r="J47" s="902">
        <f>+'26 Seg Dev'!J47</f>
        <v>366.55456055802824</v>
      </c>
      <c r="K47" s="902">
        <f>+'26 Seg Dev'!K47</f>
        <v>0</v>
      </c>
      <c r="L47" s="904">
        <f t="shared" si="1"/>
        <v>0</v>
      </c>
      <c r="M47" s="759">
        <f>D47-'26 Seg Dev'!D47</f>
        <v>0</v>
      </c>
    </row>
    <row r="48" spans="1:13">
      <c r="A48" s="895" t="s">
        <v>25</v>
      </c>
      <c r="D48" s="285">
        <f>+'26 Seg Dev'!D48</f>
        <v>10101.304990000001</v>
      </c>
      <c r="K48" s="285">
        <f>SUM('Expense Input File'!J61:J65)</f>
        <v>10101.304990000001</v>
      </c>
      <c r="L48" s="904">
        <f t="shared" si="1"/>
        <v>0</v>
      </c>
      <c r="M48" s="759">
        <f>D48-'26 Seg Dev'!D48</f>
        <v>0</v>
      </c>
    </row>
    <row r="49" spans="1:13" ht="15">
      <c r="A49" s="896" t="s">
        <v>270</v>
      </c>
      <c r="B49" s="769"/>
      <c r="C49" s="769"/>
      <c r="D49" s="821">
        <f>SUM(E49:K49)</f>
        <v>346470.29928000009</v>
      </c>
      <c r="E49" s="821">
        <f t="shared" ref="E49:J49" si="5">E47</f>
        <v>5660.0718079343305</v>
      </c>
      <c r="F49" s="821">
        <f>F47+F41</f>
        <v>218637.07577172623</v>
      </c>
      <c r="G49" s="821">
        <f t="shared" si="5"/>
        <v>29829.296626835767</v>
      </c>
      <c r="H49" s="902">
        <f t="shared" si="5"/>
        <v>2855.0724929457265</v>
      </c>
      <c r="I49" s="821">
        <f t="shared" si="5"/>
        <v>0</v>
      </c>
      <c r="J49" s="821">
        <f t="shared" si="5"/>
        <v>366.55456055802824</v>
      </c>
      <c r="K49" s="821">
        <f>K48+K41</f>
        <v>89122.228019999995</v>
      </c>
      <c r="L49" s="904">
        <f t="shared" si="1"/>
        <v>0</v>
      </c>
      <c r="M49" s="759">
        <f>D49-'26 Seg Dev'!D49</f>
        <v>0</v>
      </c>
    </row>
    <row r="50" spans="1:13">
      <c r="A50" s="883" t="s">
        <v>271</v>
      </c>
      <c r="L50" s="904">
        <f t="shared" si="1"/>
        <v>0</v>
      </c>
      <c r="M50" s="759">
        <f>D50-'26 Seg Dev'!D50</f>
        <v>0</v>
      </c>
    </row>
    <row r="51" spans="1:13">
      <c r="A51" s="897" t="s">
        <v>46</v>
      </c>
      <c r="D51" s="285">
        <f>+'26 Seg Dev'!D51</f>
        <v>12120.673289999999</v>
      </c>
      <c r="E51" s="902">
        <f>+'26 Seg Dev'!E51</f>
        <v>198.00797160529305</v>
      </c>
      <c r="F51" s="902">
        <f>+'26 Seg Dev'!F51+'26 Seg Dev'!I51</f>
        <v>7648.6456992622234</v>
      </c>
      <c r="G51" s="902">
        <f>+'26 Seg Dev'!G51</f>
        <v>1043.5271353293913</v>
      </c>
      <c r="H51" s="902">
        <f>+'26 Seg Dev'!H51</f>
        <v>99.879848224146372</v>
      </c>
      <c r="I51" s="903"/>
      <c r="J51" s="902">
        <f>+'26 Seg Dev'!J51</f>
        <v>12.823286962017079</v>
      </c>
      <c r="K51" s="902">
        <f>+'26 Seg Dev'!K51</f>
        <v>3117.7893486169278</v>
      </c>
      <c r="L51" s="904">
        <f t="shared" si="1"/>
        <v>0</v>
      </c>
      <c r="M51" s="759">
        <f>D51-'26 Seg Dev'!D51</f>
        <v>0</v>
      </c>
    </row>
    <row r="52" spans="1:13">
      <c r="A52" s="897" t="s">
        <v>47</v>
      </c>
      <c r="D52" s="285">
        <f>+'26 Seg Dev'!D52</f>
        <v>86475.81703999998</v>
      </c>
      <c r="E52" s="902">
        <f>+'26 Seg Dev'!E52</f>
        <v>1412.7021424732118</v>
      </c>
      <c r="F52" s="902">
        <f>+'26 Seg Dev'!F52+'26 Seg Dev'!I52</f>
        <v>54569.813926003677</v>
      </c>
      <c r="G52" s="902">
        <f>+'26 Seg Dev'!G52</f>
        <v>7445.1195467392836</v>
      </c>
      <c r="H52" s="902">
        <f>+'26 Seg Dev'!H52</f>
        <v>712.59997480010031</v>
      </c>
      <c r="I52" s="903"/>
      <c r="J52" s="902">
        <f>+'26 Seg Dev'!J52</f>
        <v>91.488664915478978</v>
      </c>
      <c r="K52" s="902">
        <f>+'26 Seg Dev'!K52</f>
        <v>22244.092785068227</v>
      </c>
      <c r="L52" s="904">
        <f t="shared" si="1"/>
        <v>0</v>
      </c>
      <c r="M52" s="759">
        <f>D52-'26 Seg Dev'!D52</f>
        <v>0</v>
      </c>
    </row>
    <row r="53" spans="1:13">
      <c r="A53" s="897" t="s">
        <v>273</v>
      </c>
      <c r="D53" s="285">
        <f>HLOOKUP($A$12,'Expense Input File'!$B$14:$L$24,3,FALSE)</f>
        <v>73816.910199999984</v>
      </c>
      <c r="E53" s="861">
        <f>+'26 Seg Dev'!E53</f>
        <v>1161.008920680423</v>
      </c>
      <c r="F53" s="861">
        <f>+'26 Seg Dev'!F53+'26 Seg Dev'!I53</f>
        <v>44847.416071050822</v>
      </c>
      <c r="G53" s="861">
        <f>+'26 Seg Dev'!G53</f>
        <v>6118.6643308714338</v>
      </c>
      <c r="H53" s="861">
        <f>+'26 Seg Dev'!H53</f>
        <v>585.64003178415896</v>
      </c>
      <c r="I53" s="861"/>
      <c r="J53" s="861">
        <f>+'26 Seg Dev'!J53</f>
        <v>75.188642329129408</v>
      </c>
      <c r="K53" s="861">
        <f>+'26 Seg Dev'!K53</f>
        <v>21028.992203284011</v>
      </c>
      <c r="L53" s="904">
        <f t="shared" si="1"/>
        <v>0</v>
      </c>
      <c r="M53" s="759">
        <f>D53-'26 Seg Dev'!D53</f>
        <v>0</v>
      </c>
    </row>
    <row r="54" spans="1:13">
      <c r="A54" s="897" t="s">
        <v>292</v>
      </c>
      <c r="D54" s="285">
        <f>+'26 Seg Dev'!D54</f>
        <v>202978.68783000001</v>
      </c>
      <c r="E54" s="902">
        <f>+'26 Seg Dev'!E54</f>
        <v>3315.9377614345617</v>
      </c>
      <c r="F54" s="902">
        <f>+'26 Seg Dev'!F54+'26 Seg Dev'!I54</f>
        <v>128087.9395531351</v>
      </c>
      <c r="G54" s="902">
        <f>+'26 Seg Dev'!G54</f>
        <v>17475.412757714774</v>
      </c>
      <c r="H54" s="902">
        <f>+'26 Seg Dev'!H54</f>
        <v>1672.6364986607762</v>
      </c>
      <c r="I54" s="903"/>
      <c r="J54" s="902">
        <f>+'26 Seg Dev'!J54</f>
        <v>214.74499798334008</v>
      </c>
      <c r="K54" s="902">
        <f>+'26 Seg Dev'!K54</f>
        <v>52212.016261071461</v>
      </c>
      <c r="L54" s="904">
        <f t="shared" si="1"/>
        <v>0</v>
      </c>
      <c r="M54" s="759">
        <f>D54-'26 Seg Dev'!D54</f>
        <v>0</v>
      </c>
    </row>
    <row r="55" spans="1:13" ht="15">
      <c r="A55" s="898" t="s">
        <v>290</v>
      </c>
      <c r="D55" s="821">
        <f>SUM(D51:D54)</f>
        <v>375392.08835999994</v>
      </c>
      <c r="E55" s="821">
        <f t="shared" ref="E55:J55" si="6">SUM(E51:E54)</f>
        <v>6087.6567961934888</v>
      </c>
      <c r="F55" s="821">
        <f t="shared" si="6"/>
        <v>235153.81524945184</v>
      </c>
      <c r="G55" s="821">
        <f t="shared" si="6"/>
        <v>32082.723770654884</v>
      </c>
      <c r="H55" s="821">
        <f t="shared" si="6"/>
        <v>3070.7563534691817</v>
      </c>
      <c r="I55" s="821">
        <f t="shared" si="6"/>
        <v>0</v>
      </c>
      <c r="J55" s="821">
        <f t="shared" si="6"/>
        <v>394.24559218996558</v>
      </c>
      <c r="K55" s="821">
        <f>SUM(K51:K54)</f>
        <v>98602.890598040627</v>
      </c>
      <c r="L55" s="904">
        <f>SUM(E55:K55)-D55</f>
        <v>0</v>
      </c>
      <c r="M55" s="759">
        <f>D55-'26 Seg Dev'!D55</f>
        <v>0</v>
      </c>
    </row>
    <row r="56" spans="1:13" ht="15">
      <c r="A56" s="887" t="s">
        <v>262</v>
      </c>
      <c r="D56" s="821">
        <f t="shared" ref="D56:K56" si="7">D55+D49</f>
        <v>721862.38764000009</v>
      </c>
      <c r="E56" s="821">
        <f t="shared" si="7"/>
        <v>11747.72860412782</v>
      </c>
      <c r="F56" s="821">
        <f t="shared" si="7"/>
        <v>453790.8910211781</v>
      </c>
      <c r="G56" s="821">
        <f t="shared" si="7"/>
        <v>61912.020397490647</v>
      </c>
      <c r="H56" s="821">
        <f t="shared" si="7"/>
        <v>5925.8288464149082</v>
      </c>
      <c r="I56" s="821">
        <f t="shared" si="7"/>
        <v>0</v>
      </c>
      <c r="J56" s="821">
        <f t="shared" si="7"/>
        <v>760.80015274799382</v>
      </c>
      <c r="K56" s="821">
        <f t="shared" si="7"/>
        <v>187725.11861804064</v>
      </c>
      <c r="L56" s="904">
        <f>SUM(E56:K56)-D56</f>
        <v>0</v>
      </c>
      <c r="M56" s="759">
        <f>D56-'26 Seg Dev'!D56</f>
        <v>0</v>
      </c>
    </row>
    <row r="57" spans="1:13">
      <c r="A57" s="776" t="s">
        <v>177</v>
      </c>
      <c r="L57" s="759"/>
      <c r="M57" s="759">
        <f>D57-'26 Seg Dev'!D57</f>
        <v>0</v>
      </c>
    </row>
    <row r="58" spans="1:13">
      <c r="A58" s="817" t="s">
        <v>278</v>
      </c>
      <c r="D58" s="285"/>
      <c r="L58" s="759"/>
      <c r="M58" s="759">
        <f>D58-'26 Seg Dev'!D58</f>
        <v>0</v>
      </c>
    </row>
    <row r="59" spans="1:13">
      <c r="A59" s="817" t="s">
        <v>276</v>
      </c>
      <c r="D59" s="285">
        <f>+'26 Seg Dev'!D59</f>
        <v>7696</v>
      </c>
      <c r="E59" s="902">
        <f>+'26 Seg Dev'!E59</f>
        <v>0</v>
      </c>
      <c r="F59" s="902">
        <f>+'26 Seg Dev'!F59+'26 Seg Dev'!I59</f>
        <v>7696</v>
      </c>
      <c r="G59" s="902">
        <f>+'26 Seg Dev'!G59</f>
        <v>0</v>
      </c>
      <c r="H59" s="902">
        <f>+'26 Seg Dev'!H59</f>
        <v>0</v>
      </c>
      <c r="I59" s="903"/>
      <c r="J59" s="902">
        <f>+'26 Seg Dev'!J59</f>
        <v>0</v>
      </c>
      <c r="K59" s="902">
        <f>+'26 Seg Dev'!K59</f>
        <v>0</v>
      </c>
      <c r="L59" s="759"/>
      <c r="M59" s="759">
        <f>D59-'26 Seg Dev'!D59</f>
        <v>0</v>
      </c>
    </row>
    <row r="60" spans="1:13">
      <c r="A60" s="817" t="s">
        <v>277</v>
      </c>
      <c r="D60" s="285">
        <f>+'26 Seg Dev'!D60</f>
        <v>714.37513802165006</v>
      </c>
      <c r="E60" s="902">
        <f>+'26 Seg Dev'!E60</f>
        <v>0</v>
      </c>
      <c r="F60" s="902">
        <f>+'26 Seg Dev'!F60+'26 Seg Dev'!I60</f>
        <v>0</v>
      </c>
      <c r="G60" s="902">
        <f>+'26 Seg Dev'!G60</f>
        <v>714.37513802165006</v>
      </c>
      <c r="H60" s="902">
        <f>+'26 Seg Dev'!H60</f>
        <v>0</v>
      </c>
      <c r="I60" s="903"/>
      <c r="J60" s="902">
        <f>+'26 Seg Dev'!J60</f>
        <v>0</v>
      </c>
      <c r="K60" s="902">
        <f>+'26 Seg Dev'!K60</f>
        <v>0</v>
      </c>
      <c r="L60" s="759"/>
      <c r="M60" s="759">
        <f>D60-'26 Seg Dev'!D60</f>
        <v>0</v>
      </c>
    </row>
    <row r="61" spans="1:13">
      <c r="A61" s="817" t="s">
        <v>275</v>
      </c>
      <c r="D61" s="285">
        <f>+'26 Seg Dev'!D61</f>
        <v>244.88281000000001</v>
      </c>
      <c r="E61" s="902">
        <f>+'26 Seg Dev'!E61</f>
        <v>0</v>
      </c>
      <c r="F61" s="902">
        <f>+'26 Seg Dev'!F61+'26 Seg Dev'!I61</f>
        <v>244.88281000000001</v>
      </c>
      <c r="G61" s="902">
        <f>+'26 Seg Dev'!G61</f>
        <v>0</v>
      </c>
      <c r="H61" s="902">
        <f>+'26 Seg Dev'!H61</f>
        <v>0</v>
      </c>
      <c r="I61" s="903"/>
      <c r="J61" s="902">
        <f>+'26 Seg Dev'!J61</f>
        <v>0</v>
      </c>
      <c r="K61" s="902">
        <f>+'26 Seg Dev'!K61</f>
        <v>0</v>
      </c>
      <c r="L61" s="759"/>
      <c r="M61" s="759">
        <f>D61-'26 Seg Dev'!D61</f>
        <v>0</v>
      </c>
    </row>
    <row r="62" spans="1:13">
      <c r="A62" s="817" t="s">
        <v>469</v>
      </c>
      <c r="D62" s="285">
        <f>+'26 Seg Dev'!D62</f>
        <v>1636.87612333333</v>
      </c>
      <c r="E62" s="902">
        <f>+'26 Seg Dev'!E62</f>
        <v>0</v>
      </c>
      <c r="F62" s="902">
        <f>+'26 Seg Dev'!F62+'26 Seg Dev'!I62</f>
        <v>650.09648477634687</v>
      </c>
      <c r="G62" s="902">
        <f>+'26 Seg Dev'!G62</f>
        <v>986.78130653375285</v>
      </c>
      <c r="H62" s="902">
        <f>+'26 Seg Dev'!H62</f>
        <v>0</v>
      </c>
      <c r="I62" s="903"/>
      <c r="J62" s="902">
        <f>+'26 Seg Dev'!J62</f>
        <v>0</v>
      </c>
      <c r="K62" s="902">
        <f>+'26 Seg Dev'!K62</f>
        <v>0</v>
      </c>
      <c r="L62" s="759"/>
      <c r="M62" s="759">
        <f>D62-'26 Seg Dev'!D62</f>
        <v>0</v>
      </c>
    </row>
    <row r="63" spans="1:13">
      <c r="A63" s="817" t="s">
        <v>274</v>
      </c>
      <c r="D63" s="285">
        <f>+'26 Seg Dev'!D63</f>
        <v>3249.529</v>
      </c>
      <c r="E63" s="902">
        <f>+'26 Seg Dev'!E63</f>
        <v>84.640347458051309</v>
      </c>
      <c r="F63" s="902">
        <f>+'26 Seg Dev'!F63+'26 Seg Dev'!I63</f>
        <v>2668.5335692202366</v>
      </c>
      <c r="G63" s="902">
        <f>+'26 Seg Dev'!G63</f>
        <v>462.05389526989029</v>
      </c>
      <c r="H63" s="902">
        <f>+'26 Seg Dev'!H63</f>
        <v>27.802595133736972</v>
      </c>
      <c r="I63" s="903"/>
      <c r="J63" s="902">
        <f>+'26 Seg Dev'!J63</f>
        <v>6.4985929180855884</v>
      </c>
      <c r="K63" s="902">
        <f>+'26 Seg Dev'!K63</f>
        <v>0</v>
      </c>
      <c r="L63" s="759"/>
      <c r="M63" s="759">
        <f>D63-'26 Seg Dev'!D63</f>
        <v>0</v>
      </c>
    </row>
    <row r="64" spans="1:13" ht="15">
      <c r="A64" s="817" t="s">
        <v>263</v>
      </c>
      <c r="B64" s="769"/>
      <c r="D64" s="285">
        <f>+'26 Seg Dev'!D64</f>
        <v>128028.07520593569</v>
      </c>
      <c r="E64" s="902">
        <f>+'26 Seg Dev'!E64</f>
        <v>0</v>
      </c>
      <c r="F64" s="902">
        <f>+'26 Seg Dev'!F64+'26 Seg Dev'!I64</f>
        <v>0</v>
      </c>
      <c r="G64" s="902">
        <f>+'26 Seg Dev'!G64</f>
        <v>0</v>
      </c>
      <c r="H64" s="902">
        <f>+'26 Seg Dev'!H64</f>
        <v>0</v>
      </c>
      <c r="I64" s="903"/>
      <c r="J64" s="902">
        <f>+'26 Seg Dev'!J64</f>
        <v>0</v>
      </c>
      <c r="K64" s="902">
        <f>+'26 Seg Dev'!K64</f>
        <v>128028.07520593569</v>
      </c>
      <c r="L64" s="759"/>
      <c r="M64" s="759">
        <f>D64-'26 Seg Dev'!D64</f>
        <v>0</v>
      </c>
    </row>
    <row r="65" spans="1:13" ht="15">
      <c r="A65" s="817" t="s">
        <v>665</v>
      </c>
      <c r="B65" s="769"/>
      <c r="D65" s="285">
        <f>+'26 Seg Dev'!D65</f>
        <v>0</v>
      </c>
      <c r="E65" s="902">
        <f>+'26 Seg Dev'!E65</f>
        <v>0</v>
      </c>
      <c r="F65" s="902">
        <f>+'26 Seg Dev'!F65+'26 Seg Dev'!I65</f>
        <v>0</v>
      </c>
      <c r="G65" s="902">
        <f>+'26 Seg Dev'!G65</f>
        <v>0</v>
      </c>
      <c r="H65" s="902">
        <f>+'26 Seg Dev'!H65</f>
        <v>0</v>
      </c>
      <c r="I65" s="903"/>
      <c r="J65" s="902">
        <f>+'26 Seg Dev'!J65</f>
        <v>0</v>
      </c>
      <c r="K65" s="902">
        <f>+'26 Seg Dev'!K65</f>
        <v>0</v>
      </c>
      <c r="L65" s="759"/>
      <c r="M65" s="759">
        <f>D65-'26 Seg Dev'!D65</f>
        <v>0</v>
      </c>
    </row>
    <row r="66" spans="1:13" ht="15">
      <c r="A66" s="858" t="s">
        <v>288</v>
      </c>
      <c r="D66" s="567">
        <f>SUM(D59:D65)</f>
        <v>141569.73827729066</v>
      </c>
      <c r="E66" s="567">
        <f t="shared" ref="E66:K66" si="8">SUM(E59:E65)</f>
        <v>84.640347458051309</v>
      </c>
      <c r="F66" s="567">
        <f t="shared" si="8"/>
        <v>11259.512863996584</v>
      </c>
      <c r="G66" s="567">
        <f t="shared" si="8"/>
        <v>2163.210339825293</v>
      </c>
      <c r="H66" s="567">
        <f t="shared" si="8"/>
        <v>27.802595133736972</v>
      </c>
      <c r="I66" s="567">
        <f t="shared" si="8"/>
        <v>0</v>
      </c>
      <c r="J66" s="567">
        <f t="shared" si="8"/>
        <v>6.4985929180855884</v>
      </c>
      <c r="K66" s="567">
        <f t="shared" si="8"/>
        <v>128028.07520593569</v>
      </c>
      <c r="L66" s="904">
        <f>SUM(E66:K66)-D66</f>
        <v>1.6679767868481576E-3</v>
      </c>
      <c r="M66" s="759">
        <f>D66-'26 Seg Dev'!D66</f>
        <v>0</v>
      </c>
    </row>
    <row r="67" spans="1:13">
      <c r="A67" s="817" t="s">
        <v>279</v>
      </c>
      <c r="E67" s="285"/>
      <c r="L67" s="759"/>
      <c r="M67" s="759">
        <f>D67-'26 Seg Dev'!D67</f>
        <v>0</v>
      </c>
    </row>
    <row r="68" spans="1:13">
      <c r="A68" s="817" t="s">
        <v>42</v>
      </c>
      <c r="D68" s="285">
        <f>+'26 Seg Dev'!D68</f>
        <v>170.48782</v>
      </c>
      <c r="E68" s="902">
        <f>+'26 Seg Dev'!E68</f>
        <v>3.1859044461665702</v>
      </c>
      <c r="F68" s="902">
        <f>+'26 Seg Dev'!F68+'26 Seg Dev'!I68</f>
        <v>140.77363763673446</v>
      </c>
      <c r="G68" s="902">
        <f>+'26 Seg Dev'!G68</f>
        <v>16.193288689777887</v>
      </c>
      <c r="H68" s="902">
        <f>+'26 Seg Dev'!H68</f>
        <v>1.7763438368371773</v>
      </c>
      <c r="I68" s="903"/>
      <c r="J68" s="902">
        <f>+'26 Seg Dev'!J68</f>
        <v>0.13705358418727906</v>
      </c>
      <c r="K68" s="902">
        <f>+'26 Seg Dev'!K68</f>
        <v>8.4215918062966093</v>
      </c>
      <c r="L68" s="759"/>
      <c r="M68" s="759">
        <f>D68-'26 Seg Dev'!D68</f>
        <v>0</v>
      </c>
    </row>
    <row r="69" spans="1:13">
      <c r="A69" s="817" t="s">
        <v>43</v>
      </c>
      <c r="D69" s="285">
        <f>+'26 Seg Dev'!D69</f>
        <v>3664.4019900000003</v>
      </c>
      <c r="E69" s="902">
        <f>+'26 Seg Dev'!E69</f>
        <v>0</v>
      </c>
      <c r="F69" s="902">
        <f>+'26 Seg Dev'!F69+'26 Seg Dev'!I69</f>
        <v>3664.4019900000003</v>
      </c>
      <c r="G69" s="902">
        <f>+'26 Seg Dev'!G69</f>
        <v>0</v>
      </c>
      <c r="H69" s="902">
        <f>+'26 Seg Dev'!H69</f>
        <v>0</v>
      </c>
      <c r="I69" s="903"/>
      <c r="J69" s="902">
        <f>+'26 Seg Dev'!J69</f>
        <v>0</v>
      </c>
      <c r="K69" s="902">
        <f>+'26 Seg Dev'!K69</f>
        <v>0</v>
      </c>
      <c r="L69" s="759"/>
      <c r="M69" s="759">
        <f>D69-'26 Seg Dev'!D69</f>
        <v>0</v>
      </c>
    </row>
    <row r="70" spans="1:13">
      <c r="A70" s="817" t="s">
        <v>44</v>
      </c>
      <c r="D70" s="285">
        <f>+'26 Seg Dev'!D70</f>
        <v>0</v>
      </c>
      <c r="E70" s="902">
        <f>+'26 Seg Dev'!E70</f>
        <v>0</v>
      </c>
      <c r="F70" s="902">
        <f>+'26 Seg Dev'!F70+'26 Seg Dev'!I70</f>
        <v>0</v>
      </c>
      <c r="G70" s="902">
        <f>+'26 Seg Dev'!G70</f>
        <v>0</v>
      </c>
      <c r="H70" s="902">
        <f>+'26 Seg Dev'!H70</f>
        <v>0</v>
      </c>
      <c r="I70" s="903"/>
      <c r="J70" s="902">
        <f>+'26 Seg Dev'!J70</f>
        <v>0</v>
      </c>
      <c r="K70" s="902">
        <f>+'26 Seg Dev'!K70</f>
        <v>0</v>
      </c>
      <c r="L70" s="759"/>
      <c r="M70" s="759">
        <f>D70-'26 Seg Dev'!D70</f>
        <v>0</v>
      </c>
    </row>
    <row r="71" spans="1:13">
      <c r="A71" s="817" t="s">
        <v>773</v>
      </c>
      <c r="D71" s="285">
        <f>+'26 Seg Dev'!D71</f>
        <v>0</v>
      </c>
      <c r="E71" s="902">
        <f>+'26 Seg Dev'!E71</f>
        <v>0</v>
      </c>
      <c r="F71" s="902">
        <f>+'26 Seg Dev'!F71+'26 Seg Dev'!I71</f>
        <v>0</v>
      </c>
      <c r="G71" s="902">
        <f>+'26 Seg Dev'!G71</f>
        <v>0</v>
      </c>
      <c r="H71" s="902">
        <f>+'26 Seg Dev'!H71</f>
        <v>0</v>
      </c>
      <c r="I71" s="903"/>
      <c r="J71" s="902">
        <f>+'26 Seg Dev'!J71</f>
        <v>0</v>
      </c>
      <c r="K71" s="902">
        <f>+'26 Seg Dev'!K71</f>
        <v>0</v>
      </c>
      <c r="L71" s="759"/>
      <c r="M71" s="759">
        <f>D71-'26 Seg Dev'!D71</f>
        <v>0</v>
      </c>
    </row>
    <row r="72" spans="1:13" ht="15">
      <c r="A72" s="858" t="s">
        <v>289</v>
      </c>
      <c r="D72" s="567">
        <f>SUM(D68:D71)</f>
        <v>3834.8898100000001</v>
      </c>
      <c r="E72" s="567">
        <f t="shared" ref="E72:J72" si="9">SUM(E68:E71)</f>
        <v>3.1859044461665702</v>
      </c>
      <c r="F72" s="567">
        <f t="shared" si="9"/>
        <v>3805.1756276367346</v>
      </c>
      <c r="G72" s="567">
        <f t="shared" si="9"/>
        <v>16.193288689777887</v>
      </c>
      <c r="H72" s="567">
        <f t="shared" si="9"/>
        <v>1.7763438368371773</v>
      </c>
      <c r="I72" s="567">
        <f t="shared" si="9"/>
        <v>0</v>
      </c>
      <c r="J72" s="567">
        <f t="shared" si="9"/>
        <v>0.13705358418727906</v>
      </c>
      <c r="K72" s="567">
        <f>SUM(K68:K71)</f>
        <v>8.4215918062966093</v>
      </c>
      <c r="L72" s="904">
        <f>SUM(E72:K72)-D72</f>
        <v>0</v>
      </c>
      <c r="M72" s="759">
        <f>D72-'26 Seg Dev'!D72</f>
        <v>0</v>
      </c>
    </row>
    <row r="73" spans="1:13" ht="15">
      <c r="A73" s="899" t="s">
        <v>280</v>
      </c>
      <c r="B73" s="899"/>
      <c r="C73" s="899"/>
      <c r="D73" s="821">
        <f>SUM(E73:K73)</f>
        <v>145404.62975526744</v>
      </c>
      <c r="E73" s="821">
        <f>E72+E66</f>
        <v>87.826251904217884</v>
      </c>
      <c r="F73" s="821">
        <f t="shared" ref="F73:K73" si="10">F72+F66</f>
        <v>15064.688491633318</v>
      </c>
      <c r="G73" s="821">
        <f t="shared" si="10"/>
        <v>2179.403628515071</v>
      </c>
      <c r="H73" s="821">
        <f t="shared" si="10"/>
        <v>29.57893897057415</v>
      </c>
      <c r="I73" s="821">
        <f t="shared" si="10"/>
        <v>0</v>
      </c>
      <c r="J73" s="821">
        <f t="shared" si="10"/>
        <v>6.6356465022728672</v>
      </c>
      <c r="K73" s="821">
        <f t="shared" si="10"/>
        <v>128036.49679774199</v>
      </c>
      <c r="L73" s="904">
        <f>SUM(E73:K73)-D73</f>
        <v>0</v>
      </c>
      <c r="M73" s="759">
        <f>D73-'26 Seg Dev'!D73</f>
        <v>0</v>
      </c>
    </row>
    <row r="74" spans="1:13">
      <c r="A74" s="776" t="s">
        <v>661</v>
      </c>
      <c r="L74" s="759"/>
      <c r="M74" s="759">
        <f>D74-'26 Seg Dev'!D74</f>
        <v>0</v>
      </c>
    </row>
    <row r="75" spans="1:13" ht="15">
      <c r="A75" s="898" t="s">
        <v>662</v>
      </c>
      <c r="D75" s="567">
        <f>HLOOKUP($A$12,'Expense Input File'!$A$71:$L$94,24,FALSE)</f>
        <v>1136.4901200000002</v>
      </c>
      <c r="E75" s="821"/>
      <c r="F75" s="821">
        <f>+$D75*(F56/SUM($F56:$H56))</f>
        <v>988.68951110607941</v>
      </c>
      <c r="G75" s="821">
        <f>+$D75*(G56/SUM($F56:$H56))</f>
        <v>134.88980583245763</v>
      </c>
      <c r="H75" s="821">
        <f>+$D75*(H56/SUM($F56:$H56))</f>
        <v>12.910803061463021</v>
      </c>
      <c r="I75" s="821"/>
      <c r="J75" s="821"/>
      <c r="K75" s="821"/>
      <c r="L75" s="904">
        <f>SUM(E75:K75)-D75</f>
        <v>0</v>
      </c>
      <c r="M75" s="759">
        <f>D75-'26 Seg Dev'!D75</f>
        <v>0</v>
      </c>
    </row>
    <row r="76" spans="1:13">
      <c r="D76" s="900"/>
    </row>
    <row r="77" spans="1:13">
      <c r="E77" s="759"/>
      <c r="F77" s="759"/>
      <c r="G77" s="759"/>
      <c r="H77" s="759"/>
      <c r="I77" s="759"/>
      <c r="J77" s="759"/>
      <c r="K77" s="759"/>
    </row>
    <row r="81" spans="4:4">
      <c r="D81" s="759"/>
    </row>
    <row r="82" spans="4:4">
      <c r="D82" s="759"/>
    </row>
    <row r="83" spans="4:4">
      <c r="D83" s="759"/>
    </row>
    <row r="84" spans="4:4">
      <c r="D84" s="759"/>
    </row>
  </sheetData>
  <mergeCells count="3">
    <mergeCell ref="A1:K1"/>
    <mergeCell ref="A10:B10"/>
    <mergeCell ref="A12:C12"/>
  </mergeCells>
  <pageMargins left="0.25" right="0.25" top="0.75" bottom="0.75" header="0.3" footer="0.3"/>
  <pageSetup scale="56"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7C8C00-4EB2-46E4-964B-4503242794CC}">
  <sheetPr>
    <tabColor theme="9"/>
    <pageSetUpPr autoPageBreaks="0" fitToPage="1"/>
  </sheetPr>
  <dimension ref="A1:M82"/>
  <sheetViews>
    <sheetView topLeftCell="A8" workbookViewId="0">
      <selection activeCell="A12" sqref="A12:L76"/>
    </sheetView>
  </sheetViews>
  <sheetFormatPr defaultColWidth="9.140625" defaultRowHeight="14.25" outlineLevelRow="1"/>
  <cols>
    <col min="1" max="2" width="9.140625" style="746"/>
    <col min="3" max="3" width="29.28515625" style="746" customWidth="1"/>
    <col min="4" max="11" width="15.7109375" style="746" customWidth="1"/>
    <col min="12" max="12" width="21.28515625" style="746" customWidth="1"/>
    <col min="13" max="13" width="15.42578125" style="746" customWidth="1"/>
    <col min="14" max="16384" width="9.140625" style="746"/>
  </cols>
  <sheetData>
    <row r="1" spans="1:13" ht="18" hidden="1" outlineLevel="1">
      <c r="A1" s="989"/>
      <c r="B1" s="989"/>
      <c r="C1" s="989"/>
      <c r="D1" s="989"/>
      <c r="E1" s="989"/>
      <c r="F1" s="989"/>
      <c r="G1" s="989"/>
      <c r="H1" s="989"/>
      <c r="I1" s="989"/>
      <c r="J1" s="989"/>
      <c r="K1" s="989"/>
    </row>
    <row r="2" spans="1:13" ht="18" hidden="1" outlineLevel="1">
      <c r="B2" s="747"/>
      <c r="C2" s="748"/>
      <c r="D2" s="738"/>
      <c r="F2" s="883"/>
      <c r="G2" s="877"/>
      <c r="H2" s="576"/>
      <c r="I2" s="883"/>
      <c r="J2" s="576"/>
      <c r="K2" s="769"/>
    </row>
    <row r="3" spans="1:13" ht="18" hidden="1" outlineLevel="1">
      <c r="B3" s="747"/>
      <c r="C3" s="418"/>
      <c r="D3" s="738"/>
      <c r="F3" s="883"/>
      <c r="G3" s="883"/>
      <c r="H3" s="576"/>
      <c r="I3" s="878"/>
      <c r="J3" s="576"/>
      <c r="K3" s="769"/>
    </row>
    <row r="4" spans="1:13" ht="18" hidden="1" customHeight="1" outlineLevel="1">
      <c r="B4" s="747"/>
      <c r="C4" s="884"/>
      <c r="D4" s="738"/>
      <c r="F4" s="145"/>
      <c r="G4" s="885"/>
      <c r="H4" s="576"/>
      <c r="I4" s="878"/>
      <c r="J4" s="738"/>
      <c r="K4" s="769"/>
    </row>
    <row r="5" spans="1:13" ht="18" hidden="1" customHeight="1" outlineLevel="1">
      <c r="B5" s="761"/>
      <c r="C5" s="884"/>
      <c r="F5" s="145"/>
      <c r="G5" s="885"/>
      <c r="H5" s="576"/>
      <c r="I5" s="830"/>
      <c r="K5" s="769"/>
    </row>
    <row r="6" spans="1:13" ht="15" hidden="1" outlineLevel="1">
      <c r="B6" s="761"/>
      <c r="C6" s="418"/>
      <c r="E6" s="876"/>
      <c r="F6" s="876"/>
      <c r="G6" s="745"/>
      <c r="H6" s="576"/>
      <c r="I6" s="879"/>
      <c r="K6" s="769"/>
    </row>
    <row r="7" spans="1:13" ht="15" hidden="1" outlineLevel="1">
      <c r="B7" s="761"/>
      <c r="C7" s="418"/>
      <c r="E7" s="876"/>
      <c r="F7" s="886"/>
      <c r="G7" s="885"/>
      <c r="H7" s="576"/>
      <c r="I7" s="828"/>
      <c r="K7" s="769"/>
    </row>
    <row r="8" spans="1:13" ht="15" outlineLevel="1">
      <c r="B8" s="761" t="s">
        <v>281</v>
      </c>
      <c r="C8" s="418">
        <v>2027</v>
      </c>
      <c r="E8" s="769"/>
      <c r="F8" s="769"/>
      <c r="G8" s="876"/>
      <c r="H8" s="830"/>
      <c r="I8" s="769"/>
      <c r="J8" s="769"/>
      <c r="K8" s="769"/>
    </row>
    <row r="9" spans="1:13" ht="15" outlineLevel="1">
      <c r="B9" s="761"/>
      <c r="C9" s="418"/>
      <c r="E9" s="769"/>
      <c r="F9" s="769"/>
      <c r="G9" s="769"/>
      <c r="H9" s="769"/>
      <c r="I9" s="769"/>
      <c r="J9" s="769"/>
      <c r="K9" s="769"/>
    </row>
    <row r="10" spans="1:13" ht="15" outlineLevel="1">
      <c r="A10" s="991"/>
      <c r="B10" s="991"/>
      <c r="C10" s="418"/>
    </row>
    <row r="11" spans="1:13" outlineLevel="1"/>
    <row r="12" spans="1:13" ht="29.25" customHeight="1">
      <c r="A12" s="935">
        <f>C8</f>
        <v>2027</v>
      </c>
      <c r="B12" s="935"/>
      <c r="C12" s="935"/>
      <c r="D12" s="805" t="s">
        <v>170</v>
      </c>
      <c r="E12" s="805" t="s">
        <v>171</v>
      </c>
      <c r="F12" s="805" t="s">
        <v>172</v>
      </c>
      <c r="G12" s="805" t="s">
        <v>173</v>
      </c>
      <c r="H12" s="805" t="s">
        <v>174</v>
      </c>
      <c r="I12" s="805" t="s">
        <v>175</v>
      </c>
      <c r="J12" s="805" t="s">
        <v>176</v>
      </c>
      <c r="K12" s="805" t="s">
        <v>177</v>
      </c>
    </row>
    <row r="13" spans="1:13" ht="15">
      <c r="A13" s="887" t="s">
        <v>272</v>
      </c>
      <c r="B13" s="805"/>
      <c r="C13" s="805"/>
      <c r="D13" s="805"/>
      <c r="E13" s="805"/>
      <c r="F13" s="805"/>
      <c r="G13" s="805"/>
      <c r="H13" s="805"/>
      <c r="I13" s="805"/>
      <c r="J13" s="805"/>
      <c r="K13" s="805"/>
      <c r="L13" s="418" t="s">
        <v>785</v>
      </c>
      <c r="M13" s="746" t="s">
        <v>784</v>
      </c>
    </row>
    <row r="14" spans="1:13" ht="15">
      <c r="A14" s="746" t="s">
        <v>178</v>
      </c>
      <c r="B14" s="769"/>
      <c r="C14" s="769"/>
      <c r="D14" s="285">
        <f>+'27 Seg Dev'!D14</f>
        <v>8490800.6228720453</v>
      </c>
      <c r="E14" s="285">
        <f>+'27 Seg Dev'!E14</f>
        <v>141543.88560682797</v>
      </c>
      <c r="F14" s="285">
        <f>+'27 Seg Dev'!F14+'27 Seg Dev'!I14</f>
        <v>7033852.7147142207</v>
      </c>
      <c r="G14" s="285">
        <f>+'27 Seg Dev'!G14</f>
        <v>720906.5120511977</v>
      </c>
      <c r="H14" s="285">
        <f>+'27 Seg Dev'!H14</f>
        <v>78140.223003212086</v>
      </c>
      <c r="I14" s="285"/>
      <c r="J14" s="285">
        <f>+'27 Seg Dev'!J14</f>
        <v>6110.9399736998403</v>
      </c>
      <c r="K14" s="285">
        <f>+'27 Seg Dev'!K14</f>
        <v>510246.3475228856</v>
      </c>
      <c r="L14" s="904">
        <f>SUM(E14:K14)-D14</f>
        <v>0</v>
      </c>
      <c r="M14" s="759">
        <f>D14-'27 Seg Dev'!D14</f>
        <v>0</v>
      </c>
    </row>
    <row r="15" spans="1:13">
      <c r="A15" s="816" t="s">
        <v>237</v>
      </c>
      <c r="D15" s="880">
        <f>SUM(E15:K15)</f>
        <v>0.99999999999999989</v>
      </c>
      <c r="E15" s="881">
        <f>+'27 Seg Dev'!E15</f>
        <v>1.6670263723487389E-2</v>
      </c>
      <c r="F15" s="881">
        <f>+'27 Seg Dev'!F15+'27 Seg Dev'!I15</f>
        <v>0.82840865392208374</v>
      </c>
      <c r="G15" s="881">
        <f>+'27 Seg Dev'!G15</f>
        <v>8.4904421157795174E-2</v>
      </c>
      <c r="H15" s="881">
        <f>+'27 Seg Dev'!H15</f>
        <v>9.202927553465608E-3</v>
      </c>
      <c r="I15" s="881"/>
      <c r="J15" s="881">
        <f>+'27 Seg Dev'!J15</f>
        <v>7.1971304534445559E-4</v>
      </c>
      <c r="K15" s="881">
        <f>+'27 Seg Dev'!K15</f>
        <v>6.0094020597823539E-2</v>
      </c>
      <c r="L15" s="904">
        <f t="shared" ref="L15:L19" si="0">SUM(E15:K15)-D15</f>
        <v>0</v>
      </c>
      <c r="M15" s="759">
        <f>D15-'27 Seg Dev'!D15</f>
        <v>0</v>
      </c>
    </row>
    <row r="16" spans="1:13">
      <c r="A16" s="859" t="s">
        <v>81</v>
      </c>
      <c r="L16" s="904">
        <f t="shared" si="0"/>
        <v>0</v>
      </c>
      <c r="M16" s="759">
        <f>D16-'27 Seg Dev'!D16</f>
        <v>0</v>
      </c>
    </row>
    <row r="17" spans="1:13">
      <c r="B17" s="746" t="s">
        <v>499</v>
      </c>
      <c r="D17" s="285">
        <f>SUM(E17:K17)</f>
        <v>8526.2600033176459</v>
      </c>
      <c r="E17" s="285">
        <f>+'27 Seg Dev'!E17</f>
        <v>0</v>
      </c>
      <c r="F17" s="285">
        <f>+'27 Seg Dev'!F17+'27 Seg Dev'!I17</f>
        <v>8526.2600033176459</v>
      </c>
      <c r="G17" s="285">
        <f>+'27 Seg Dev'!G17</f>
        <v>0</v>
      </c>
      <c r="H17" s="285">
        <f>+'27 Seg Dev'!H17</f>
        <v>0</v>
      </c>
      <c r="I17" s="285"/>
      <c r="J17" s="285">
        <f>+'27 Seg Dev'!J17</f>
        <v>0</v>
      </c>
      <c r="K17" s="285">
        <f>+'27 Seg Dev'!K17</f>
        <v>0</v>
      </c>
      <c r="L17" s="904">
        <f t="shared" si="0"/>
        <v>0</v>
      </c>
      <c r="M17" s="759">
        <f>D17-'27 Seg Dev'!D17</f>
        <v>0</v>
      </c>
    </row>
    <row r="18" spans="1:13">
      <c r="B18" s="746" t="s">
        <v>500</v>
      </c>
      <c r="D18" s="285">
        <f>SUM(E18:K18)</f>
        <v>0</v>
      </c>
      <c r="E18" s="285">
        <f>+'27 Seg Dev'!E18</f>
        <v>0</v>
      </c>
      <c r="F18" s="285">
        <f>+'27 Seg Dev'!F18+'27 Seg Dev'!I18</f>
        <v>0</v>
      </c>
      <c r="G18" s="285">
        <f>+'27 Seg Dev'!G18</f>
        <v>0</v>
      </c>
      <c r="H18" s="285">
        <f>+'27 Seg Dev'!H18</f>
        <v>0</v>
      </c>
      <c r="I18" s="285"/>
      <c r="J18" s="285">
        <f>+'27 Seg Dev'!J18</f>
        <v>0</v>
      </c>
      <c r="K18" s="285">
        <f>+'27 Seg Dev'!K18</f>
        <v>0</v>
      </c>
      <c r="L18" s="904">
        <f t="shared" si="0"/>
        <v>0</v>
      </c>
      <c r="M18" s="759">
        <f>D18-'27 Seg Dev'!D18</f>
        <v>0</v>
      </c>
    </row>
    <row r="19" spans="1:13">
      <c r="B19" s="746" t="s">
        <v>496</v>
      </c>
      <c r="D19" s="285">
        <f>SUM(E19:K19)</f>
        <v>8526.2600033176459</v>
      </c>
      <c r="E19" s="285">
        <f>+'27 Seg Dev'!E19</f>
        <v>0</v>
      </c>
      <c r="F19" s="285">
        <f>+'27 Seg Dev'!F19+'27 Seg Dev'!I19</f>
        <v>8526.2600033176459</v>
      </c>
      <c r="G19" s="285">
        <f>+'27 Seg Dev'!G19</f>
        <v>0</v>
      </c>
      <c r="H19" s="285">
        <f>+'27 Seg Dev'!H19</f>
        <v>0</v>
      </c>
      <c r="I19" s="285"/>
      <c r="J19" s="285">
        <f>+'27 Seg Dev'!J19</f>
        <v>0</v>
      </c>
      <c r="K19" s="285">
        <f>+'27 Seg Dev'!K19</f>
        <v>0</v>
      </c>
      <c r="L19" s="904">
        <f t="shared" si="0"/>
        <v>0</v>
      </c>
      <c r="M19" s="759">
        <f>D19-'27 Seg Dev'!D19</f>
        <v>0</v>
      </c>
    </row>
    <row r="20" spans="1:13">
      <c r="A20" s="840" t="s">
        <v>179</v>
      </c>
      <c r="D20" s="285">
        <f>+'27 Seg Dev'!D20</f>
        <v>232632.24757922694</v>
      </c>
      <c r="E20" s="285">
        <f>+'27 Seg Dev'!E20</f>
        <v>3878.040917733324</v>
      </c>
      <c r="F20" s="285">
        <f>+'27 Seg Dev'!F20+'27 Seg Dev'!I20</f>
        <v>192714.56707597632</v>
      </c>
      <c r="G20" s="285">
        <f>+'27 Seg Dev'!G20</f>
        <v>19751.506323351161</v>
      </c>
      <c r="H20" s="285">
        <f>+'27 Seg Dev'!H20</f>
        <v>2140.8977210715007</v>
      </c>
      <c r="I20" s="285"/>
      <c r="J20" s="285">
        <f>+'27 Seg Dev'!J20</f>
        <v>167.42846335057078</v>
      </c>
      <c r="K20" s="285">
        <f>+'27 Seg Dev'!K20</f>
        <v>13979.807077744048</v>
      </c>
      <c r="L20" s="904">
        <f t="shared" ref="L20:L21" si="1">SUM(E20:K20)-D20</f>
        <v>0</v>
      </c>
      <c r="M20" s="759">
        <f>D20-'27 Seg Dev'!D20</f>
        <v>0</v>
      </c>
    </row>
    <row r="21" spans="1:13" ht="15">
      <c r="A21" s="858" t="s">
        <v>180</v>
      </c>
      <c r="B21" s="769"/>
      <c r="C21" s="769"/>
      <c r="D21" s="821">
        <f t="shared" ref="D21:J21" si="2">D20+D19</f>
        <v>241158.50758254458</v>
      </c>
      <c r="E21" s="821">
        <f>+'27 Seg Dev'!E21</f>
        <v>3878.040917733324</v>
      </c>
      <c r="F21" s="821">
        <f t="shared" si="2"/>
        <v>201240.82707929396</v>
      </c>
      <c r="G21" s="821">
        <f t="shared" si="2"/>
        <v>19751.506323351161</v>
      </c>
      <c r="H21" s="821">
        <f t="shared" si="2"/>
        <v>2140.8977210715007</v>
      </c>
      <c r="I21" s="821">
        <f t="shared" si="2"/>
        <v>0</v>
      </c>
      <c r="J21" s="821">
        <f t="shared" si="2"/>
        <v>167.42846335057078</v>
      </c>
      <c r="K21" s="821">
        <f>K20+K19</f>
        <v>13979.807077744048</v>
      </c>
      <c r="L21" s="904">
        <f t="shared" si="1"/>
        <v>0</v>
      </c>
      <c r="M21" s="759">
        <f>D21-'27 Seg Dev'!D21</f>
        <v>0</v>
      </c>
    </row>
    <row r="22" spans="1:13">
      <c r="A22" s="859" t="s">
        <v>184</v>
      </c>
      <c r="L22" s="759"/>
      <c r="M22" s="759">
        <f>D22-'27 Seg Dev'!D22</f>
        <v>0</v>
      </c>
    </row>
    <row r="23" spans="1:13">
      <c r="B23" s="746" t="s">
        <v>495</v>
      </c>
      <c r="E23" s="285">
        <f>+'27 Seg Dev'!E23</f>
        <v>0</v>
      </c>
      <c r="F23" s="285">
        <f>+'27 Seg Dev'!F23+'27 Seg Dev'!I23</f>
        <v>70528.665055584017</v>
      </c>
      <c r="G23" s="285">
        <f>+'27 Seg Dev'!G23</f>
        <v>0</v>
      </c>
      <c r="H23" s="285">
        <f>+'27 Seg Dev'!H23</f>
        <v>0</v>
      </c>
      <c r="I23" s="285"/>
      <c r="J23" s="285">
        <f>+'27 Seg Dev'!J23</f>
        <v>0</v>
      </c>
      <c r="K23" s="285">
        <f>+'27 Seg Dev'!K23</f>
        <v>0</v>
      </c>
      <c r="L23" s="759"/>
      <c r="M23" s="759">
        <f>D23-'27 Seg Dev'!D23</f>
        <v>0</v>
      </c>
    </row>
    <row r="24" spans="1:13">
      <c r="B24" s="746" t="s">
        <v>496</v>
      </c>
      <c r="E24" s="285">
        <f>+'27 Seg Dev'!E24</f>
        <v>0</v>
      </c>
      <c r="F24" s="285">
        <f>+'27 Seg Dev'!F24+'27 Seg Dev'!I24</f>
        <v>8526.2600033176459</v>
      </c>
      <c r="G24" s="285">
        <f>+'27 Seg Dev'!G24</f>
        <v>0</v>
      </c>
      <c r="H24" s="285">
        <f>+'27 Seg Dev'!H24</f>
        <v>0</v>
      </c>
      <c r="I24" s="285"/>
      <c r="J24" s="285">
        <f>+'27 Seg Dev'!J24</f>
        <v>0</v>
      </c>
      <c r="K24" s="285">
        <f>+'27 Seg Dev'!K24</f>
        <v>0</v>
      </c>
      <c r="L24" s="759"/>
      <c r="M24" s="759">
        <f>D24-'27 Seg Dev'!D24</f>
        <v>0</v>
      </c>
    </row>
    <row r="25" spans="1:13">
      <c r="B25" s="746" t="s">
        <v>497</v>
      </c>
      <c r="E25" s="285">
        <f>+'27 Seg Dev'!E25</f>
        <v>0</v>
      </c>
      <c r="F25" s="285">
        <f>+'27 Seg Dev'!F25+'27 Seg Dev'!I25</f>
        <v>11286.889087545353</v>
      </c>
      <c r="G25" s="285">
        <f>+'27 Seg Dev'!G25</f>
        <v>0</v>
      </c>
      <c r="H25" s="285">
        <f>+'27 Seg Dev'!H25</f>
        <v>0</v>
      </c>
      <c r="I25" s="285"/>
      <c r="J25" s="285">
        <f>+'27 Seg Dev'!J25</f>
        <v>0</v>
      </c>
      <c r="K25" s="285">
        <f>+'27 Seg Dev'!K25</f>
        <v>0</v>
      </c>
      <c r="L25" s="759"/>
      <c r="M25" s="759">
        <f>D25-'27 Seg Dev'!D25</f>
        <v>0</v>
      </c>
    </row>
    <row r="26" spans="1:13">
      <c r="B26" s="746" t="s">
        <v>498</v>
      </c>
      <c r="D26" s="759">
        <f>F26</f>
        <v>50715.515964721024</v>
      </c>
      <c r="E26" s="285">
        <f>+'27 Seg Dev'!E26</f>
        <v>0</v>
      </c>
      <c r="F26" s="285">
        <f>+'27 Seg Dev'!F26+'27 Seg Dev'!I26</f>
        <v>50715.515964721024</v>
      </c>
      <c r="G26" s="285">
        <f>+'27 Seg Dev'!G26</f>
        <v>0</v>
      </c>
      <c r="H26" s="285">
        <f>+'27 Seg Dev'!H26</f>
        <v>0</v>
      </c>
      <c r="I26" s="285"/>
      <c r="J26" s="285">
        <f>+'27 Seg Dev'!J26</f>
        <v>0</v>
      </c>
      <c r="K26" s="285">
        <f>+'27 Seg Dev'!K26</f>
        <v>0</v>
      </c>
      <c r="L26" s="759"/>
      <c r="M26" s="759">
        <f>D26-'27 Seg Dev'!D26</f>
        <v>0</v>
      </c>
    </row>
    <row r="27" spans="1:13">
      <c r="A27" s="817" t="s">
        <v>481</v>
      </c>
      <c r="D27" s="285">
        <f>+'27 Seg Dev'!D27</f>
        <v>99510.962187373851</v>
      </c>
      <c r="E27" s="285">
        <f>+'27 Seg Dev'!E27</f>
        <v>1658.8739830415036</v>
      </c>
      <c r="F27" s="285">
        <f>+'27 Seg Dev'!F27+'27 Seg Dev'!I27</f>
        <v>82435.742236133752</v>
      </c>
      <c r="G27" s="285">
        <f>+'27 Seg Dev'!G27</f>
        <v>8448.9206433742202</v>
      </c>
      <c r="H27" s="285">
        <f>+'27 Seg Dev'!H27</f>
        <v>915.7921757860571</v>
      </c>
      <c r="I27" s="285"/>
      <c r="J27" s="285">
        <f>+'27 Seg Dev'!J27</f>
        <v>71.619337641031805</v>
      </c>
      <c r="K27" s="285">
        <f>+'27 Seg Dev'!K27</f>
        <v>5980.0138113972835</v>
      </c>
      <c r="L27" s="759"/>
      <c r="M27" s="759">
        <f>D27-'27 Seg Dev'!D27</f>
        <v>0</v>
      </c>
    </row>
    <row r="28" spans="1:13" ht="15">
      <c r="A28" s="858" t="s">
        <v>185</v>
      </c>
      <c r="D28" s="821">
        <f>D27+D26</f>
        <v>150226.47815209487</v>
      </c>
      <c r="E28" s="821">
        <f t="shared" ref="E28:K28" si="3">E27+E26</f>
        <v>1658.8739830415036</v>
      </c>
      <c r="F28" s="821">
        <f t="shared" si="3"/>
        <v>133151.25820085476</v>
      </c>
      <c r="G28" s="821">
        <f t="shared" si="3"/>
        <v>8448.9206433742202</v>
      </c>
      <c r="H28" s="821">
        <f t="shared" si="3"/>
        <v>915.7921757860571</v>
      </c>
      <c r="I28" s="821">
        <f t="shared" si="3"/>
        <v>0</v>
      </c>
      <c r="J28" s="821">
        <f t="shared" si="3"/>
        <v>71.619337641031805</v>
      </c>
      <c r="K28" s="821">
        <f t="shared" si="3"/>
        <v>5980.0138113972835</v>
      </c>
      <c r="L28" s="904">
        <f>SUM(E28:K28)-D28</f>
        <v>0</v>
      </c>
      <c r="M28" s="759">
        <f>D28-'27 Seg Dev'!D28</f>
        <v>0</v>
      </c>
    </row>
    <row r="29" spans="1:13" ht="15">
      <c r="A29" s="859" t="s">
        <v>189</v>
      </c>
      <c r="D29" s="821"/>
      <c r="E29" s="821"/>
      <c r="F29" s="821"/>
      <c r="G29" s="821"/>
      <c r="H29" s="821"/>
      <c r="I29" s="821"/>
      <c r="J29" s="821"/>
      <c r="K29" s="821"/>
      <c r="L29" s="759"/>
      <c r="M29" s="759">
        <f>D29-'27 Seg Dev'!D29</f>
        <v>0</v>
      </c>
    </row>
    <row r="30" spans="1:13">
      <c r="A30" s="818" t="s">
        <v>791</v>
      </c>
      <c r="D30" s="285">
        <f>+'27 Seg Dev'!D30</f>
        <v>307934.04538600001</v>
      </c>
      <c r="E30" s="285">
        <f>+'27 Seg Dev'!E30</f>
        <v>4807</v>
      </c>
      <c r="F30" s="285">
        <f>+'27 Seg Dev'!F30+'27 Seg Dev'!I30</f>
        <v>244272.04538600001</v>
      </c>
      <c r="G30" s="285">
        <f>+'27 Seg Dev'!G30</f>
        <v>27824</v>
      </c>
      <c r="H30" s="285">
        <f>+'27 Seg Dev'!H30</f>
        <v>3349</v>
      </c>
      <c r="I30" s="285"/>
      <c r="J30" s="285">
        <f>+'27 Seg Dev'!J30</f>
        <v>188</v>
      </c>
      <c r="K30" s="285">
        <f>+'27 Seg Dev'!K30</f>
        <v>27494</v>
      </c>
      <c r="L30" s="904">
        <f>SUM(E30:K30)-D30</f>
        <v>0</v>
      </c>
      <c r="M30" s="759">
        <f>D30-'27 Seg Dev'!D30</f>
        <v>0</v>
      </c>
    </row>
    <row r="31" spans="1:13">
      <c r="A31" s="818" t="s">
        <v>186</v>
      </c>
      <c r="D31" s="888">
        <f>+'27 Seg Dev'!D31</f>
        <v>1</v>
      </c>
      <c r="E31" s="285">
        <f>+'27 Seg Dev'!E31</f>
        <v>1.6398726188756672E-2</v>
      </c>
      <c r="F31" s="285">
        <f>+'27 Seg Dev'!F31+'27 Seg Dev'!I31</f>
        <v>0.63344947943327967</v>
      </c>
      <c r="G31" s="285">
        <f>+'27 Seg Dev'!G31</f>
        <v>8.6423367827413625E-2</v>
      </c>
      <c r="H31" s="285">
        <f>+'27 Seg Dev'!H31</f>
        <v>8.2719007195696508E-3</v>
      </c>
      <c r="I31" s="285"/>
      <c r="J31" s="285">
        <f>+'27 Seg Dev'!J31</f>
        <v>1.0620055850536784E-3</v>
      </c>
      <c r="K31" s="285">
        <f>+'27 Seg Dev'!K31</f>
        <v>0.25439452024592663</v>
      </c>
      <c r="L31" s="904">
        <f>SUM(E31:K31)-D31</f>
        <v>0</v>
      </c>
      <c r="M31" s="759">
        <f>D31-'27 Seg Dev'!D31</f>
        <v>0</v>
      </c>
    </row>
    <row r="32" spans="1:13">
      <c r="A32" s="818" t="s">
        <v>187</v>
      </c>
      <c r="D32" s="285">
        <f>+'27 Seg Dev'!D32</f>
        <v>95858.289535341552</v>
      </c>
      <c r="E32" s="285">
        <f>+'27 Seg Dev'!E32</f>
        <v>1571.9538430126252</v>
      </c>
      <c r="F32" s="285">
        <f>+'27 Seg Dev'!F32+'27 Seg Dev'!I32</f>
        <v>60721.383605526702</v>
      </c>
      <c r="G32" s="285">
        <f>+'27 Seg Dev'!G32</f>
        <v>8284.3962158195372</v>
      </c>
      <c r="H32" s="285">
        <f>+'27 Seg Dev'!H32</f>
        <v>792.93025418410775</v>
      </c>
      <c r="I32" s="285"/>
      <c r="J32" s="285">
        <f>+'27 Seg Dev'!J32</f>
        <v>101.80203886022531</v>
      </c>
      <c r="K32" s="285">
        <f>+'27 Seg Dev'!K32</f>
        <v>24385.823577938343</v>
      </c>
      <c r="L32" s="904">
        <f>SUM(E32:K32)-D32</f>
        <v>0</v>
      </c>
      <c r="M32" s="759">
        <f>D32-'27 Seg Dev'!D32</f>
        <v>0</v>
      </c>
    </row>
    <row r="33" spans="1:13" ht="15">
      <c r="A33" s="858" t="s">
        <v>188</v>
      </c>
      <c r="D33" s="821">
        <f>SUM(E33:K33)</f>
        <v>403792.33492134151</v>
      </c>
      <c r="E33" s="821">
        <f t="shared" ref="E33:K33" si="4">E32+E30</f>
        <v>6378.9538430126249</v>
      </c>
      <c r="F33" s="821">
        <f>F32+F30</f>
        <v>304993.42899152671</v>
      </c>
      <c r="G33" s="821">
        <f>G32+G30</f>
        <v>36108.396215819535</v>
      </c>
      <c r="H33" s="821">
        <f t="shared" si="4"/>
        <v>4141.930254184108</v>
      </c>
      <c r="I33" s="821">
        <f t="shared" si="4"/>
        <v>0</v>
      </c>
      <c r="J33" s="821">
        <f t="shared" si="4"/>
        <v>289.80203886022531</v>
      </c>
      <c r="K33" s="821">
        <f t="shared" si="4"/>
        <v>51879.823577938339</v>
      </c>
      <c r="L33" s="904">
        <f>SUM(E33:K33)-D33</f>
        <v>0</v>
      </c>
      <c r="M33" s="759">
        <f>D33-'27 Seg Dev'!D33</f>
        <v>0</v>
      </c>
    </row>
    <row r="34" spans="1:13" ht="9" customHeight="1">
      <c r="L34" s="904">
        <f t="shared" ref="L34:L48" si="5">SUM(E34:K34)-D34</f>
        <v>0</v>
      </c>
      <c r="M34" s="759">
        <f>D34-'27 Seg Dev'!D34</f>
        <v>0</v>
      </c>
    </row>
    <row r="35" spans="1:13" ht="15">
      <c r="A35" s="887" t="s">
        <v>236</v>
      </c>
      <c r="L35" s="904">
        <f t="shared" si="5"/>
        <v>0</v>
      </c>
      <c r="M35" s="759">
        <f>D35-'27 Seg Dev'!D35</f>
        <v>0</v>
      </c>
    </row>
    <row r="36" spans="1:13">
      <c r="A36" s="889" t="s">
        <v>520</v>
      </c>
      <c r="L36" s="904">
        <f t="shared" si="5"/>
        <v>0</v>
      </c>
      <c r="M36" s="759">
        <f>D36-'27 Seg Dev'!D36</f>
        <v>0</v>
      </c>
    </row>
    <row r="37" spans="1:13">
      <c r="A37" s="890" t="s">
        <v>299</v>
      </c>
      <c r="D37" s="861">
        <f>SUM(E37:J37)</f>
        <v>55257.949820708738</v>
      </c>
      <c r="E37" s="285">
        <f>+'27 Seg Dev'!E37</f>
        <v>661.02284632795602</v>
      </c>
      <c r="F37" s="285">
        <f>+'27 Seg Dev'!F37+'27 Seg Dev'!I37</f>
        <v>50825.967409365068</v>
      </c>
      <c r="G37" s="285">
        <f>+'27 Seg Dev'!G37</f>
        <v>2810.7714197653595</v>
      </c>
      <c r="H37" s="285">
        <f>+'27 Seg Dev'!H37</f>
        <v>960.18814525035441</v>
      </c>
      <c r="I37" s="285"/>
      <c r="J37" s="285">
        <f>+'27 Seg Dev'!J37</f>
        <v>0</v>
      </c>
      <c r="K37" s="285">
        <f>+'27 Seg Dev'!K37</f>
        <v>0</v>
      </c>
      <c r="L37" s="904">
        <f t="shared" si="5"/>
        <v>0</v>
      </c>
      <c r="M37" s="759">
        <f>D37-'27 Seg Dev'!D37</f>
        <v>0</v>
      </c>
    </row>
    <row r="38" spans="1:13">
      <c r="A38" s="890" t="s">
        <v>300</v>
      </c>
      <c r="D38" s="861">
        <f>SUM(E38:J38)</f>
        <v>136761.67424071985</v>
      </c>
      <c r="E38" s="285">
        <f>+'27 Seg Dev'!E38</f>
        <v>3562.2256722987713</v>
      </c>
      <c r="F38" s="285">
        <f>+'27 Seg Dev'!F38+'27 Seg Dev'!I38</f>
        <v>112309.54353511645</v>
      </c>
      <c r="G38" s="285">
        <f>+'27 Seg Dev'!G38</f>
        <v>19446.284155813479</v>
      </c>
      <c r="H38" s="285">
        <f>+'27 Seg Dev'!H38</f>
        <v>1170.1171027329681</v>
      </c>
      <c r="I38" s="285"/>
      <c r="J38" s="285">
        <f>+'27 Seg Dev'!J38</f>
        <v>273.50377475820966</v>
      </c>
      <c r="K38" s="285">
        <f>+'27 Seg Dev'!K38</f>
        <v>0</v>
      </c>
      <c r="L38" s="904">
        <f t="shared" si="5"/>
        <v>0</v>
      </c>
      <c r="M38" s="759">
        <f>D38-'27 Seg Dev'!D38</f>
        <v>0</v>
      </c>
    </row>
    <row r="39" spans="1:13" ht="15">
      <c r="A39" s="891" t="s">
        <v>301</v>
      </c>
      <c r="B39" s="769"/>
      <c r="C39" s="769"/>
      <c r="D39" s="861">
        <f>SUM(D37:D38)</f>
        <v>192019.62406142859</v>
      </c>
      <c r="E39" s="285">
        <f>+'27 Seg Dev'!E39</f>
        <v>0</v>
      </c>
      <c r="F39" s="285">
        <f>+'27 Seg Dev'!F39+'27 Seg Dev'!I39</f>
        <v>0</v>
      </c>
      <c r="G39" s="285">
        <f>+'27 Seg Dev'!G39</f>
        <v>0</v>
      </c>
      <c r="H39" s="285">
        <f>+'27 Seg Dev'!H39</f>
        <v>0</v>
      </c>
      <c r="I39" s="285"/>
      <c r="J39" s="285">
        <f>+'27 Seg Dev'!J39</f>
        <v>0</v>
      </c>
      <c r="K39" s="285">
        <f>+'27 Seg Dev'!K39</f>
        <v>0</v>
      </c>
      <c r="L39" s="904"/>
      <c r="M39" s="759">
        <f>D39-'27 Seg Dev'!D39</f>
        <v>0</v>
      </c>
    </row>
    <row r="40" spans="1:13">
      <c r="A40" s="883" t="s">
        <v>239</v>
      </c>
      <c r="E40" s="285">
        <f>+'27 Seg Dev'!E40</f>
        <v>0</v>
      </c>
      <c r="F40" s="285">
        <f>+'27 Seg Dev'!F40+'27 Seg Dev'!I40</f>
        <v>0</v>
      </c>
      <c r="G40" s="285">
        <f>+'27 Seg Dev'!G40</f>
        <v>0</v>
      </c>
      <c r="H40" s="285">
        <f>+'27 Seg Dev'!H40</f>
        <v>0</v>
      </c>
      <c r="I40" s="285"/>
      <c r="J40" s="285">
        <f>+'27 Seg Dev'!J40</f>
        <v>0</v>
      </c>
      <c r="K40" s="285">
        <f>+'27 Seg Dev'!K40</f>
        <v>0</v>
      </c>
      <c r="L40" s="904">
        <f t="shared" si="5"/>
        <v>0</v>
      </c>
      <c r="M40" s="759">
        <f>D40-'27 Seg Dev'!D40</f>
        <v>0</v>
      </c>
    </row>
    <row r="41" spans="1:13">
      <c r="A41" s="817" t="s">
        <v>240</v>
      </c>
      <c r="D41" s="285">
        <f>+'27 Seg Dev'!D41</f>
        <v>34093.462639999998</v>
      </c>
      <c r="E41" s="285">
        <f>+'27 Seg Dev'!E41</f>
        <v>0</v>
      </c>
      <c r="F41" s="285">
        <f>+'27 Seg Dev'!F41+'27 Seg Dev'!I41</f>
        <v>0</v>
      </c>
      <c r="G41" s="285">
        <f>+'27 Seg Dev'!G41</f>
        <v>0</v>
      </c>
      <c r="H41" s="285">
        <f>+'27 Seg Dev'!H41</f>
        <v>0</v>
      </c>
      <c r="I41" s="285"/>
      <c r="J41" s="285">
        <f>+'27 Seg Dev'!J41</f>
        <v>0</v>
      </c>
      <c r="K41" s="285">
        <f>+'27 Seg Dev'!K41</f>
        <v>82974.95094000001</v>
      </c>
      <c r="L41" s="904"/>
      <c r="M41" s="759">
        <f>D41-'27 Seg Dev'!D41</f>
        <v>0</v>
      </c>
    </row>
    <row r="42" spans="1:13">
      <c r="A42" s="817" t="s">
        <v>241</v>
      </c>
      <c r="D42" s="285">
        <f>+'27 Seg Dev'!D42</f>
        <v>239518.35303999999</v>
      </c>
      <c r="E42" s="285">
        <f>+'27 Seg Dev'!E42</f>
        <v>0</v>
      </c>
      <c r="F42" s="285">
        <f>+'27 Seg Dev'!F42+'27 Seg Dev'!I42</f>
        <v>0</v>
      </c>
      <c r="G42" s="285">
        <f>+'27 Seg Dev'!G42</f>
        <v>0</v>
      </c>
      <c r="H42" s="285">
        <f>+'27 Seg Dev'!H42</f>
        <v>0</v>
      </c>
      <c r="I42" s="285"/>
      <c r="J42" s="285">
        <f>+'27 Seg Dev'!J42</f>
        <v>0</v>
      </c>
      <c r="K42" s="285">
        <f>+'27 Seg Dev'!K42</f>
        <v>0</v>
      </c>
      <c r="L42" s="904"/>
      <c r="M42" s="759">
        <f>D42-'27 Seg Dev'!D42</f>
        <v>0</v>
      </c>
    </row>
    <row r="43" spans="1:13" ht="5.25" customHeight="1">
      <c r="A43" s="817"/>
      <c r="D43" s="285"/>
      <c r="E43" s="285">
        <f>+'27 Seg Dev'!E43</f>
        <v>0</v>
      </c>
      <c r="F43" s="285">
        <f>+'27 Seg Dev'!F43+'27 Seg Dev'!I43</f>
        <v>0</v>
      </c>
      <c r="G43" s="285">
        <f>+'27 Seg Dev'!G43</f>
        <v>0</v>
      </c>
      <c r="H43" s="285">
        <f>+'27 Seg Dev'!H43</f>
        <v>0</v>
      </c>
      <c r="I43" s="285"/>
      <c r="J43" s="285">
        <f>+'27 Seg Dev'!J43</f>
        <v>0</v>
      </c>
      <c r="K43" s="285">
        <f>+'27 Seg Dev'!K43</f>
        <v>0</v>
      </c>
      <c r="L43" s="904">
        <f t="shared" si="5"/>
        <v>0</v>
      </c>
      <c r="M43" s="759">
        <f>D43-'27 Seg Dev'!D43</f>
        <v>0</v>
      </c>
    </row>
    <row r="44" spans="1:13">
      <c r="A44" s="892" t="s">
        <v>266</v>
      </c>
      <c r="D44" s="285">
        <f>+'27 Seg Dev'!D44</f>
        <v>273611.81568</v>
      </c>
      <c r="E44" s="285">
        <f>+'27 Seg Dev'!E44</f>
        <v>0</v>
      </c>
      <c r="F44" s="285">
        <f>+'27 Seg Dev'!F44+'27 Seg Dev'!I44</f>
        <v>0</v>
      </c>
      <c r="G44" s="285">
        <f>+'27 Seg Dev'!G44</f>
        <v>0</v>
      </c>
      <c r="H44" s="285">
        <f>+'27 Seg Dev'!H44</f>
        <v>0</v>
      </c>
      <c r="I44" s="285"/>
      <c r="J44" s="285">
        <f>+'27 Seg Dev'!J44</f>
        <v>0</v>
      </c>
      <c r="K44" s="285">
        <f>+'27 Seg Dev'!K44</f>
        <v>0</v>
      </c>
      <c r="L44" s="904"/>
      <c r="M44" s="759">
        <f>D44-'27 Seg Dev'!D44</f>
        <v>0</v>
      </c>
    </row>
    <row r="45" spans="1:13">
      <c r="A45" s="893" t="s">
        <v>267</v>
      </c>
      <c r="D45" s="285">
        <f>+'27 Seg Dev'!D45</f>
        <v>78737.931370814942</v>
      </c>
      <c r="E45" s="285">
        <f>+'27 Seg Dev'!E45</f>
        <v>941.90196483195894</v>
      </c>
      <c r="F45" s="285">
        <f>+'27 Seg Dev'!F45+'27 Seg Dev'!I45</f>
        <v>72422.729158765869</v>
      </c>
      <c r="G45" s="285">
        <f>+'27 Seg Dev'!G45</f>
        <v>4005.1128908440269</v>
      </c>
      <c r="H45" s="285">
        <f>+'27 Seg Dev'!H45</f>
        <v>1368.1873563730928</v>
      </c>
      <c r="I45" s="285"/>
      <c r="J45" s="285">
        <f>+'27 Seg Dev'!J45</f>
        <v>0</v>
      </c>
      <c r="K45" s="285">
        <f>+'27 Seg Dev'!K45</f>
        <v>0</v>
      </c>
      <c r="L45" s="904">
        <f t="shared" si="5"/>
        <v>0</v>
      </c>
      <c r="M45" s="759">
        <f>D45-'27 Seg Dev'!D45</f>
        <v>0</v>
      </c>
    </row>
    <row r="46" spans="1:13">
      <c r="A46" s="893" t="s">
        <v>269</v>
      </c>
      <c r="D46" s="285">
        <f>+'27 Seg Dev'!D46</f>
        <v>194873.88430918506</v>
      </c>
      <c r="E46" s="285">
        <f>+'27 Seg Dev'!E46</f>
        <v>5075.872004351867</v>
      </c>
      <c r="F46" s="285">
        <f>+'27 Seg Dev'!F46+'27 Seg Dev'!I46</f>
        <v>160031.65444696788</v>
      </c>
      <c r="G46" s="285">
        <f>+'27 Seg Dev'!G46</f>
        <v>27709.319514130482</v>
      </c>
      <c r="H46" s="285">
        <f>+'27 Seg Dev'!H46</f>
        <v>1667.3184660259903</v>
      </c>
      <c r="I46" s="285"/>
      <c r="J46" s="285">
        <f>+'27 Seg Dev'!J46</f>
        <v>389.71987770889268</v>
      </c>
      <c r="K46" s="285">
        <f>+'27 Seg Dev'!K46</f>
        <v>0</v>
      </c>
      <c r="L46" s="904">
        <f t="shared" si="5"/>
        <v>0</v>
      </c>
      <c r="M46" s="759">
        <f>D46-'27 Seg Dev'!D46</f>
        <v>0</v>
      </c>
    </row>
    <row r="47" spans="1:13" ht="15">
      <c r="A47" s="894" t="s">
        <v>268</v>
      </c>
      <c r="B47" s="769"/>
      <c r="C47" s="769"/>
      <c r="D47" s="285">
        <f>+'27 Seg Dev'!D47</f>
        <v>273611.81568000012</v>
      </c>
      <c r="E47" s="285">
        <f>+'27 Seg Dev'!E47</f>
        <v>6017.773969183826</v>
      </c>
      <c r="F47" s="285">
        <f>+'27 Seg Dev'!F47+'27 Seg Dev'!I47</f>
        <v>232454.38360573375</v>
      </c>
      <c r="G47" s="285">
        <f>+'27 Seg Dev'!G47</f>
        <v>31714.432404974508</v>
      </c>
      <c r="H47" s="285">
        <f>+'27 Seg Dev'!H47</f>
        <v>3035.5058223990832</v>
      </c>
      <c r="I47" s="285"/>
      <c r="J47" s="285">
        <f>+'27 Seg Dev'!J47</f>
        <v>389.71987770889268</v>
      </c>
      <c r="K47" s="285">
        <f>+'27 Seg Dev'!K47</f>
        <v>0</v>
      </c>
      <c r="L47" s="904">
        <f t="shared" si="5"/>
        <v>0</v>
      </c>
      <c r="M47" s="759">
        <f>D47-'27 Seg Dev'!D47</f>
        <v>0</v>
      </c>
    </row>
    <row r="48" spans="1:13">
      <c r="A48" s="895" t="s">
        <v>25</v>
      </c>
      <c r="D48" s="285">
        <f>+'27 Seg Dev'!D48</f>
        <v>10379.173290000001</v>
      </c>
      <c r="E48" s="285">
        <f>+'27 Seg Dev'!E48</f>
        <v>0</v>
      </c>
      <c r="F48" s="285">
        <f>+'27 Seg Dev'!F48+'27 Seg Dev'!I48</f>
        <v>0</v>
      </c>
      <c r="G48" s="285">
        <f>+'27 Seg Dev'!G48</f>
        <v>0</v>
      </c>
      <c r="H48" s="285">
        <f>+'27 Seg Dev'!H48</f>
        <v>0</v>
      </c>
      <c r="I48" s="285"/>
      <c r="J48" s="285">
        <f>+'27 Seg Dev'!J48</f>
        <v>0</v>
      </c>
      <c r="K48" s="285">
        <f>+'27 Seg Dev'!K48</f>
        <v>10379.173290000001</v>
      </c>
      <c r="L48" s="904">
        <f t="shared" si="5"/>
        <v>0</v>
      </c>
      <c r="M48" s="759">
        <f>D48-'27 Seg Dev'!D48</f>
        <v>0</v>
      </c>
    </row>
    <row r="49" spans="1:13" ht="15">
      <c r="A49" s="896" t="s">
        <v>270</v>
      </c>
      <c r="B49" s="769"/>
      <c r="C49" s="769"/>
      <c r="D49" s="821">
        <f>SUM(E49:K49)</f>
        <v>366965.93991000007</v>
      </c>
      <c r="E49" s="821">
        <f t="shared" ref="E49:J49" si="6">E47</f>
        <v>6017.773969183826</v>
      </c>
      <c r="F49" s="821">
        <f>F47+F41</f>
        <v>232454.38360573375</v>
      </c>
      <c r="G49" s="821">
        <f t="shared" si="6"/>
        <v>31714.432404974508</v>
      </c>
      <c r="H49" s="821">
        <f t="shared" si="6"/>
        <v>3035.5058223990832</v>
      </c>
      <c r="I49" s="821">
        <f t="shared" si="6"/>
        <v>0</v>
      </c>
      <c r="J49" s="821">
        <f t="shared" si="6"/>
        <v>389.71987770889268</v>
      </c>
      <c r="K49" s="821">
        <f>K48+K41</f>
        <v>93354.124230000016</v>
      </c>
      <c r="L49" s="904">
        <f>SUM(E49:K49)-D49</f>
        <v>0</v>
      </c>
      <c r="M49" s="759">
        <f>D49-'27 Seg Dev'!D49</f>
        <v>0</v>
      </c>
    </row>
    <row r="50" spans="1:13">
      <c r="A50" s="883" t="s">
        <v>271</v>
      </c>
      <c r="L50" s="759"/>
      <c r="M50" s="759">
        <f>D50-'27 Seg Dev'!D50</f>
        <v>0</v>
      </c>
    </row>
    <row r="51" spans="1:13">
      <c r="A51" s="897" t="s">
        <v>46</v>
      </c>
      <c r="D51" s="285">
        <f>+'27 Seg Dev'!D51</f>
        <v>12428.303550000001</v>
      </c>
      <c r="E51" s="285">
        <f>+'27 Seg Dev'!E51</f>
        <v>203.80834690720252</v>
      </c>
      <c r="F51" s="285">
        <f>+'27 Seg Dev'!F51+'27 Seg Dev'!I51</f>
        <v>7872.7024139862815</v>
      </c>
      <c r="G51" s="285">
        <f>+'27 Seg Dev'!G51</f>
        <v>1074.0958491724007</v>
      </c>
      <c r="H51" s="285">
        <f>+'27 Seg Dev'!H51</f>
        <v>102.80569307827506</v>
      </c>
      <c r="I51" s="285"/>
      <c r="J51" s="285">
        <f>+'27 Seg Dev'!J51</f>
        <v>13.198927782842459</v>
      </c>
      <c r="K51" s="285">
        <f>+'27 Seg Dev'!K51</f>
        <v>3161.6923190729967</v>
      </c>
      <c r="L51" s="904">
        <f t="shared" ref="L51:L55" si="7">SUM(E51:K51)-D51</f>
        <v>0</v>
      </c>
      <c r="M51" s="759">
        <f>D51-'27 Seg Dev'!D51</f>
        <v>0</v>
      </c>
    </row>
    <row r="52" spans="1:13">
      <c r="A52" s="897" t="s">
        <v>47</v>
      </c>
      <c r="D52" s="285">
        <f>+'27 Seg Dev'!D52</f>
        <v>97891.482669999998</v>
      </c>
      <c r="E52" s="285">
        <f>+'27 Seg Dev'!E52</f>
        <v>1605.2956205167488</v>
      </c>
      <c r="F52" s="285">
        <f>+'27 Seg Dev'!F52+'27 Seg Dev'!I52</f>
        <v>62009.308738263411</v>
      </c>
      <c r="G52" s="285">
        <f>+'27 Seg Dev'!G52</f>
        <v>8460.1116139602964</v>
      </c>
      <c r="H52" s="285">
        <f>+'27 Seg Dev'!H52</f>
        <v>809.74862593771297</v>
      </c>
      <c r="I52" s="285"/>
      <c r="J52" s="285">
        <f>+'27 Seg Dev'!J52</f>
        <v>103.96130132472537</v>
      </c>
      <c r="K52" s="285">
        <f>+'27 Seg Dev'!K52</f>
        <v>24903.056769997089</v>
      </c>
      <c r="L52" s="904">
        <f t="shared" si="7"/>
        <v>0</v>
      </c>
      <c r="M52" s="759">
        <f>D52-'27 Seg Dev'!D52</f>
        <v>0</v>
      </c>
    </row>
    <row r="53" spans="1:13">
      <c r="A53" s="897" t="s">
        <v>273</v>
      </c>
      <c r="D53" s="285">
        <f>+'27 Seg Dev'!D53</f>
        <v>77372.536950000009</v>
      </c>
      <c r="E53" s="285">
        <f>+'27 Seg Dev'!E53</f>
        <v>1223.7472706758429</v>
      </c>
      <c r="F53" s="285">
        <f>+'27 Seg Dev'!F53+'27 Seg Dev'!I53</f>
        <v>47270.871081376514</v>
      </c>
      <c r="G53" s="285">
        <f>+'27 Seg Dev'!G53</f>
        <v>6449.3033961335059</v>
      </c>
      <c r="H53" s="285">
        <f>+'27 Seg Dev'!H53</f>
        <v>617.28672168544767</v>
      </c>
      <c r="I53" s="285"/>
      <c r="J53" s="285">
        <f>+'27 Seg Dev'!J53</f>
        <v>79.25166998903812</v>
      </c>
      <c r="K53" s="285">
        <f>+'27 Seg Dev'!K53</f>
        <v>21732.07681013965</v>
      </c>
      <c r="L53" s="904">
        <f t="shared" si="7"/>
        <v>0</v>
      </c>
      <c r="M53" s="759">
        <f>D53-'27 Seg Dev'!D53</f>
        <v>0</v>
      </c>
    </row>
    <row r="54" spans="1:13">
      <c r="A54" s="897" t="s">
        <v>292</v>
      </c>
      <c r="D54" s="285">
        <f>+'27 Seg Dev'!D54</f>
        <v>219690.97290999998</v>
      </c>
      <c r="E54" s="285">
        <f>+'27 Seg Dev'!E54</f>
        <v>3602.6521108926495</v>
      </c>
      <c r="F54" s="285">
        <f>+'27 Seg Dev'!F54+'27 Seg Dev'!I54</f>
        <v>139163.13242603024</v>
      </c>
      <c r="G54" s="285">
        <f>+'27 Seg Dev'!G54</f>
        <v>18986.433760163291</v>
      </c>
      <c r="H54" s="285">
        <f>+'27 Seg Dev'!H54</f>
        <v>1817.2619168971855</v>
      </c>
      <c r="I54" s="285"/>
      <c r="J54" s="285">
        <f>+'27 Seg Dev'!J54</f>
        <v>233.31304021629634</v>
      </c>
      <c r="K54" s="285">
        <f>+'27 Seg Dev'!K54</f>
        <v>55888.179655800312</v>
      </c>
      <c r="L54" s="904">
        <f t="shared" si="7"/>
        <v>0</v>
      </c>
      <c r="M54" s="759">
        <f>D54-'27 Seg Dev'!D54</f>
        <v>0</v>
      </c>
    </row>
    <row r="55" spans="1:13" ht="15">
      <c r="A55" s="898" t="s">
        <v>290</v>
      </c>
      <c r="D55" s="821">
        <f>SUM(D51:D54)</f>
        <v>407383.29608</v>
      </c>
      <c r="E55" s="285">
        <f>+'27 Seg Dev'!E55</f>
        <v>6635.5033489924444</v>
      </c>
      <c r="F55" s="285">
        <f>+'27 Seg Dev'!F55+'27 Seg Dev'!I55</f>
        <v>256316.01465965644</v>
      </c>
      <c r="G55" s="285">
        <f>+'27 Seg Dev'!G55</f>
        <v>34969.944619429494</v>
      </c>
      <c r="H55" s="285">
        <f>+'27 Seg Dev'!H55</f>
        <v>3347.1029575986213</v>
      </c>
      <c r="I55" s="285"/>
      <c r="J55" s="285">
        <f>+'27 Seg Dev'!J55</f>
        <v>429.72493931290228</v>
      </c>
      <c r="K55" s="285">
        <f>+'27 Seg Dev'!K55</f>
        <v>105685.00555501005</v>
      </c>
      <c r="L55" s="904">
        <f t="shared" si="7"/>
        <v>0</v>
      </c>
      <c r="M55" s="759">
        <f>D55-'27 Seg Dev'!D55</f>
        <v>0</v>
      </c>
    </row>
    <row r="56" spans="1:13" ht="15">
      <c r="A56" s="887" t="s">
        <v>262</v>
      </c>
      <c r="D56" s="821">
        <f t="shared" ref="D56:K56" si="8">D55+D49</f>
        <v>774349.23599000007</v>
      </c>
      <c r="E56" s="821">
        <f t="shared" si="8"/>
        <v>12653.277318176271</v>
      </c>
      <c r="F56" s="821">
        <f t="shared" si="8"/>
        <v>488770.39826539019</v>
      </c>
      <c r="G56" s="821">
        <f t="shared" si="8"/>
        <v>66684.377024404006</v>
      </c>
      <c r="H56" s="821">
        <f t="shared" si="8"/>
        <v>6382.6087799977049</v>
      </c>
      <c r="I56" s="821">
        <f t="shared" si="8"/>
        <v>0</v>
      </c>
      <c r="J56" s="821">
        <f t="shared" si="8"/>
        <v>819.44481702179496</v>
      </c>
      <c r="K56" s="821">
        <f t="shared" si="8"/>
        <v>199039.12978501007</v>
      </c>
      <c r="L56" s="904">
        <f>SUM(E56:K56)-D56</f>
        <v>0</v>
      </c>
      <c r="M56" s="759">
        <f>D56-'27 Seg Dev'!D56</f>
        <v>0</v>
      </c>
    </row>
    <row r="57" spans="1:13">
      <c r="A57" s="776" t="s">
        <v>177</v>
      </c>
      <c r="L57" s="759"/>
      <c r="M57" s="759">
        <f>D57-'27 Seg Dev'!D57</f>
        <v>0</v>
      </c>
    </row>
    <row r="58" spans="1:13">
      <c r="A58" s="817" t="s">
        <v>278</v>
      </c>
      <c r="D58" s="285"/>
      <c r="L58" s="759"/>
      <c r="M58" s="759">
        <f>D58-'27 Seg Dev'!D58</f>
        <v>0</v>
      </c>
    </row>
    <row r="59" spans="1:13">
      <c r="A59" s="817" t="s">
        <v>276</v>
      </c>
      <c r="D59" s="285">
        <f>+'27 Seg Dev'!D59</f>
        <v>7696</v>
      </c>
      <c r="E59" s="285">
        <f>+'27 Seg Dev'!E59</f>
        <v>0</v>
      </c>
      <c r="F59" s="285">
        <f>+'27 Seg Dev'!F59+'27 Seg Dev'!I59</f>
        <v>7696</v>
      </c>
      <c r="G59" s="285">
        <f>+'27 Seg Dev'!G59</f>
        <v>0</v>
      </c>
      <c r="H59" s="285">
        <f>+'27 Seg Dev'!H59</f>
        <v>0</v>
      </c>
      <c r="I59" s="285"/>
      <c r="J59" s="285">
        <f>+'27 Seg Dev'!J59</f>
        <v>0</v>
      </c>
      <c r="K59" s="285">
        <f>+'27 Seg Dev'!K59</f>
        <v>0</v>
      </c>
      <c r="L59" s="759"/>
      <c r="M59" s="759">
        <f>D59-'27 Seg Dev'!D59</f>
        <v>0</v>
      </c>
    </row>
    <row r="60" spans="1:13">
      <c r="A60" s="817" t="s">
        <v>277</v>
      </c>
      <c r="D60" s="285">
        <f>+'27 Seg Dev'!D60</f>
        <v>553</v>
      </c>
      <c r="E60" s="285">
        <f>+'27 Seg Dev'!E60</f>
        <v>0</v>
      </c>
      <c r="F60" s="285">
        <f>+'27 Seg Dev'!F60+'27 Seg Dev'!I60</f>
        <v>0</v>
      </c>
      <c r="G60" s="285">
        <f>+'27 Seg Dev'!G60</f>
        <v>553</v>
      </c>
      <c r="H60" s="285">
        <f>+'27 Seg Dev'!H60</f>
        <v>0</v>
      </c>
      <c r="I60" s="285"/>
      <c r="J60" s="285">
        <f>+'27 Seg Dev'!J60</f>
        <v>0</v>
      </c>
      <c r="K60" s="285">
        <f>+'27 Seg Dev'!K60</f>
        <v>0</v>
      </c>
      <c r="L60" s="759"/>
      <c r="M60" s="759">
        <f>D60-'27 Seg Dev'!D60</f>
        <v>0</v>
      </c>
    </row>
    <row r="61" spans="1:13">
      <c r="A61" s="817" t="s">
        <v>275</v>
      </c>
      <c r="D61" s="285">
        <f>+'27 Seg Dev'!D61</f>
        <v>332</v>
      </c>
      <c r="E61" s="285">
        <f>+'27 Seg Dev'!E61</f>
        <v>0</v>
      </c>
      <c r="F61" s="285">
        <f>+'27 Seg Dev'!F61+'27 Seg Dev'!I61</f>
        <v>332</v>
      </c>
      <c r="G61" s="285">
        <f>+'27 Seg Dev'!G61</f>
        <v>0</v>
      </c>
      <c r="H61" s="285">
        <f>+'27 Seg Dev'!H61</f>
        <v>0</v>
      </c>
      <c r="I61" s="285"/>
      <c r="J61" s="285">
        <f>+'27 Seg Dev'!J61</f>
        <v>0</v>
      </c>
      <c r="K61" s="285">
        <f>+'27 Seg Dev'!K61</f>
        <v>0</v>
      </c>
      <c r="L61" s="759"/>
      <c r="M61" s="759">
        <f>D61-'27 Seg Dev'!D61</f>
        <v>0</v>
      </c>
    </row>
    <row r="62" spans="1:13">
      <c r="A62" s="817" t="s">
        <v>469</v>
      </c>
      <c r="D62" s="285">
        <f>+'27 Seg Dev'!D62</f>
        <v>1292</v>
      </c>
      <c r="E62" s="285">
        <f>+'27 Seg Dev'!E62</f>
        <v>0</v>
      </c>
      <c r="F62" s="285">
        <f>+'27 Seg Dev'!F62+'27 Seg Dev'!I62</f>
        <v>513.12658689199998</v>
      </c>
      <c r="G62" s="285">
        <f>+'27 Seg Dev'!G62</f>
        <v>778.874729656</v>
      </c>
      <c r="H62" s="285">
        <f>+'27 Seg Dev'!H62</f>
        <v>0</v>
      </c>
      <c r="I62" s="285"/>
      <c r="J62" s="285">
        <f>+'27 Seg Dev'!J62</f>
        <v>0</v>
      </c>
      <c r="K62" s="285">
        <f>+'27 Seg Dev'!K62</f>
        <v>0</v>
      </c>
      <c r="L62" s="759"/>
      <c r="M62" s="759">
        <f>D62-'27 Seg Dev'!D62</f>
        <v>0</v>
      </c>
    </row>
    <row r="63" spans="1:13">
      <c r="A63" s="817" t="s">
        <v>274</v>
      </c>
      <c r="D63" s="285">
        <f>+'27 Seg Dev'!D63</f>
        <v>3307</v>
      </c>
      <c r="E63" s="285">
        <f>+'27 Seg Dev'!E63</f>
        <v>86.137292217972416</v>
      </c>
      <c r="F63" s="285">
        <f>+'27 Seg Dev'!F63+'27 Seg Dev'!I63</f>
        <v>2715.7291144074488</v>
      </c>
      <c r="G63" s="285">
        <f>+'27 Seg Dev'!G63</f>
        <v>470.22575630422972</v>
      </c>
      <c r="H63" s="285">
        <f>+'27 Seg Dev'!H63</f>
        <v>28.294310377678787</v>
      </c>
      <c r="I63" s="285"/>
      <c r="J63" s="285">
        <f>+'27 Seg Dev'!J63</f>
        <v>6.613526692671166</v>
      </c>
      <c r="K63" s="285">
        <f>+'27 Seg Dev'!K63</f>
        <v>0</v>
      </c>
      <c r="L63" s="759"/>
      <c r="M63" s="759">
        <f>D63-'27 Seg Dev'!D63</f>
        <v>0</v>
      </c>
    </row>
    <row r="64" spans="1:13" ht="15">
      <c r="A64" s="817" t="s">
        <v>263</v>
      </c>
      <c r="B64" s="769"/>
      <c r="D64" s="285">
        <f>+'27 Seg Dev'!D64</f>
        <v>128028.07520593569</v>
      </c>
      <c r="E64" s="285">
        <f>+'27 Seg Dev'!E64</f>
        <v>0</v>
      </c>
      <c r="F64" s="285">
        <f>+'27 Seg Dev'!F64+'27 Seg Dev'!I64</f>
        <v>0</v>
      </c>
      <c r="G64" s="285">
        <f>+'27 Seg Dev'!G64</f>
        <v>0</v>
      </c>
      <c r="H64" s="285">
        <f>+'27 Seg Dev'!H64</f>
        <v>0</v>
      </c>
      <c r="I64" s="285"/>
      <c r="J64" s="285">
        <f>+'27 Seg Dev'!J64</f>
        <v>0</v>
      </c>
      <c r="K64" s="285">
        <f>+'27 Seg Dev'!K64</f>
        <v>128028.07520593569</v>
      </c>
      <c r="L64" s="759"/>
      <c r="M64" s="759">
        <f>D64-'27 Seg Dev'!D64</f>
        <v>0</v>
      </c>
    </row>
    <row r="65" spans="1:13" ht="15">
      <c r="A65" s="817" t="s">
        <v>665</v>
      </c>
      <c r="B65" s="769"/>
      <c r="D65" s="285">
        <f>+'27 Seg Dev'!D65</f>
        <v>0</v>
      </c>
      <c r="E65" s="285">
        <f>+'27 Seg Dev'!E65</f>
        <v>0</v>
      </c>
      <c r="F65" s="285">
        <f>+'27 Seg Dev'!F65+'27 Seg Dev'!I65</f>
        <v>0</v>
      </c>
      <c r="G65" s="285">
        <f>+'27 Seg Dev'!G65</f>
        <v>0</v>
      </c>
      <c r="H65" s="285">
        <f>+'27 Seg Dev'!H65</f>
        <v>0</v>
      </c>
      <c r="I65" s="285"/>
      <c r="J65" s="285">
        <f>+'27 Seg Dev'!J65</f>
        <v>0</v>
      </c>
      <c r="K65" s="285">
        <f>+'27 Seg Dev'!K65</f>
        <v>0</v>
      </c>
      <c r="L65" s="759"/>
      <c r="M65" s="759">
        <f>D65-'27 Seg Dev'!D65</f>
        <v>0</v>
      </c>
    </row>
    <row r="66" spans="1:13" ht="15">
      <c r="A66" s="858" t="s">
        <v>288</v>
      </c>
      <c r="D66" s="567">
        <f>SUM(D59:D65)</f>
        <v>141208.07520593569</v>
      </c>
      <c r="E66" s="567">
        <f t="shared" ref="E66:K66" si="9">SUM(E59:E65)</f>
        <v>86.137292217972416</v>
      </c>
      <c r="F66" s="567">
        <f t="shared" si="9"/>
        <v>11256.85570129945</v>
      </c>
      <c r="G66" s="567">
        <f t="shared" si="9"/>
        <v>1802.1004859602297</v>
      </c>
      <c r="H66" s="567">
        <f t="shared" si="9"/>
        <v>28.294310377678787</v>
      </c>
      <c r="I66" s="567">
        <f t="shared" si="9"/>
        <v>0</v>
      </c>
      <c r="J66" s="567">
        <f t="shared" si="9"/>
        <v>6.613526692671166</v>
      </c>
      <c r="K66" s="567">
        <f t="shared" si="9"/>
        <v>128028.07520593569</v>
      </c>
      <c r="L66" s="904">
        <f>SUM(E66:K66)-D66</f>
        <v>1.3165480049792677E-3</v>
      </c>
      <c r="M66" s="759">
        <f>D66-'27 Seg Dev'!D66</f>
        <v>0</v>
      </c>
    </row>
    <row r="67" spans="1:13">
      <c r="A67" s="817" t="s">
        <v>279</v>
      </c>
      <c r="E67" s="285"/>
      <c r="L67" s="759"/>
      <c r="M67" s="759">
        <f>D67-'27 Seg Dev'!D67</f>
        <v>0</v>
      </c>
    </row>
    <row r="68" spans="1:13">
      <c r="A68" s="817" t="s">
        <v>42</v>
      </c>
      <c r="D68" s="285">
        <f>+'27 Seg Dev'!D68</f>
        <v>170.48782</v>
      </c>
      <c r="E68" s="285">
        <f>+'27 Seg Dev'!E68</f>
        <v>2.8420769210424477</v>
      </c>
      <c r="F68" s="285">
        <f>+'27 Seg Dev'!F68+'27 Seg Dev'!I68</f>
        <v>141.23358547631054</v>
      </c>
      <c r="G68" s="285">
        <f>+'27 Seg Dev'!G68</f>
        <v>14.475169671554376</v>
      </c>
      <c r="H68" s="285">
        <f>+'27 Seg Dev'!H68</f>
        <v>1.568987056208285</v>
      </c>
      <c r="I68" s="285"/>
      <c r="J68" s="285">
        <f>+'27 Seg Dev'!J68</f>
        <v>0.12270230812633738</v>
      </c>
      <c r="K68" s="285">
        <f>+'27 Seg Dev'!K68</f>
        <v>10.245298566758033</v>
      </c>
      <c r="L68" s="759"/>
      <c r="M68" s="759">
        <f>D68-'27 Seg Dev'!D68</f>
        <v>0</v>
      </c>
    </row>
    <row r="69" spans="1:13">
      <c r="A69" s="817" t="s">
        <v>43</v>
      </c>
      <c r="D69" s="285">
        <f>+'27 Seg Dev'!D69</f>
        <v>3664.4019900000003</v>
      </c>
      <c r="E69" s="285">
        <f>+'27 Seg Dev'!E69</f>
        <v>0</v>
      </c>
      <c r="F69" s="285">
        <f>+'27 Seg Dev'!F69+'27 Seg Dev'!I69</f>
        <v>3664.4019900000003</v>
      </c>
      <c r="G69" s="285">
        <f>+'27 Seg Dev'!G69</f>
        <v>0</v>
      </c>
      <c r="H69" s="285">
        <f>+'27 Seg Dev'!H69</f>
        <v>0</v>
      </c>
      <c r="I69" s="285"/>
      <c r="J69" s="285">
        <f>+'27 Seg Dev'!J69</f>
        <v>0</v>
      </c>
      <c r="K69" s="285">
        <f>+'27 Seg Dev'!K69</f>
        <v>0</v>
      </c>
      <c r="L69" s="759"/>
      <c r="M69" s="759">
        <f>D69-'27 Seg Dev'!D69</f>
        <v>0</v>
      </c>
    </row>
    <row r="70" spans="1:13">
      <c r="A70" s="817" t="s">
        <v>44</v>
      </c>
      <c r="D70" s="285">
        <f>+'27 Seg Dev'!D70</f>
        <v>0</v>
      </c>
      <c r="E70" s="285">
        <f>+'27 Seg Dev'!E70</f>
        <v>0</v>
      </c>
      <c r="F70" s="285">
        <f>+'27 Seg Dev'!F70+'27 Seg Dev'!I70</f>
        <v>0</v>
      </c>
      <c r="G70" s="285">
        <f>+'27 Seg Dev'!G70</f>
        <v>0</v>
      </c>
      <c r="H70" s="285">
        <f>+'27 Seg Dev'!H70</f>
        <v>0</v>
      </c>
      <c r="I70" s="285"/>
      <c r="J70" s="285">
        <f>+'27 Seg Dev'!J70</f>
        <v>0</v>
      </c>
      <c r="K70" s="285">
        <f>+'27 Seg Dev'!K70</f>
        <v>0</v>
      </c>
      <c r="L70" s="759"/>
      <c r="M70" s="759">
        <f>D70-'27 Seg Dev'!D70</f>
        <v>0</v>
      </c>
    </row>
    <row r="71" spans="1:13">
      <c r="A71" s="817" t="s">
        <v>45</v>
      </c>
      <c r="D71" s="285">
        <f>+'27 Seg Dev'!D71</f>
        <v>0</v>
      </c>
      <c r="E71" s="285">
        <f>+'27 Seg Dev'!E71</f>
        <v>0</v>
      </c>
      <c r="F71" s="285">
        <f>+'27 Seg Dev'!F71+'27 Seg Dev'!I71</f>
        <v>0</v>
      </c>
      <c r="G71" s="285">
        <f>+'27 Seg Dev'!G71</f>
        <v>0</v>
      </c>
      <c r="H71" s="285">
        <f>+'27 Seg Dev'!H71</f>
        <v>0</v>
      </c>
      <c r="I71" s="285"/>
      <c r="J71" s="285">
        <f>+'27 Seg Dev'!J71</f>
        <v>0</v>
      </c>
      <c r="K71" s="285">
        <f>+'27 Seg Dev'!K71</f>
        <v>0</v>
      </c>
      <c r="L71" s="759"/>
      <c r="M71" s="759">
        <f>D71-'27 Seg Dev'!D71</f>
        <v>0</v>
      </c>
    </row>
    <row r="72" spans="1:13" ht="15">
      <c r="A72" s="858" t="s">
        <v>289</v>
      </c>
      <c r="D72" s="567">
        <f>SUM(D68:D71)</f>
        <v>3834.8898100000001</v>
      </c>
      <c r="E72" s="285">
        <f>+'27 Seg Dev'!E72</f>
        <v>2.8420769210424477</v>
      </c>
      <c r="F72" s="285">
        <f>+'27 Seg Dev'!F72+'27 Seg Dev'!I72</f>
        <v>3805.6355754763108</v>
      </c>
      <c r="G72" s="285">
        <f>+'27 Seg Dev'!G72</f>
        <v>14.475169671554376</v>
      </c>
      <c r="H72" s="285">
        <f>+'27 Seg Dev'!H72</f>
        <v>1.568987056208285</v>
      </c>
      <c r="I72" s="285"/>
      <c r="J72" s="285">
        <f>+'27 Seg Dev'!J72</f>
        <v>0.12270230812633738</v>
      </c>
      <c r="K72" s="285">
        <f>+'27 Seg Dev'!K72</f>
        <v>10.245298566758033</v>
      </c>
      <c r="L72" s="904">
        <f>SUM(E72:K72)-D72</f>
        <v>0</v>
      </c>
      <c r="M72" s="759">
        <f>D72-'27 Seg Dev'!D72</f>
        <v>0</v>
      </c>
    </row>
    <row r="73" spans="1:13" ht="15">
      <c r="A73" s="899" t="s">
        <v>280</v>
      </c>
      <c r="B73" s="899"/>
      <c r="C73" s="899"/>
      <c r="D73" s="821">
        <f>SUM(E73:K73)</f>
        <v>145042.96633248369</v>
      </c>
      <c r="E73" s="821">
        <f>E72+E66</f>
        <v>88.979369139014864</v>
      </c>
      <c r="F73" s="821">
        <f t="shared" ref="F73:K73" si="10">F72+F66</f>
        <v>15062.49127677576</v>
      </c>
      <c r="G73" s="821">
        <f t="shared" si="10"/>
        <v>1816.575655631784</v>
      </c>
      <c r="H73" s="821">
        <f t="shared" si="10"/>
        <v>29.863297433887073</v>
      </c>
      <c r="I73" s="821">
        <f t="shared" si="10"/>
        <v>0</v>
      </c>
      <c r="J73" s="821">
        <f t="shared" si="10"/>
        <v>6.7362290007975032</v>
      </c>
      <c r="K73" s="821">
        <f t="shared" si="10"/>
        <v>128038.32050450245</v>
      </c>
      <c r="L73" s="904">
        <f>SUM(E73:K73)-D73</f>
        <v>0</v>
      </c>
      <c r="M73" s="759">
        <f>D73-'27 Seg Dev'!D73</f>
        <v>0</v>
      </c>
    </row>
    <row r="74" spans="1:13">
      <c r="A74" s="776" t="s">
        <v>661</v>
      </c>
      <c r="L74" s="759"/>
      <c r="M74" s="759">
        <f>D74-'27 Seg Dev'!D74</f>
        <v>0</v>
      </c>
    </row>
    <row r="75" spans="1:13">
      <c r="A75" s="898" t="s">
        <v>662</v>
      </c>
      <c r="D75" s="285">
        <f>+'27 Seg Dev'!D75</f>
        <v>1136.4901200000002</v>
      </c>
      <c r="E75" s="285">
        <f>+'27 Seg Dev'!E75</f>
        <v>0</v>
      </c>
      <c r="F75" s="285">
        <f>+'27 Seg Dev'!F75+'27 Seg Dev'!I75</f>
        <v>987.80889529299213</v>
      </c>
      <c r="G75" s="285">
        <f>+'27 Seg Dev'!G75</f>
        <v>135.69349735260283</v>
      </c>
      <c r="H75" s="285">
        <f>+'27 Seg Dev'!H75</f>
        <v>12.98772735440515</v>
      </c>
      <c r="I75" s="861"/>
      <c r="J75" s="285">
        <f>+'27 Seg Dev'!J75</f>
        <v>0</v>
      </c>
      <c r="K75" s="285">
        <f>+'27 Seg Dev'!K75</f>
        <v>0</v>
      </c>
      <c r="L75" s="904">
        <f>SUM(E75:K75)-D75</f>
        <v>0</v>
      </c>
      <c r="M75" s="759">
        <f>D75-'27 Seg Dev'!D75</f>
        <v>0</v>
      </c>
    </row>
    <row r="76" spans="1:13">
      <c r="D76" s="900"/>
    </row>
    <row r="77" spans="1:13">
      <c r="E77" s="759"/>
      <c r="F77" s="759"/>
      <c r="G77" s="759"/>
      <c r="H77" s="759"/>
      <c r="I77" s="759"/>
      <c r="J77" s="759"/>
      <c r="K77" s="759"/>
    </row>
    <row r="81" spans="4:4">
      <c r="D81" s="759"/>
    </row>
    <row r="82" spans="4:4">
      <c r="D82" s="759"/>
    </row>
  </sheetData>
  <mergeCells count="3">
    <mergeCell ref="A1:K1"/>
    <mergeCell ref="A10:B10"/>
    <mergeCell ref="A12:C12"/>
  </mergeCells>
  <pageMargins left="0.25" right="0.25" top="0.75" bottom="0.75" header="0.3" footer="0.3"/>
  <pageSetup scale="56"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51C73E-434E-4531-8F4D-7DCE698E6828}">
  <sheetPr>
    <tabColor theme="9"/>
    <pageSetUpPr autoPageBreaks="0" fitToPage="1"/>
  </sheetPr>
  <dimension ref="A1:M82"/>
  <sheetViews>
    <sheetView topLeftCell="A8" workbookViewId="0">
      <selection activeCell="A8" sqref="A8"/>
    </sheetView>
  </sheetViews>
  <sheetFormatPr defaultColWidth="9.140625" defaultRowHeight="14.25" outlineLevelRow="1"/>
  <cols>
    <col min="1" max="1" width="6.7109375" style="746" customWidth="1"/>
    <col min="2" max="2" width="9.140625" style="746"/>
    <col min="3" max="3" width="29.28515625" style="746" customWidth="1"/>
    <col min="4" max="11" width="15.7109375" style="746" customWidth="1"/>
    <col min="12" max="12" width="21.28515625" style="746" customWidth="1"/>
    <col min="13" max="13" width="15.42578125" style="746" customWidth="1"/>
    <col min="14" max="16384" width="9.140625" style="746"/>
  </cols>
  <sheetData>
    <row r="1" spans="1:13" ht="18" hidden="1" outlineLevel="1">
      <c r="A1" s="989"/>
      <c r="B1" s="989"/>
      <c r="C1" s="989"/>
      <c r="D1" s="989"/>
      <c r="E1" s="989"/>
      <c r="F1" s="989"/>
      <c r="G1" s="989"/>
      <c r="H1" s="989"/>
      <c r="I1" s="989"/>
      <c r="J1" s="989"/>
      <c r="K1" s="989"/>
    </row>
    <row r="2" spans="1:13" ht="18" hidden="1" outlineLevel="1">
      <c r="B2" s="747"/>
      <c r="C2" s="748"/>
      <c r="D2" s="738"/>
      <c r="F2" s="883"/>
      <c r="G2" s="877"/>
      <c r="H2" s="576"/>
      <c r="I2" s="883"/>
      <c r="J2" s="576"/>
      <c r="K2" s="769"/>
    </row>
    <row r="3" spans="1:13" ht="18" hidden="1" outlineLevel="1">
      <c r="B3" s="747"/>
      <c r="C3" s="418"/>
      <c r="D3" s="738"/>
      <c r="F3" s="883"/>
      <c r="G3" s="883"/>
      <c r="H3" s="576"/>
      <c r="I3" s="878"/>
      <c r="J3" s="576"/>
      <c r="K3" s="769"/>
    </row>
    <row r="4" spans="1:13" ht="18" hidden="1" customHeight="1" outlineLevel="1">
      <c r="B4" s="747"/>
      <c r="C4" s="884"/>
      <c r="D4" s="738"/>
      <c r="F4" s="145"/>
      <c r="G4" s="885"/>
      <c r="H4" s="576"/>
      <c r="I4" s="878"/>
      <c r="J4" s="738"/>
      <c r="K4" s="769"/>
    </row>
    <row r="5" spans="1:13" ht="18" hidden="1" customHeight="1" outlineLevel="1">
      <c r="B5" s="761"/>
      <c r="C5" s="884"/>
      <c r="F5" s="145"/>
      <c r="G5" s="885"/>
      <c r="H5" s="576"/>
      <c r="I5" s="830"/>
      <c r="K5" s="769"/>
    </row>
    <row r="6" spans="1:13" ht="15" hidden="1" outlineLevel="1">
      <c r="B6" s="761"/>
      <c r="C6" s="418"/>
      <c r="E6" s="876"/>
      <c r="F6" s="876"/>
      <c r="G6" s="745"/>
      <c r="H6" s="576"/>
      <c r="I6" s="879"/>
      <c r="K6" s="769"/>
    </row>
    <row r="7" spans="1:13" ht="15" hidden="1" outlineLevel="1">
      <c r="B7" s="761"/>
      <c r="C7" s="418"/>
      <c r="E7" s="876"/>
      <c r="F7" s="886"/>
      <c r="G7" s="885"/>
      <c r="H7" s="576"/>
      <c r="I7" s="828"/>
      <c r="K7" s="769"/>
    </row>
    <row r="8" spans="1:13" ht="15" outlineLevel="1">
      <c r="B8" s="761" t="s">
        <v>281</v>
      </c>
      <c r="C8" s="418">
        <v>2028</v>
      </c>
      <c r="E8" s="769"/>
      <c r="F8" s="769"/>
      <c r="G8" s="876"/>
      <c r="H8" s="830"/>
      <c r="I8" s="769"/>
      <c r="J8" s="769"/>
      <c r="K8" s="769"/>
    </row>
    <row r="9" spans="1:13" ht="15" outlineLevel="1">
      <c r="B9" s="761"/>
      <c r="C9" s="418"/>
      <c r="E9" s="769"/>
      <c r="F9" s="769"/>
      <c r="G9" s="769"/>
      <c r="H9" s="769"/>
      <c r="I9" s="769"/>
      <c r="J9" s="769"/>
      <c r="K9" s="769"/>
    </row>
    <row r="10" spans="1:13" ht="15" outlineLevel="1">
      <c r="A10" s="991"/>
      <c r="B10" s="991"/>
      <c r="C10" s="418"/>
    </row>
    <row r="11" spans="1:13" outlineLevel="1"/>
    <row r="12" spans="1:13" ht="29.25" customHeight="1">
      <c r="A12" s="935">
        <f>C8</f>
        <v>2028</v>
      </c>
      <c r="B12" s="935"/>
      <c r="C12" s="935"/>
      <c r="D12" s="805" t="s">
        <v>170</v>
      </c>
      <c r="E12" s="805" t="s">
        <v>171</v>
      </c>
      <c r="F12" s="805" t="s">
        <v>172</v>
      </c>
      <c r="G12" s="805" t="s">
        <v>173</v>
      </c>
      <c r="H12" s="805" t="s">
        <v>174</v>
      </c>
      <c r="I12" s="805" t="s">
        <v>175</v>
      </c>
      <c r="J12" s="805" t="s">
        <v>176</v>
      </c>
      <c r="K12" s="805" t="s">
        <v>177</v>
      </c>
    </row>
    <row r="13" spans="1:13" ht="15">
      <c r="A13" s="887" t="s">
        <v>272</v>
      </c>
      <c r="B13" s="805"/>
      <c r="C13" s="805"/>
      <c r="D13" s="805"/>
      <c r="E13" s="805"/>
      <c r="F13" s="805"/>
      <c r="G13" s="805"/>
      <c r="H13" s="805"/>
      <c r="I13" s="805"/>
      <c r="J13" s="805"/>
      <c r="K13" s="805"/>
      <c r="L13" s="418" t="s">
        <v>785</v>
      </c>
      <c r="M13" s="746" t="s">
        <v>784</v>
      </c>
    </row>
    <row r="14" spans="1:13" ht="15">
      <c r="A14" s="746" t="s">
        <v>178</v>
      </c>
      <c r="B14" s="769"/>
      <c r="C14" s="769"/>
      <c r="D14" s="285">
        <f>+'28 Seg Dev'!D14</f>
        <v>9266825.3186121527</v>
      </c>
      <c r="E14" s="285">
        <f>+'28 Seg Dev'!E14</f>
        <v>136228.65676783293</v>
      </c>
      <c r="F14" s="285">
        <f>+'28 Seg Dev'!F14+'28 Seg Dev'!I14</f>
        <v>7705910.1325505972</v>
      </c>
      <c r="G14" s="285">
        <f>+'28 Seg Dev'!G14</f>
        <v>695814.17902113055</v>
      </c>
      <c r="H14" s="285">
        <f>+'28 Seg Dev'!H14</f>
        <v>74393.878619493116</v>
      </c>
      <c r="I14" s="285"/>
      <c r="J14" s="285">
        <f>+'28 Seg Dev'!J14</f>
        <v>5904.2789549137933</v>
      </c>
      <c r="K14" s="285">
        <f>+'28 Seg Dev'!K14</f>
        <v>648574.1926981844</v>
      </c>
      <c r="L14" s="904">
        <f>SUM(E14:K14)-D14</f>
        <v>0</v>
      </c>
      <c r="M14" s="759">
        <f>D14-'28 Seg Dev'!D14</f>
        <v>0</v>
      </c>
    </row>
    <row r="15" spans="1:13">
      <c r="A15" s="816" t="s">
        <v>237</v>
      </c>
      <c r="D15" s="880">
        <f>SUM(E15:K15)</f>
        <v>0.99999999999999989</v>
      </c>
      <c r="E15" s="285">
        <f>+'28 Seg Dev'!E15</f>
        <v>1.4700682497405188E-2</v>
      </c>
      <c r="F15" s="285">
        <f>+'28 Seg Dev'!F15+'28 Seg Dev'!I15</f>
        <v>0.83155879900676422</v>
      </c>
      <c r="G15" s="285">
        <f>+'28 Seg Dev'!G15</f>
        <v>7.5086575509695622E-2</v>
      </c>
      <c r="H15" s="285">
        <f>+'28 Seg Dev'!H15</f>
        <v>8.0279789530590534E-3</v>
      </c>
      <c r="I15" s="285"/>
      <c r="J15" s="285">
        <f>+'28 Seg Dev'!J15</f>
        <v>6.3714149688947068E-4</v>
      </c>
      <c r="K15" s="285">
        <f>+'28 Seg Dev'!K15</f>
        <v>6.9988822536186338E-2</v>
      </c>
      <c r="L15" s="759"/>
      <c r="M15" s="759">
        <f>D15-'28 Seg Dev'!D15</f>
        <v>0</v>
      </c>
    </row>
    <row r="16" spans="1:13">
      <c r="A16" s="859" t="s">
        <v>81</v>
      </c>
      <c r="E16" s="285">
        <f>+'28 Seg Dev'!E16</f>
        <v>0</v>
      </c>
      <c r="F16" s="285">
        <f>+'28 Seg Dev'!F16+'28 Seg Dev'!I16</f>
        <v>0</v>
      </c>
      <c r="G16" s="285">
        <f>+'28 Seg Dev'!G16</f>
        <v>0</v>
      </c>
      <c r="H16" s="285">
        <f>+'28 Seg Dev'!H16</f>
        <v>0</v>
      </c>
      <c r="I16" s="285"/>
      <c r="J16" s="285">
        <f>+'28 Seg Dev'!J16</f>
        <v>0</v>
      </c>
      <c r="K16" s="285">
        <f>+'28 Seg Dev'!K16</f>
        <v>0</v>
      </c>
      <c r="L16" s="759"/>
      <c r="M16" s="759">
        <f>D16-'28 Seg Dev'!D16</f>
        <v>0</v>
      </c>
    </row>
    <row r="17" spans="1:13">
      <c r="B17" s="746" t="s">
        <v>499</v>
      </c>
      <c r="D17" s="285">
        <f>SUM(E17:K17)</f>
        <v>7054.0287660433196</v>
      </c>
      <c r="E17" s="285">
        <f>+'28 Seg Dev'!E17</f>
        <v>0</v>
      </c>
      <c r="F17" s="285">
        <f>+'28 Seg Dev'!F17+'28 Seg Dev'!I17</f>
        <v>7054.0287660433196</v>
      </c>
      <c r="G17" s="285">
        <f>+'28 Seg Dev'!G17</f>
        <v>0</v>
      </c>
      <c r="H17" s="285">
        <f>+'28 Seg Dev'!H17</f>
        <v>0</v>
      </c>
      <c r="I17" s="285"/>
      <c r="J17" s="285">
        <f>+'28 Seg Dev'!J17</f>
        <v>0</v>
      </c>
      <c r="K17" s="285">
        <f>+'28 Seg Dev'!K17</f>
        <v>0</v>
      </c>
      <c r="L17" s="759"/>
      <c r="M17" s="759">
        <f>D17-'28 Seg Dev'!D17</f>
        <v>0</v>
      </c>
    </row>
    <row r="18" spans="1:13">
      <c r="B18" s="746" t="s">
        <v>500</v>
      </c>
      <c r="D18" s="285">
        <f>SUM(E18:K18)</f>
        <v>0</v>
      </c>
      <c r="E18" s="285">
        <f>+'28 Seg Dev'!E18</f>
        <v>0</v>
      </c>
      <c r="F18" s="285">
        <f>+'28 Seg Dev'!F18+'28 Seg Dev'!I18</f>
        <v>0</v>
      </c>
      <c r="G18" s="285">
        <f>+'28 Seg Dev'!G18</f>
        <v>0</v>
      </c>
      <c r="H18" s="285">
        <f>+'28 Seg Dev'!H18</f>
        <v>0</v>
      </c>
      <c r="I18" s="285"/>
      <c r="J18" s="285">
        <f>+'28 Seg Dev'!J18</f>
        <v>0</v>
      </c>
      <c r="K18" s="285">
        <f>+'28 Seg Dev'!K18</f>
        <v>0</v>
      </c>
      <c r="L18" s="759"/>
      <c r="M18" s="759">
        <f>D18-'28 Seg Dev'!D18</f>
        <v>0</v>
      </c>
    </row>
    <row r="19" spans="1:13">
      <c r="B19" s="746" t="s">
        <v>496</v>
      </c>
      <c r="D19" s="285">
        <f>SUM(E19:K19)</f>
        <v>7054.0287660433196</v>
      </c>
      <c r="E19" s="285">
        <f>+'28 Seg Dev'!E19</f>
        <v>0</v>
      </c>
      <c r="F19" s="285">
        <f>+'28 Seg Dev'!F19+'28 Seg Dev'!I19</f>
        <v>7054.0287660433196</v>
      </c>
      <c r="G19" s="285">
        <f>+'28 Seg Dev'!G19</f>
        <v>0</v>
      </c>
      <c r="H19" s="285">
        <f>+'28 Seg Dev'!H19</f>
        <v>0</v>
      </c>
      <c r="I19" s="285"/>
      <c r="J19" s="285">
        <f>+'28 Seg Dev'!J19</f>
        <v>0</v>
      </c>
      <c r="K19" s="285">
        <f>+'28 Seg Dev'!K19</f>
        <v>0</v>
      </c>
      <c r="L19" s="759"/>
      <c r="M19" s="759">
        <f>D19-'28 Seg Dev'!D19</f>
        <v>0</v>
      </c>
    </row>
    <row r="20" spans="1:13">
      <c r="A20" s="840" t="s">
        <v>179</v>
      </c>
      <c r="D20" s="285">
        <f>+'28 Seg Dev'!D20</f>
        <v>274002.27440475591</v>
      </c>
      <c r="E20" s="285">
        <f>+'28 Seg Dev'!E20</f>
        <v>4028.0204395912087</v>
      </c>
      <c r="F20" s="285">
        <f>+'28 Seg Dev'!F20+'28 Seg Dev'!I20</f>
        <v>227849.00222914069</v>
      </c>
      <c r="G20" s="285">
        <f>+'28 Seg Dev'!G20</f>
        <v>20573.892466921043</v>
      </c>
      <c r="H20" s="285">
        <f>+'28 Seg Dev'!H20</f>
        <v>2199.6844920116919</v>
      </c>
      <c r="I20" s="285"/>
      <c r="J20" s="285">
        <f>+'28 Seg Dev'!J20</f>
        <v>174.57821926536568</v>
      </c>
      <c r="K20" s="285">
        <f>+'28 Seg Dev'!K20</f>
        <v>19177.096557825895</v>
      </c>
      <c r="L20" s="904">
        <f t="shared" ref="L20:L21" si="0">SUM(E20:K20)-D20</f>
        <v>0</v>
      </c>
      <c r="M20" s="759">
        <f>D20-'28 Seg Dev'!D20</f>
        <v>0</v>
      </c>
    </row>
    <row r="21" spans="1:13" ht="15">
      <c r="A21" s="858" t="s">
        <v>180</v>
      </c>
      <c r="B21" s="769"/>
      <c r="C21" s="769"/>
      <c r="D21" s="821">
        <f t="shared" ref="D21:J21" si="1">D20+D19</f>
        <v>281056.30317079922</v>
      </c>
      <c r="E21" s="821">
        <f>+'28 Seg Dev'!E21</f>
        <v>4028.0204395912087</v>
      </c>
      <c r="F21" s="821">
        <f t="shared" si="1"/>
        <v>234903.030995184</v>
      </c>
      <c r="G21" s="821">
        <f t="shared" si="1"/>
        <v>20573.892466921043</v>
      </c>
      <c r="H21" s="821">
        <f t="shared" si="1"/>
        <v>2199.6844920116919</v>
      </c>
      <c r="I21" s="821">
        <f t="shared" si="1"/>
        <v>0</v>
      </c>
      <c r="J21" s="821">
        <f t="shared" si="1"/>
        <v>174.57821926536568</v>
      </c>
      <c r="K21" s="821">
        <f>K20+K19</f>
        <v>19177.096557825895</v>
      </c>
      <c r="L21" s="904">
        <f t="shared" si="0"/>
        <v>0</v>
      </c>
      <c r="M21" s="759">
        <f>D21-'28 Seg Dev'!D21</f>
        <v>0</v>
      </c>
    </row>
    <row r="22" spans="1:13">
      <c r="A22" s="859" t="s">
        <v>184</v>
      </c>
      <c r="L22" s="759"/>
      <c r="M22" s="759">
        <f>D22-'28 Seg Dev'!D22</f>
        <v>0</v>
      </c>
    </row>
    <row r="23" spans="1:13">
      <c r="B23" s="746" t="s">
        <v>495</v>
      </c>
      <c r="E23" s="285">
        <f>+'28 Seg Dev'!E23</f>
        <v>0</v>
      </c>
      <c r="F23" s="285">
        <f>+'28 Seg Dev'!F23+'28 Seg Dev'!I23</f>
        <v>69806.194408808558</v>
      </c>
      <c r="G23" s="285">
        <f>+'28 Seg Dev'!G23</f>
        <v>0</v>
      </c>
      <c r="H23" s="285">
        <f>+'28 Seg Dev'!H23</f>
        <v>0</v>
      </c>
      <c r="I23" s="285"/>
      <c r="J23" s="285">
        <f>+'28 Seg Dev'!J23</f>
        <v>0</v>
      </c>
      <c r="K23" s="285">
        <f>+'28 Seg Dev'!K23</f>
        <v>0</v>
      </c>
      <c r="L23" s="759"/>
      <c r="M23" s="759">
        <f>D23-'28 Seg Dev'!D23</f>
        <v>0</v>
      </c>
    </row>
    <row r="24" spans="1:13">
      <c r="B24" s="746" t="s">
        <v>496</v>
      </c>
      <c r="E24" s="285">
        <f>+'28 Seg Dev'!E24</f>
        <v>0</v>
      </c>
      <c r="F24" s="285">
        <f>+'28 Seg Dev'!F24+'28 Seg Dev'!I24</f>
        <v>7054.0287660433196</v>
      </c>
      <c r="G24" s="285">
        <f>+'28 Seg Dev'!G24</f>
        <v>0</v>
      </c>
      <c r="H24" s="285">
        <f>+'28 Seg Dev'!H24</f>
        <v>0</v>
      </c>
      <c r="I24" s="285"/>
      <c r="J24" s="285">
        <f>+'28 Seg Dev'!J24</f>
        <v>0</v>
      </c>
      <c r="K24" s="285">
        <f>+'28 Seg Dev'!K24</f>
        <v>0</v>
      </c>
      <c r="L24" s="759"/>
      <c r="M24" s="759">
        <f>D24-'28 Seg Dev'!D24</f>
        <v>0</v>
      </c>
    </row>
    <row r="25" spans="1:13">
      <c r="B25" s="746" t="s">
        <v>497</v>
      </c>
      <c r="E25" s="285">
        <f>+'28 Seg Dev'!E25</f>
        <v>0</v>
      </c>
      <c r="F25" s="285">
        <f>+'28 Seg Dev'!F25+'28 Seg Dev'!I25</f>
        <v>11286.889087545353</v>
      </c>
      <c r="G25" s="285">
        <f>+'28 Seg Dev'!G25</f>
        <v>0</v>
      </c>
      <c r="H25" s="285">
        <f>+'28 Seg Dev'!H25</f>
        <v>0</v>
      </c>
      <c r="I25" s="285"/>
      <c r="J25" s="285">
        <f>+'28 Seg Dev'!J25</f>
        <v>0</v>
      </c>
      <c r="K25" s="285">
        <f>+'28 Seg Dev'!K25</f>
        <v>0</v>
      </c>
      <c r="L25" s="759"/>
      <c r="M25" s="759">
        <f>D25-'28 Seg Dev'!D25</f>
        <v>0</v>
      </c>
    </row>
    <row r="26" spans="1:13">
      <c r="B26" s="746" t="s">
        <v>498</v>
      </c>
      <c r="D26" s="759">
        <f>F26</f>
        <v>51465.276555219891</v>
      </c>
      <c r="E26" s="285">
        <f>+'28 Seg Dev'!E26</f>
        <v>0</v>
      </c>
      <c r="F26" s="285">
        <f>+'28 Seg Dev'!F26+'28 Seg Dev'!I26</f>
        <v>51465.276555219891</v>
      </c>
      <c r="G26" s="285">
        <f>+'28 Seg Dev'!G26</f>
        <v>0</v>
      </c>
      <c r="H26" s="285">
        <f>+'28 Seg Dev'!H26</f>
        <v>0</v>
      </c>
      <c r="I26" s="285"/>
      <c r="J26" s="285">
        <f>+'28 Seg Dev'!J26</f>
        <v>0</v>
      </c>
      <c r="K26" s="285">
        <f>+'28 Seg Dev'!K26</f>
        <v>0</v>
      </c>
      <c r="L26" s="759"/>
      <c r="M26" s="759">
        <f>D26-'28 Seg Dev'!D26</f>
        <v>0</v>
      </c>
    </row>
    <row r="27" spans="1:13">
      <c r="A27" s="817" t="s">
        <v>481</v>
      </c>
      <c r="D27" s="285">
        <f>+'28 Seg Dev'!D27</f>
        <v>121445.51160225878</v>
      </c>
      <c r="E27" s="285">
        <f>+'28 Seg Dev'!E27</f>
        <v>1785.3319067997443</v>
      </c>
      <c r="F27" s="285">
        <f>+'28 Seg Dev'!F27+'28 Seg Dev'!I27</f>
        <v>100989.08377273635</v>
      </c>
      <c r="G27" s="285">
        <f>+'28 Seg Dev'!G27</f>
        <v>9118.92757723662</v>
      </c>
      <c r="H27" s="285">
        <f>+'28 Seg Dev'!H27</f>
        <v>974.96201108642254</v>
      </c>
      <c r="I27" s="285"/>
      <c r="J27" s="285">
        <f>+'28 Seg Dev'!J27</f>
        <v>77.377975052770736</v>
      </c>
      <c r="K27" s="285">
        <f>+'28 Seg Dev'!K27</f>
        <v>8499.8283593468477</v>
      </c>
      <c r="L27" s="759"/>
      <c r="M27" s="759">
        <f>D27-'28 Seg Dev'!D27</f>
        <v>0</v>
      </c>
    </row>
    <row r="28" spans="1:13" ht="15">
      <c r="A28" s="858" t="s">
        <v>185</v>
      </c>
      <c r="D28" s="821">
        <f>D27+D26</f>
        <v>172910.78815747867</v>
      </c>
      <c r="E28" s="821">
        <f t="shared" ref="E28:K28" si="2">E27+E26</f>
        <v>1785.3319067997443</v>
      </c>
      <c r="F28" s="821">
        <f t="shared" si="2"/>
        <v>152454.36032795624</v>
      </c>
      <c r="G28" s="821">
        <f t="shared" si="2"/>
        <v>9118.92757723662</v>
      </c>
      <c r="H28" s="821">
        <f t="shared" si="2"/>
        <v>974.96201108642254</v>
      </c>
      <c r="I28" s="821">
        <f t="shared" si="2"/>
        <v>0</v>
      </c>
      <c r="J28" s="821">
        <f t="shared" si="2"/>
        <v>77.377975052770736</v>
      </c>
      <c r="K28" s="821">
        <f t="shared" si="2"/>
        <v>8499.8283593468477</v>
      </c>
      <c r="L28" s="904">
        <f>SUM(E28:K28)-D28</f>
        <v>0</v>
      </c>
      <c r="M28" s="759">
        <f>D28-'28 Seg Dev'!D28</f>
        <v>0</v>
      </c>
    </row>
    <row r="29" spans="1:13" ht="15">
      <c r="A29" s="859" t="s">
        <v>189</v>
      </c>
      <c r="D29" s="821"/>
      <c r="E29" s="821"/>
      <c r="F29" s="821"/>
      <c r="G29" s="821"/>
      <c r="H29" s="821"/>
      <c r="I29" s="821"/>
      <c r="J29" s="821"/>
      <c r="K29" s="821"/>
      <c r="L29" s="759"/>
      <c r="M29" s="759">
        <f>D29-'28 Seg Dev'!D29</f>
        <v>0</v>
      </c>
    </row>
    <row r="30" spans="1:13">
      <c r="A30" s="818" t="s">
        <v>791</v>
      </c>
      <c r="D30" s="285">
        <f>+'28 Seg Dev'!D30</f>
        <v>328999.11971900123</v>
      </c>
      <c r="E30" s="285">
        <f>+'28 Seg Dev'!E30</f>
        <v>4807</v>
      </c>
      <c r="F30" s="285">
        <f>+'28 Seg Dev'!F30+'28 Seg Dev'!I30</f>
        <v>263565.04538600001</v>
      </c>
      <c r="G30" s="285">
        <f>+'28 Seg Dev'!G30</f>
        <v>27866</v>
      </c>
      <c r="H30" s="285">
        <f>+'28 Seg Dev'!H30</f>
        <v>3349</v>
      </c>
      <c r="I30" s="285"/>
      <c r="J30" s="285">
        <f>+'28 Seg Dev'!J30</f>
        <v>188</v>
      </c>
      <c r="K30" s="285">
        <f>+'28 Seg Dev'!K30</f>
        <v>29224.074333001208</v>
      </c>
      <c r="L30" s="904">
        <f>SUM(E30:K30)-D30</f>
        <v>0</v>
      </c>
      <c r="M30" s="759">
        <f>D30-'28 Seg Dev'!D30</f>
        <v>0</v>
      </c>
    </row>
    <row r="31" spans="1:13">
      <c r="A31" s="818" t="s">
        <v>186</v>
      </c>
      <c r="D31" s="888">
        <f>+'28 Seg Dev'!D31</f>
        <v>1.0000000000000002</v>
      </c>
      <c r="E31" s="285">
        <f>+'28 Seg Dev'!E31</f>
        <v>1.6413961598815644E-2</v>
      </c>
      <c r="F31" s="285">
        <f>+'28 Seg Dev'!F31+'28 Seg Dev'!I31</f>
        <v>0.63403799237384129</v>
      </c>
      <c r="G31" s="285">
        <f>+'28 Seg Dev'!G31</f>
        <v>8.6503660371625435E-2</v>
      </c>
      <c r="H31" s="285">
        <f>+'28 Seg Dev'!H31</f>
        <v>8.2795858164472474E-3</v>
      </c>
      <c r="I31" s="285"/>
      <c r="J31" s="285">
        <f>+'28 Seg Dev'!J31</f>
        <v>1.0629922525781542E-3</v>
      </c>
      <c r="K31" s="285">
        <f>+'28 Seg Dev'!K31</f>
        <v>0.25370180758669231</v>
      </c>
      <c r="L31" s="904">
        <f>SUM(E31:K31)-D31</f>
        <v>0</v>
      </c>
      <c r="M31" s="759">
        <f>D31-'28 Seg Dev'!D31</f>
        <v>0</v>
      </c>
    </row>
    <row r="32" spans="1:13">
      <c r="A32" s="818" t="s">
        <v>187</v>
      </c>
      <c r="D32" s="285">
        <f>+'28 Seg Dev'!D32</f>
        <v>102925.5647596777</v>
      </c>
      <c r="E32" s="285">
        <f>+'28 Seg Dev'!E32</f>
        <v>1689.4162675017624</v>
      </c>
      <c r="F32" s="285">
        <f>+'28 Seg Dev'!F32+'28 Seg Dev'!I32</f>
        <v>65258.718444169834</v>
      </c>
      <c r="G32" s="285">
        <f>+'28 Seg Dev'!G32</f>
        <v>8903.4380975288987</v>
      </c>
      <c r="H32" s="285">
        <f>+'28 Seg Dev'!H32</f>
        <v>852.18104613405012</v>
      </c>
      <c r="I32" s="285"/>
      <c r="J32" s="285">
        <f>+'28 Seg Dev'!J32</f>
        <v>109.40907793176848</v>
      </c>
      <c r="K32" s="285">
        <f>+'28 Seg Dev'!K32</f>
        <v>26112.401826411391</v>
      </c>
      <c r="L32" s="904">
        <f>SUM(E32:K32)-D32</f>
        <v>0</v>
      </c>
      <c r="M32" s="759">
        <f>D32-'28 Seg Dev'!D32</f>
        <v>0</v>
      </c>
    </row>
    <row r="33" spans="1:13" ht="15">
      <c r="A33" s="858" t="s">
        <v>188</v>
      </c>
      <c r="D33" s="821">
        <f>SUM(E33:K33)</f>
        <v>431924.68447867892</v>
      </c>
      <c r="E33" s="821">
        <f t="shared" ref="E33:K33" si="3">E32+E30</f>
        <v>6496.4162675017624</v>
      </c>
      <c r="F33" s="821">
        <f>F32+F30</f>
        <v>328823.76383016986</v>
      </c>
      <c r="G33" s="821">
        <f>G32+G30</f>
        <v>36769.438097528895</v>
      </c>
      <c r="H33" s="821">
        <f t="shared" si="3"/>
        <v>4201.1810461340501</v>
      </c>
      <c r="I33" s="821">
        <f t="shared" si="3"/>
        <v>0</v>
      </c>
      <c r="J33" s="821">
        <f t="shared" si="3"/>
        <v>297.40907793176848</v>
      </c>
      <c r="K33" s="821">
        <f t="shared" si="3"/>
        <v>55336.476159412603</v>
      </c>
      <c r="L33" s="904">
        <f>SUM(E33:K33)-D33</f>
        <v>0</v>
      </c>
      <c r="M33" s="759">
        <f>D33-'28 Seg Dev'!D33</f>
        <v>0</v>
      </c>
    </row>
    <row r="34" spans="1:13" ht="9" customHeight="1">
      <c r="L34" s="759"/>
      <c r="M34" s="759">
        <f>D34-'28 Seg Dev'!D34</f>
        <v>0</v>
      </c>
    </row>
    <row r="35" spans="1:13" ht="15">
      <c r="A35" s="887" t="s">
        <v>236</v>
      </c>
      <c r="L35" s="759"/>
      <c r="M35" s="759">
        <f>D35-'28 Seg Dev'!D35</f>
        <v>0</v>
      </c>
    </row>
    <row r="36" spans="1:13">
      <c r="A36" s="889" t="s">
        <v>520</v>
      </c>
      <c r="L36" s="759"/>
      <c r="M36" s="759">
        <f>D36-'28 Seg Dev'!D36</f>
        <v>0</v>
      </c>
    </row>
    <row r="37" spans="1:13">
      <c r="A37" s="890" t="s">
        <v>299</v>
      </c>
      <c r="D37" s="861">
        <f>SUM(E37:J37)</f>
        <v>55257.949820708738</v>
      </c>
      <c r="E37" s="285">
        <f>+'28 Seg Dev'!E37</f>
        <v>661.02284632795602</v>
      </c>
      <c r="F37" s="285">
        <f>+'28 Seg Dev'!F37+'28 Seg Dev'!I37</f>
        <v>50825.967409365068</v>
      </c>
      <c r="G37" s="285">
        <f>+'28 Seg Dev'!G37</f>
        <v>2810.7714197653595</v>
      </c>
      <c r="H37" s="285">
        <f>+'28 Seg Dev'!H37</f>
        <v>960.18814525035441</v>
      </c>
      <c r="I37" s="285"/>
      <c r="J37" s="285">
        <f>+'28 Seg Dev'!J37</f>
        <v>0</v>
      </c>
      <c r="K37" s="285">
        <f>+'28 Seg Dev'!K37</f>
        <v>0</v>
      </c>
      <c r="L37" s="759"/>
      <c r="M37" s="759">
        <f>D37-'28 Seg Dev'!D37</f>
        <v>0</v>
      </c>
    </row>
    <row r="38" spans="1:13">
      <c r="A38" s="890" t="s">
        <v>300</v>
      </c>
      <c r="D38" s="861">
        <f>SUM(E38:J38)</f>
        <v>136761.67424071985</v>
      </c>
      <c r="E38" s="285">
        <f>+'28 Seg Dev'!E38</f>
        <v>3562.2256722987713</v>
      </c>
      <c r="F38" s="285">
        <f>+'28 Seg Dev'!F38+'28 Seg Dev'!I38</f>
        <v>112309.54353511645</v>
      </c>
      <c r="G38" s="285">
        <f>+'28 Seg Dev'!G38</f>
        <v>19446.284155813479</v>
      </c>
      <c r="H38" s="285">
        <f>+'28 Seg Dev'!H38</f>
        <v>1170.1171027329681</v>
      </c>
      <c r="I38" s="285"/>
      <c r="J38" s="285">
        <f>+'28 Seg Dev'!J38</f>
        <v>273.50377475820966</v>
      </c>
      <c r="K38" s="285">
        <f>+'28 Seg Dev'!K38</f>
        <v>0</v>
      </c>
      <c r="L38" s="759"/>
      <c r="M38" s="759">
        <f>D38-'28 Seg Dev'!D38</f>
        <v>0</v>
      </c>
    </row>
    <row r="39" spans="1:13" ht="15">
      <c r="A39" s="891" t="s">
        <v>301</v>
      </c>
      <c r="B39" s="769"/>
      <c r="C39" s="769"/>
      <c r="D39" s="861">
        <f>SUM(D37:D38)</f>
        <v>192019.62406142859</v>
      </c>
      <c r="E39" s="285">
        <f>+'28 Seg Dev'!E39</f>
        <v>0</v>
      </c>
      <c r="F39" s="285">
        <f>+'28 Seg Dev'!F39+'28 Seg Dev'!I39</f>
        <v>0</v>
      </c>
      <c r="G39" s="285">
        <f>+'28 Seg Dev'!G39</f>
        <v>0</v>
      </c>
      <c r="H39" s="285">
        <f>+'28 Seg Dev'!H39</f>
        <v>0</v>
      </c>
      <c r="I39" s="285"/>
      <c r="J39" s="285">
        <f>+'28 Seg Dev'!J39</f>
        <v>0</v>
      </c>
      <c r="K39" s="285">
        <f>+'28 Seg Dev'!K39</f>
        <v>0</v>
      </c>
      <c r="L39" s="759"/>
      <c r="M39" s="759">
        <f>D39-'28 Seg Dev'!D39</f>
        <v>0</v>
      </c>
    </row>
    <row r="40" spans="1:13">
      <c r="A40" s="883" t="s">
        <v>239</v>
      </c>
      <c r="E40" s="285">
        <f>+'28 Seg Dev'!E40</f>
        <v>0</v>
      </c>
      <c r="F40" s="285">
        <f>+'28 Seg Dev'!F40+'28 Seg Dev'!I40</f>
        <v>0</v>
      </c>
      <c r="G40" s="285">
        <f>+'28 Seg Dev'!G40</f>
        <v>0</v>
      </c>
      <c r="H40" s="285">
        <f>+'28 Seg Dev'!H40</f>
        <v>0</v>
      </c>
      <c r="I40" s="285"/>
      <c r="J40" s="285">
        <f>+'28 Seg Dev'!J40</f>
        <v>0</v>
      </c>
      <c r="K40" s="285">
        <f>+'28 Seg Dev'!K40</f>
        <v>0</v>
      </c>
      <c r="L40" s="759"/>
      <c r="M40" s="759">
        <f>D40-'28 Seg Dev'!D40</f>
        <v>0</v>
      </c>
    </row>
    <row r="41" spans="1:13">
      <c r="A41" s="817" t="s">
        <v>240</v>
      </c>
      <c r="D41" s="285">
        <f>+'28 Seg Dev'!D41</f>
        <v>35564.150970000002</v>
      </c>
      <c r="E41" s="285">
        <f>+'28 Seg Dev'!E41</f>
        <v>0</v>
      </c>
      <c r="F41" s="285">
        <f>+'28 Seg Dev'!F41+'28 Seg Dev'!I41</f>
        <v>0</v>
      </c>
      <c r="G41" s="285">
        <f>+'28 Seg Dev'!G41</f>
        <v>0</v>
      </c>
      <c r="H41" s="285">
        <f>+'28 Seg Dev'!H41</f>
        <v>0</v>
      </c>
      <c r="I41" s="285"/>
      <c r="J41" s="285">
        <f>+'28 Seg Dev'!J41</f>
        <v>0</v>
      </c>
      <c r="K41" s="285">
        <f>+'28 Seg Dev'!K41</f>
        <v>87384.404639999993</v>
      </c>
      <c r="L41" s="759"/>
      <c r="M41" s="759">
        <f>D41-'28 Seg Dev'!D41</f>
        <v>0</v>
      </c>
    </row>
    <row r="42" spans="1:13">
      <c r="A42" s="817" t="s">
        <v>241</v>
      </c>
      <c r="D42" s="285">
        <f>+'28 Seg Dev'!D42</f>
        <v>252997.98772000003</v>
      </c>
      <c r="E42" s="285">
        <f>+'28 Seg Dev'!E42</f>
        <v>0</v>
      </c>
      <c r="F42" s="285">
        <f>+'28 Seg Dev'!F42+'28 Seg Dev'!I42</f>
        <v>0</v>
      </c>
      <c r="G42" s="285">
        <f>+'28 Seg Dev'!G42</f>
        <v>0</v>
      </c>
      <c r="H42" s="285">
        <f>+'28 Seg Dev'!H42</f>
        <v>0</v>
      </c>
      <c r="I42" s="285"/>
      <c r="J42" s="285">
        <f>+'28 Seg Dev'!J42</f>
        <v>0</v>
      </c>
      <c r="K42" s="285">
        <f>+'28 Seg Dev'!K42</f>
        <v>0</v>
      </c>
      <c r="L42" s="759"/>
      <c r="M42" s="759">
        <f>D42-'28 Seg Dev'!D42</f>
        <v>0</v>
      </c>
    </row>
    <row r="43" spans="1:13" ht="5.25" customHeight="1">
      <c r="A43" s="817"/>
      <c r="D43" s="285"/>
      <c r="E43" s="285">
        <f>+'28 Seg Dev'!E43</f>
        <v>0</v>
      </c>
      <c r="F43" s="285">
        <f>+'28 Seg Dev'!F43+'28 Seg Dev'!I43</f>
        <v>0</v>
      </c>
      <c r="G43" s="285">
        <f>+'28 Seg Dev'!G43</f>
        <v>0</v>
      </c>
      <c r="H43" s="285">
        <f>+'28 Seg Dev'!H43</f>
        <v>0</v>
      </c>
      <c r="I43" s="285"/>
      <c r="J43" s="285">
        <f>+'28 Seg Dev'!J43</f>
        <v>0</v>
      </c>
      <c r="K43" s="285">
        <f>+'28 Seg Dev'!K43</f>
        <v>0</v>
      </c>
      <c r="L43" s="759"/>
      <c r="M43" s="759">
        <f>D43-'28 Seg Dev'!D43</f>
        <v>0</v>
      </c>
    </row>
    <row r="44" spans="1:13">
      <c r="A44" s="892" t="s">
        <v>266</v>
      </c>
      <c r="D44" s="285">
        <f>+'28 Seg Dev'!D44</f>
        <v>288562.13869000005</v>
      </c>
      <c r="E44" s="285">
        <f>+'28 Seg Dev'!E44</f>
        <v>0</v>
      </c>
      <c r="F44" s="285">
        <f>+'28 Seg Dev'!F44+'28 Seg Dev'!I44</f>
        <v>0</v>
      </c>
      <c r="G44" s="285">
        <f>+'28 Seg Dev'!G44</f>
        <v>0</v>
      </c>
      <c r="H44" s="285">
        <f>+'28 Seg Dev'!H44</f>
        <v>0</v>
      </c>
      <c r="I44" s="285"/>
      <c r="J44" s="285">
        <f>+'28 Seg Dev'!J44</f>
        <v>0</v>
      </c>
      <c r="K44" s="285">
        <f>+'28 Seg Dev'!K44</f>
        <v>0</v>
      </c>
      <c r="L44" s="759"/>
      <c r="M44" s="759">
        <f>D44-'28 Seg Dev'!D44</f>
        <v>0</v>
      </c>
    </row>
    <row r="45" spans="1:13">
      <c r="A45" s="893" t="s">
        <v>267</v>
      </c>
      <c r="D45" s="285">
        <f>+'28 Seg Dev'!D45</f>
        <v>83040.221841010236</v>
      </c>
      <c r="E45" s="285">
        <f>+'28 Seg Dev'!E45</f>
        <v>993.36808511990944</v>
      </c>
      <c r="F45" s="285">
        <f>+'28 Seg Dev'!F45+'28 Seg Dev'!I45</f>
        <v>76379.952977841007</v>
      </c>
      <c r="G45" s="285">
        <f>+'28 Seg Dev'!G45</f>
        <v>4223.9547974364759</v>
      </c>
      <c r="H45" s="285">
        <f>+'28 Seg Dev'!H45</f>
        <v>1442.9459806128386</v>
      </c>
      <c r="I45" s="285"/>
      <c r="J45" s="285">
        <f>+'28 Seg Dev'!J45</f>
        <v>0</v>
      </c>
      <c r="K45" s="285">
        <f>+'28 Seg Dev'!K45</f>
        <v>0</v>
      </c>
      <c r="L45" s="759"/>
      <c r="M45" s="759">
        <f>D45-'28 Seg Dev'!D45</f>
        <v>0</v>
      </c>
    </row>
    <row r="46" spans="1:13">
      <c r="A46" s="893" t="s">
        <v>269</v>
      </c>
      <c r="D46" s="285">
        <f>+'28 Seg Dev'!D46</f>
        <v>205521.91684898981</v>
      </c>
      <c r="E46" s="285">
        <f>+'28 Seg Dev'!E46</f>
        <v>5353.2208674990216</v>
      </c>
      <c r="F46" s="285">
        <f>+'28 Seg Dev'!F46+'28 Seg Dev'!I46</f>
        <v>168775.88546586892</v>
      </c>
      <c r="G46" s="285">
        <f>+'28 Seg Dev'!G46</f>
        <v>29223.374293139172</v>
      </c>
      <c r="H46" s="285">
        <f>+'28 Seg Dev'!H46</f>
        <v>1758.4218036712457</v>
      </c>
      <c r="I46" s="285"/>
      <c r="J46" s="285">
        <f>+'28 Seg Dev'!J46</f>
        <v>411.01441881153249</v>
      </c>
      <c r="K46" s="285">
        <f>+'28 Seg Dev'!K46</f>
        <v>0</v>
      </c>
      <c r="L46" s="759"/>
      <c r="M46" s="759">
        <f>D46-'28 Seg Dev'!D46</f>
        <v>0</v>
      </c>
    </row>
    <row r="47" spans="1:13" ht="15">
      <c r="A47" s="894" t="s">
        <v>268</v>
      </c>
      <c r="B47" s="769"/>
      <c r="C47" s="769"/>
      <c r="D47" s="285">
        <f>+'28 Seg Dev'!D47</f>
        <v>288562.13869000011</v>
      </c>
      <c r="E47" s="285">
        <f>+'28 Seg Dev'!E47</f>
        <v>6346.5889526189312</v>
      </c>
      <c r="F47" s="285">
        <f>+'28 Seg Dev'!F47+'28 Seg Dev'!I47</f>
        <v>245155.83844370992</v>
      </c>
      <c r="G47" s="285">
        <f>+'28 Seg Dev'!G47</f>
        <v>33447.329090575644</v>
      </c>
      <c r="H47" s="285">
        <f>+'28 Seg Dev'!H47</f>
        <v>3201.3677842840843</v>
      </c>
      <c r="I47" s="285"/>
      <c r="J47" s="285">
        <f>+'28 Seg Dev'!J47</f>
        <v>411.01441881153249</v>
      </c>
      <c r="K47" s="285">
        <f>+'28 Seg Dev'!K47</f>
        <v>0</v>
      </c>
      <c r="L47" s="759"/>
      <c r="M47" s="759">
        <f>D47-'28 Seg Dev'!D47</f>
        <v>0</v>
      </c>
    </row>
    <row r="48" spans="1:13">
      <c r="A48" s="895" t="s">
        <v>25</v>
      </c>
      <c r="D48" s="285">
        <f>+'28 Seg Dev'!D48</f>
        <v>10711.41943</v>
      </c>
      <c r="E48" s="285">
        <f>+'28 Seg Dev'!E48</f>
        <v>0</v>
      </c>
      <c r="F48" s="285">
        <f>+'28 Seg Dev'!F48+'28 Seg Dev'!I48</f>
        <v>0</v>
      </c>
      <c r="G48" s="285">
        <f>+'28 Seg Dev'!G48</f>
        <v>0</v>
      </c>
      <c r="H48" s="285">
        <f>+'28 Seg Dev'!H48</f>
        <v>0</v>
      </c>
      <c r="I48" s="285"/>
      <c r="J48" s="285">
        <f>+'28 Seg Dev'!J48</f>
        <v>0</v>
      </c>
      <c r="K48" s="285">
        <f>+'28 Seg Dev'!K48</f>
        <v>10711.41943</v>
      </c>
      <c r="L48" s="759"/>
      <c r="M48" s="759">
        <f>D48-'28 Seg Dev'!D48</f>
        <v>0</v>
      </c>
    </row>
    <row r="49" spans="1:13" ht="15">
      <c r="A49" s="896" t="s">
        <v>270</v>
      </c>
      <c r="B49" s="769"/>
      <c r="C49" s="769"/>
      <c r="D49" s="821">
        <f>SUM(E49:K49)</f>
        <v>386657.96276000014</v>
      </c>
      <c r="E49" s="821">
        <f t="shared" ref="E49:J49" si="4">E47</f>
        <v>6346.5889526189312</v>
      </c>
      <c r="F49" s="821">
        <f>F47+F41</f>
        <v>245155.83844370992</v>
      </c>
      <c r="G49" s="821">
        <f t="shared" si="4"/>
        <v>33447.329090575644</v>
      </c>
      <c r="H49" s="821">
        <f t="shared" si="4"/>
        <v>3201.3677842840843</v>
      </c>
      <c r="I49" s="821">
        <f t="shared" si="4"/>
        <v>0</v>
      </c>
      <c r="J49" s="821">
        <f t="shared" si="4"/>
        <v>411.01441881153249</v>
      </c>
      <c r="K49" s="821">
        <f>K48+K41</f>
        <v>98095.824069999988</v>
      </c>
      <c r="L49" s="904">
        <f>SUM(E49:K49)-D49</f>
        <v>0</v>
      </c>
      <c r="M49" s="759">
        <f>D49-'28 Seg Dev'!D49</f>
        <v>0</v>
      </c>
    </row>
    <row r="50" spans="1:13">
      <c r="A50" s="883" t="s">
        <v>271</v>
      </c>
      <c r="L50" s="759"/>
      <c r="M50" s="759">
        <f>D50-'28 Seg Dev'!D50</f>
        <v>0</v>
      </c>
    </row>
    <row r="51" spans="1:13">
      <c r="A51" s="897" t="s">
        <v>46</v>
      </c>
      <c r="D51" s="285">
        <f>+'28 Seg Dev'!D51</f>
        <v>12907.840950000002</v>
      </c>
      <c r="E51" s="285">
        <f>+'28 Seg Dev'!E51</f>
        <v>211.86880567692006</v>
      </c>
      <c r="F51" s="285">
        <f>+'28 Seg Dev'!F51+'28 Seg Dev'!I51</f>
        <v>8184.0615618188567</v>
      </c>
      <c r="G51" s="285">
        <f>+'28 Seg Dev'!G51</f>
        <v>1116.5754896697592</v>
      </c>
      <c r="H51" s="285">
        <f>+'28 Seg Dev'!H51</f>
        <v>106.87157685057697</v>
      </c>
      <c r="I51" s="285"/>
      <c r="J51" s="285">
        <f>+'28 Seg Dev'!J51</f>
        <v>13.720934927361043</v>
      </c>
      <c r="K51" s="285">
        <f>+'28 Seg Dev'!K51</f>
        <v>3274.7425810565283</v>
      </c>
      <c r="L51" s="904">
        <f t="shared" ref="L51:L55" si="5">SUM(E51:K51)-D51</f>
        <v>0</v>
      </c>
      <c r="M51" s="759">
        <f>D51-'28 Seg Dev'!D51</f>
        <v>0</v>
      </c>
    </row>
    <row r="52" spans="1:13">
      <c r="A52" s="897" t="s">
        <v>47</v>
      </c>
      <c r="D52" s="285">
        <f>+'28 Seg Dev'!D52</f>
        <v>107208.73902000001</v>
      </c>
      <c r="E52" s="285">
        <f>+'28 Seg Dev'!E52</f>
        <v>1759.7201253317285</v>
      </c>
      <c r="F52" s="285">
        <f>+'28 Seg Dev'!F52+'28 Seg Dev'!I52</f>
        <v>67974.413653171898</v>
      </c>
      <c r="G52" s="285">
        <f>+'28 Seg Dev'!G52</f>
        <v>9273.9483490563089</v>
      </c>
      <c r="H52" s="285">
        <f>+'28 Seg Dev'!H52</f>
        <v>887.64395498918668</v>
      </c>
      <c r="I52" s="285"/>
      <c r="J52" s="285">
        <f>+'28 Seg Dev'!J52</f>
        <v>113.96205898693326</v>
      </c>
      <c r="K52" s="285">
        <f>+'28 Seg Dev'!K52</f>
        <v>27199.050878463953</v>
      </c>
      <c r="L52" s="904">
        <f t="shared" si="5"/>
        <v>0</v>
      </c>
      <c r="M52" s="759">
        <f>D52-'28 Seg Dev'!D52</f>
        <v>0</v>
      </c>
    </row>
    <row r="53" spans="1:13">
      <c r="A53" s="897" t="s">
        <v>273</v>
      </c>
      <c r="D53" s="285">
        <f>+'28 Seg Dev'!D53</f>
        <v>80792.517080000005</v>
      </c>
      <c r="E53" s="285">
        <f>+'28 Seg Dev'!E53</f>
        <v>1281.0196285470538</v>
      </c>
      <c r="F53" s="285">
        <f>+'28 Seg Dev'!F53+'28 Seg Dev'!I53</f>
        <v>49483.185919849086</v>
      </c>
      <c r="G53" s="285">
        <f>+'28 Seg Dev'!G53</f>
        <v>6751.1359893284907</v>
      </c>
      <c r="H53" s="285">
        <f>+'28 Seg Dev'!H53</f>
        <v>646.17623742180615</v>
      </c>
      <c r="I53" s="285"/>
      <c r="J53" s="285">
        <f>+'28 Seg Dev'!J53</f>
        <v>82.960711973660153</v>
      </c>
      <c r="K53" s="285">
        <f>+'28 Seg Dev'!K53</f>
        <v>22548.038592879915</v>
      </c>
      <c r="L53" s="904">
        <f t="shared" si="5"/>
        <v>0</v>
      </c>
      <c r="M53" s="759">
        <f>D53-'28 Seg Dev'!D53</f>
        <v>0</v>
      </c>
    </row>
    <row r="54" spans="1:13">
      <c r="A54" s="897" t="s">
        <v>292</v>
      </c>
      <c r="D54" s="285">
        <f>+'28 Seg Dev'!D54</f>
        <v>230576.46523000003</v>
      </c>
      <c r="E54" s="285">
        <f>+'28 Seg Dev'!E54</f>
        <v>3784.6732458758711</v>
      </c>
      <c r="F54" s="285">
        <f>+'28 Seg Dev'!F54+'28 Seg Dev'!I54</f>
        <v>146194.23910308603</v>
      </c>
      <c r="G54" s="285">
        <f>+'28 Seg Dev'!G54</f>
        <v>19945.708237945822</v>
      </c>
      <c r="H54" s="285">
        <f>+'28 Seg Dev'!H54</f>
        <v>1909.0776311248501</v>
      </c>
      <c r="I54" s="285"/>
      <c r="J54" s="285">
        <f>+'28 Seg Dev'!J54</f>
        <v>245.10099616634616</v>
      </c>
      <c r="K54" s="285">
        <f>+'28 Seg Dev'!K54</f>
        <v>58497.666015801115</v>
      </c>
      <c r="L54" s="904">
        <f t="shared" si="5"/>
        <v>0</v>
      </c>
      <c r="M54" s="759">
        <f>D54-'28 Seg Dev'!D54</f>
        <v>0</v>
      </c>
    </row>
    <row r="55" spans="1:13" ht="15">
      <c r="A55" s="898" t="s">
        <v>290</v>
      </c>
      <c r="D55" s="821">
        <f>SUM(D51:D54)</f>
        <v>431485.56228000007</v>
      </c>
      <c r="E55" s="285">
        <f>+'28 Seg Dev'!E55</f>
        <v>7037.281805431574</v>
      </c>
      <c r="F55" s="285">
        <f>+'28 Seg Dev'!F55+'28 Seg Dev'!I55</f>
        <v>271835.90023792587</v>
      </c>
      <c r="G55" s="285">
        <f>+'28 Seg Dev'!G55</f>
        <v>37087.368066000381</v>
      </c>
      <c r="H55" s="285">
        <f>+'28 Seg Dev'!H55</f>
        <v>3549.7694003864199</v>
      </c>
      <c r="I55" s="285"/>
      <c r="J55" s="285">
        <f>+'28 Seg Dev'!J55</f>
        <v>455.74470205430066</v>
      </c>
      <c r="K55" s="285">
        <f>+'28 Seg Dev'!K55</f>
        <v>111519.4980682015</v>
      </c>
      <c r="L55" s="904">
        <f t="shared" si="5"/>
        <v>0</v>
      </c>
      <c r="M55" s="759">
        <f>D55-'28 Seg Dev'!D55</f>
        <v>0</v>
      </c>
    </row>
    <row r="56" spans="1:13" ht="15">
      <c r="A56" s="887" t="s">
        <v>262</v>
      </c>
      <c r="D56" s="821">
        <f t="shared" ref="D56:K56" si="6">D55+D49</f>
        <v>818143.52504000021</v>
      </c>
      <c r="E56" s="821">
        <f t="shared" si="6"/>
        <v>13383.870758050505</v>
      </c>
      <c r="F56" s="821">
        <f t="shared" si="6"/>
        <v>516991.73868163582</v>
      </c>
      <c r="G56" s="821">
        <f t="shared" si="6"/>
        <v>70534.697156576032</v>
      </c>
      <c r="H56" s="821">
        <f t="shared" si="6"/>
        <v>6751.1371846705042</v>
      </c>
      <c r="I56" s="821">
        <f t="shared" si="6"/>
        <v>0</v>
      </c>
      <c r="J56" s="821">
        <f t="shared" si="6"/>
        <v>866.75912086583321</v>
      </c>
      <c r="K56" s="821">
        <f t="shared" si="6"/>
        <v>209615.3221382015</v>
      </c>
      <c r="L56" s="904">
        <f>SUM(E56:K56)-D56</f>
        <v>0</v>
      </c>
      <c r="M56" s="759">
        <f>D56-'28 Seg Dev'!D56</f>
        <v>0</v>
      </c>
    </row>
    <row r="57" spans="1:13">
      <c r="A57" s="776" t="s">
        <v>177</v>
      </c>
      <c r="L57" s="759"/>
      <c r="M57" s="759">
        <f>D57-'28 Seg Dev'!D57</f>
        <v>0</v>
      </c>
    </row>
    <row r="58" spans="1:13">
      <c r="A58" s="817" t="s">
        <v>278</v>
      </c>
      <c r="D58" s="285"/>
      <c r="L58" s="759"/>
      <c r="M58" s="759">
        <f>D58-'28 Seg Dev'!D58</f>
        <v>0</v>
      </c>
    </row>
    <row r="59" spans="1:13">
      <c r="A59" s="817" t="s">
        <v>276</v>
      </c>
      <c r="D59" s="285">
        <f>+'28 Seg Dev'!D59</f>
        <v>7696</v>
      </c>
      <c r="E59" s="285">
        <f>+'28 Seg Dev'!E59</f>
        <v>0</v>
      </c>
      <c r="F59" s="285">
        <f>+'28 Seg Dev'!F59+'28 Seg Dev'!I59</f>
        <v>7696</v>
      </c>
      <c r="G59" s="285">
        <f>+'28 Seg Dev'!G59</f>
        <v>0</v>
      </c>
      <c r="H59" s="285">
        <f>+'28 Seg Dev'!H59</f>
        <v>0</v>
      </c>
      <c r="I59" s="285"/>
      <c r="J59" s="285">
        <f>+'28 Seg Dev'!J59</f>
        <v>0</v>
      </c>
      <c r="K59" s="285">
        <f>+'28 Seg Dev'!K59</f>
        <v>0</v>
      </c>
      <c r="L59" s="759"/>
      <c r="M59" s="759">
        <f>D59-'28 Seg Dev'!D59</f>
        <v>0</v>
      </c>
    </row>
    <row r="60" spans="1:13">
      <c r="A60" s="817" t="s">
        <v>277</v>
      </c>
      <c r="D60" s="285">
        <f>+'28 Seg Dev'!D60</f>
        <v>553</v>
      </c>
      <c r="E60" s="285">
        <f>+'28 Seg Dev'!E60</f>
        <v>0</v>
      </c>
      <c r="F60" s="285">
        <f>+'28 Seg Dev'!F60+'28 Seg Dev'!I60</f>
        <v>0</v>
      </c>
      <c r="G60" s="285">
        <f>+'28 Seg Dev'!G60</f>
        <v>553</v>
      </c>
      <c r="H60" s="285">
        <f>+'28 Seg Dev'!H60</f>
        <v>0</v>
      </c>
      <c r="I60" s="285"/>
      <c r="J60" s="285">
        <f>+'28 Seg Dev'!J60</f>
        <v>0</v>
      </c>
      <c r="K60" s="285">
        <f>+'28 Seg Dev'!K60</f>
        <v>0</v>
      </c>
      <c r="L60" s="759"/>
      <c r="M60" s="759">
        <f>D60-'28 Seg Dev'!D60</f>
        <v>0</v>
      </c>
    </row>
    <row r="61" spans="1:13">
      <c r="A61" s="817" t="s">
        <v>275</v>
      </c>
      <c r="D61" s="285">
        <f>+'28 Seg Dev'!D61</f>
        <v>332</v>
      </c>
      <c r="E61" s="285">
        <f>+'28 Seg Dev'!E61</f>
        <v>0</v>
      </c>
      <c r="F61" s="285">
        <f>+'28 Seg Dev'!F61+'28 Seg Dev'!I61</f>
        <v>332</v>
      </c>
      <c r="G61" s="285">
        <f>+'28 Seg Dev'!G61</f>
        <v>0</v>
      </c>
      <c r="H61" s="285">
        <f>+'28 Seg Dev'!H61</f>
        <v>0</v>
      </c>
      <c r="I61" s="285"/>
      <c r="J61" s="285">
        <f>+'28 Seg Dev'!J61</f>
        <v>0</v>
      </c>
      <c r="K61" s="285">
        <f>+'28 Seg Dev'!K61</f>
        <v>0</v>
      </c>
      <c r="L61" s="759"/>
      <c r="M61" s="759">
        <f>D61-'28 Seg Dev'!D61</f>
        <v>0</v>
      </c>
    </row>
    <row r="62" spans="1:13">
      <c r="A62" s="817" t="s">
        <v>469</v>
      </c>
      <c r="D62" s="285">
        <f>+'28 Seg Dev'!D62</f>
        <v>1292</v>
      </c>
      <c r="E62" s="285">
        <f>+'28 Seg Dev'!E62</f>
        <v>0</v>
      </c>
      <c r="F62" s="285">
        <f>+'28 Seg Dev'!F62+'28 Seg Dev'!I62</f>
        <v>513.12658689199998</v>
      </c>
      <c r="G62" s="285">
        <f>+'28 Seg Dev'!G62</f>
        <v>778.874729656</v>
      </c>
      <c r="H62" s="285">
        <f>+'28 Seg Dev'!H62</f>
        <v>0</v>
      </c>
      <c r="I62" s="285"/>
      <c r="J62" s="285">
        <f>+'28 Seg Dev'!J62</f>
        <v>0</v>
      </c>
      <c r="K62" s="285">
        <f>+'28 Seg Dev'!K62</f>
        <v>0</v>
      </c>
      <c r="L62" s="759"/>
      <c r="M62" s="759">
        <f>D62-'28 Seg Dev'!D62</f>
        <v>0</v>
      </c>
    </row>
    <row r="63" spans="1:13">
      <c r="A63" s="817" t="s">
        <v>274</v>
      </c>
      <c r="D63" s="285">
        <f>+'28 Seg Dev'!D63</f>
        <v>3307</v>
      </c>
      <c r="E63" s="285">
        <f>+'28 Seg Dev'!E63</f>
        <v>86.137292217972416</v>
      </c>
      <c r="F63" s="285">
        <f>+'28 Seg Dev'!F63+'28 Seg Dev'!I63</f>
        <v>2715.7291144074488</v>
      </c>
      <c r="G63" s="285">
        <f>+'28 Seg Dev'!G63</f>
        <v>470.22575630422972</v>
      </c>
      <c r="H63" s="285">
        <f>+'28 Seg Dev'!H63</f>
        <v>28.294310377678787</v>
      </c>
      <c r="I63" s="285"/>
      <c r="J63" s="285">
        <f>+'28 Seg Dev'!J63</f>
        <v>6.613526692671166</v>
      </c>
      <c r="K63" s="285">
        <f>+'28 Seg Dev'!K63</f>
        <v>0</v>
      </c>
      <c r="L63" s="759"/>
      <c r="M63" s="759">
        <f>D63-'28 Seg Dev'!D63</f>
        <v>0</v>
      </c>
    </row>
    <row r="64" spans="1:13" ht="15">
      <c r="A64" s="817" t="s">
        <v>263</v>
      </c>
      <c r="B64" s="769"/>
      <c r="D64" s="285">
        <f>+'28 Seg Dev'!D64</f>
        <v>128028.07520593569</v>
      </c>
      <c r="E64" s="285">
        <f>+'28 Seg Dev'!E64</f>
        <v>0</v>
      </c>
      <c r="F64" s="285">
        <f>+'28 Seg Dev'!F64+'28 Seg Dev'!I64</f>
        <v>0</v>
      </c>
      <c r="G64" s="285">
        <f>+'28 Seg Dev'!G64</f>
        <v>0</v>
      </c>
      <c r="H64" s="285">
        <f>+'28 Seg Dev'!H64</f>
        <v>0</v>
      </c>
      <c r="I64" s="285"/>
      <c r="J64" s="285">
        <f>+'28 Seg Dev'!J64</f>
        <v>0</v>
      </c>
      <c r="K64" s="285">
        <f>+'28 Seg Dev'!K64</f>
        <v>128028.07520593569</v>
      </c>
      <c r="L64" s="759"/>
      <c r="M64" s="759">
        <f>D64-'28 Seg Dev'!D64</f>
        <v>0</v>
      </c>
    </row>
    <row r="65" spans="1:13" ht="15">
      <c r="A65" s="817" t="s">
        <v>665</v>
      </c>
      <c r="B65" s="769"/>
      <c r="D65" s="285">
        <f>+'28 Seg Dev'!D65</f>
        <v>0</v>
      </c>
      <c r="E65" s="285">
        <f>+'28 Seg Dev'!E65</f>
        <v>0</v>
      </c>
      <c r="F65" s="285">
        <f>+'28 Seg Dev'!F65+'28 Seg Dev'!I65</f>
        <v>0</v>
      </c>
      <c r="G65" s="285">
        <f>+'28 Seg Dev'!G65</f>
        <v>0</v>
      </c>
      <c r="H65" s="285">
        <f>+'28 Seg Dev'!H65</f>
        <v>0</v>
      </c>
      <c r="I65" s="285"/>
      <c r="J65" s="285">
        <f>+'28 Seg Dev'!J65</f>
        <v>0</v>
      </c>
      <c r="K65" s="285">
        <f>+'28 Seg Dev'!K65</f>
        <v>0</v>
      </c>
      <c r="L65" s="759"/>
      <c r="M65" s="759">
        <f>D65-'28 Seg Dev'!D65</f>
        <v>0</v>
      </c>
    </row>
    <row r="66" spans="1:13" ht="15">
      <c r="A66" s="858" t="s">
        <v>288</v>
      </c>
      <c r="D66" s="567">
        <f>SUM(D59:D65)</f>
        <v>141208.07520593569</v>
      </c>
      <c r="E66" s="567">
        <f t="shared" ref="E66:K66" si="7">SUM(E59:E65)</f>
        <v>86.137292217972416</v>
      </c>
      <c r="F66" s="567">
        <f t="shared" si="7"/>
        <v>11256.85570129945</v>
      </c>
      <c r="G66" s="567">
        <f t="shared" si="7"/>
        <v>1802.1004859602297</v>
      </c>
      <c r="H66" s="567">
        <f t="shared" si="7"/>
        <v>28.294310377678787</v>
      </c>
      <c r="I66" s="567">
        <f t="shared" si="7"/>
        <v>0</v>
      </c>
      <c r="J66" s="567">
        <f t="shared" si="7"/>
        <v>6.613526692671166</v>
      </c>
      <c r="K66" s="567">
        <f t="shared" si="7"/>
        <v>128028.07520593569</v>
      </c>
      <c r="L66" s="904">
        <f>SUM(E66:K66)-D66</f>
        <v>1.3165480049792677E-3</v>
      </c>
      <c r="M66" s="759">
        <f>D66-'28 Seg Dev'!D66</f>
        <v>0</v>
      </c>
    </row>
    <row r="67" spans="1:13">
      <c r="A67" s="817" t="s">
        <v>279</v>
      </c>
      <c r="E67" s="285"/>
      <c r="L67" s="759"/>
      <c r="M67" s="759">
        <f>D67-'28 Seg Dev'!D67</f>
        <v>0</v>
      </c>
    </row>
    <row r="68" spans="1:13">
      <c r="A68" s="817" t="s">
        <v>42</v>
      </c>
      <c r="D68" s="285">
        <f>+'28 Seg Dev'!D68</f>
        <v>170.48782</v>
      </c>
      <c r="E68" s="285">
        <f>+'28 Seg Dev'!E68</f>
        <v>2.5062873114947659</v>
      </c>
      <c r="F68" s="285">
        <f>+'28 Seg Dev'!F68+'28 Seg Dev'!I68</f>
        <v>141.7706468444814</v>
      </c>
      <c r="G68" s="285">
        <f>+'28 Seg Dev'!G68</f>
        <v>12.801346569913395</v>
      </c>
      <c r="H68" s="285">
        <f>+'28 Seg Dev'!H68</f>
        <v>1.3686726307129204</v>
      </c>
      <c r="I68" s="285"/>
      <c r="J68" s="285">
        <f>+'28 Seg Dev'!J68</f>
        <v>0.10862486483622263</v>
      </c>
      <c r="K68" s="285">
        <f>+'28 Seg Dev'!K68</f>
        <v>11.932241778561279</v>
      </c>
      <c r="L68" s="759"/>
      <c r="M68" s="759">
        <f>D68-'28 Seg Dev'!D68</f>
        <v>0</v>
      </c>
    </row>
    <row r="69" spans="1:13">
      <c r="A69" s="817" t="s">
        <v>43</v>
      </c>
      <c r="D69" s="285">
        <f>+'28 Seg Dev'!D69</f>
        <v>3664.4019900000003</v>
      </c>
      <c r="E69" s="285">
        <f>+'28 Seg Dev'!E69</f>
        <v>0</v>
      </c>
      <c r="F69" s="285">
        <f>+'28 Seg Dev'!F69+'28 Seg Dev'!I69</f>
        <v>3664.4019900000003</v>
      </c>
      <c r="G69" s="285">
        <f>+'28 Seg Dev'!G69</f>
        <v>0</v>
      </c>
      <c r="H69" s="285">
        <f>+'28 Seg Dev'!H69</f>
        <v>0</v>
      </c>
      <c r="I69" s="285"/>
      <c r="J69" s="285">
        <f>+'28 Seg Dev'!J69</f>
        <v>0</v>
      </c>
      <c r="K69" s="285">
        <f>+'28 Seg Dev'!K69</f>
        <v>0</v>
      </c>
      <c r="L69" s="759"/>
      <c r="M69" s="759">
        <f>D69-'28 Seg Dev'!D69</f>
        <v>0</v>
      </c>
    </row>
    <row r="70" spans="1:13">
      <c r="A70" s="817" t="s">
        <v>44</v>
      </c>
      <c r="D70" s="285">
        <f>+'28 Seg Dev'!D70</f>
        <v>0</v>
      </c>
      <c r="E70" s="285">
        <f>+'28 Seg Dev'!E70</f>
        <v>0</v>
      </c>
      <c r="F70" s="285">
        <f>+'28 Seg Dev'!F70+'28 Seg Dev'!I70</f>
        <v>0</v>
      </c>
      <c r="G70" s="285">
        <f>+'28 Seg Dev'!G70</f>
        <v>0</v>
      </c>
      <c r="H70" s="285">
        <f>+'28 Seg Dev'!H70</f>
        <v>0</v>
      </c>
      <c r="I70" s="285"/>
      <c r="J70" s="285">
        <f>+'28 Seg Dev'!J70</f>
        <v>0</v>
      </c>
      <c r="K70" s="285">
        <f>+'28 Seg Dev'!K70</f>
        <v>0</v>
      </c>
      <c r="L70" s="759"/>
      <c r="M70" s="759">
        <f>D70-'28 Seg Dev'!D70</f>
        <v>0</v>
      </c>
    </row>
    <row r="71" spans="1:13">
      <c r="A71" s="817" t="s">
        <v>45</v>
      </c>
      <c r="D71" s="285">
        <f>+'28 Seg Dev'!D71</f>
        <v>0</v>
      </c>
      <c r="E71" s="285">
        <f>+'28 Seg Dev'!E71</f>
        <v>0</v>
      </c>
      <c r="F71" s="285">
        <f>+'28 Seg Dev'!F71+'28 Seg Dev'!I71</f>
        <v>0</v>
      </c>
      <c r="G71" s="285">
        <f>+'28 Seg Dev'!G71</f>
        <v>0</v>
      </c>
      <c r="H71" s="285">
        <f>+'28 Seg Dev'!H71</f>
        <v>0</v>
      </c>
      <c r="I71" s="285"/>
      <c r="J71" s="285">
        <f>+'28 Seg Dev'!J71</f>
        <v>0</v>
      </c>
      <c r="K71" s="285">
        <f>+'28 Seg Dev'!K71</f>
        <v>0</v>
      </c>
      <c r="L71" s="759"/>
      <c r="M71" s="759">
        <f>D71-'28 Seg Dev'!D71</f>
        <v>0</v>
      </c>
    </row>
    <row r="72" spans="1:13" ht="15">
      <c r="A72" s="858" t="s">
        <v>289</v>
      </c>
      <c r="D72" s="567">
        <f>SUM(D68:D71)</f>
        <v>3834.8898100000001</v>
      </c>
      <c r="E72" s="567">
        <f t="shared" ref="E72:J72" si="8">SUM(E68:E71)</f>
        <v>2.5062873114947659</v>
      </c>
      <c r="F72" s="567">
        <f t="shared" si="8"/>
        <v>3806.1726368444815</v>
      </c>
      <c r="G72" s="567">
        <f t="shared" si="8"/>
        <v>12.801346569913395</v>
      </c>
      <c r="H72" s="567">
        <f t="shared" si="8"/>
        <v>1.3686726307129204</v>
      </c>
      <c r="I72" s="567">
        <f t="shared" si="8"/>
        <v>0</v>
      </c>
      <c r="J72" s="567">
        <f t="shared" si="8"/>
        <v>0.10862486483622263</v>
      </c>
      <c r="K72" s="567">
        <f>SUM(K68:K71)</f>
        <v>11.932241778561279</v>
      </c>
      <c r="L72" s="904">
        <f>SUM(E72:K72)-D72</f>
        <v>0</v>
      </c>
      <c r="M72" s="759">
        <f>D72-'28 Seg Dev'!D72</f>
        <v>0</v>
      </c>
    </row>
    <row r="73" spans="1:13" ht="15">
      <c r="A73" s="899" t="s">
        <v>280</v>
      </c>
      <c r="B73" s="899"/>
      <c r="C73" s="899"/>
      <c r="D73" s="821">
        <f>SUM(E73:K73)</f>
        <v>145042.96633248369</v>
      </c>
      <c r="E73" s="821">
        <f>E72+E66</f>
        <v>88.643579529467175</v>
      </c>
      <c r="F73" s="821">
        <f t="shared" ref="F73:K73" si="9">F72+F66</f>
        <v>15063.028338143931</v>
      </c>
      <c r="G73" s="821">
        <f t="shared" si="9"/>
        <v>1814.9018325301431</v>
      </c>
      <c r="H73" s="821">
        <f t="shared" si="9"/>
        <v>29.662983008391709</v>
      </c>
      <c r="I73" s="821">
        <f t="shared" si="9"/>
        <v>0</v>
      </c>
      <c r="J73" s="821">
        <f t="shared" si="9"/>
        <v>6.7221515575073889</v>
      </c>
      <c r="K73" s="821">
        <f t="shared" si="9"/>
        <v>128040.00744771425</v>
      </c>
      <c r="L73" s="904">
        <f>SUM(E73:K73)-D73</f>
        <v>0</v>
      </c>
      <c r="M73" s="759">
        <f>D73-'28 Seg Dev'!D73</f>
        <v>0</v>
      </c>
    </row>
    <row r="74" spans="1:13">
      <c r="A74" s="776" t="s">
        <v>661</v>
      </c>
      <c r="L74" s="759"/>
      <c r="M74" s="759">
        <f>D74-'28 Seg Dev'!D74</f>
        <v>0</v>
      </c>
    </row>
    <row r="75" spans="1:13" ht="15">
      <c r="A75" s="898" t="s">
        <v>662</v>
      </c>
      <c r="D75" s="567">
        <f>HLOOKUP($A$12,'Expense Input File'!$A$71:$L$94,24,FALSE)</f>
        <v>1136.4901200000002</v>
      </c>
      <c r="E75" s="821"/>
      <c r="F75" s="821">
        <f>+$D75*(F56/SUM($F56:$H56))</f>
        <v>988.68951110607952</v>
      </c>
      <c r="G75" s="821">
        <f>+$D75*(G56/SUM($F56:$H56))</f>
        <v>134.88980583245763</v>
      </c>
      <c r="H75" s="821">
        <f>+$D75*(H56/SUM($F56:$H56))</f>
        <v>12.910803061463024</v>
      </c>
      <c r="I75" s="821"/>
      <c r="J75" s="821"/>
      <c r="K75" s="821"/>
      <c r="L75" s="904">
        <f>SUM(E75:K75)-D75</f>
        <v>0</v>
      </c>
      <c r="M75" s="759">
        <f>D75-'28 Seg Dev'!D75</f>
        <v>0</v>
      </c>
    </row>
    <row r="76" spans="1:13">
      <c r="D76" s="900"/>
    </row>
    <row r="77" spans="1:13">
      <c r="E77" s="759"/>
      <c r="F77" s="759"/>
      <c r="G77" s="759"/>
      <c r="H77" s="759"/>
      <c r="I77" s="759"/>
      <c r="J77" s="759"/>
      <c r="K77" s="759"/>
    </row>
    <row r="81" spans="4:4">
      <c r="D81" s="759"/>
    </row>
    <row r="82" spans="4:4">
      <c r="D82" s="759"/>
    </row>
  </sheetData>
  <mergeCells count="3">
    <mergeCell ref="A1:K1"/>
    <mergeCell ref="A10:B10"/>
    <mergeCell ref="A12:C12"/>
  </mergeCells>
  <pageMargins left="0.25" right="0.25" top="0.75" bottom="0.75" header="0.3" footer="0.3"/>
  <pageSetup scale="56" orientation="portrait" r:id="rId1"/>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codeName="Sheet27">
    <tabColor theme="9" tint="-0.249977111117893"/>
    <pageSetUpPr autoPageBreaks="0" fitToPage="1"/>
  </sheetPr>
  <dimension ref="A1:L75"/>
  <sheetViews>
    <sheetView workbookViewId="0">
      <selection sqref="A1:K1"/>
    </sheetView>
  </sheetViews>
  <sheetFormatPr defaultColWidth="9.140625" defaultRowHeight="14.25"/>
  <cols>
    <col min="1" max="2" width="9.140625" style="90"/>
    <col min="3" max="3" width="29.28515625" style="90" customWidth="1"/>
    <col min="4" max="11" width="15.7109375" style="90" customWidth="1"/>
    <col min="12" max="16384" width="9.140625" style="90"/>
  </cols>
  <sheetData>
    <row r="1" spans="1:11" ht="18">
      <c r="A1" s="986" t="s">
        <v>552</v>
      </c>
      <c r="B1" s="987"/>
      <c r="C1" s="987"/>
      <c r="D1" s="987"/>
      <c r="E1" s="987"/>
      <c r="F1" s="987"/>
      <c r="G1" s="987"/>
      <c r="H1" s="987"/>
      <c r="I1" s="987"/>
      <c r="J1" s="987"/>
      <c r="K1" s="988"/>
    </row>
    <row r="2" spans="1:11" ht="18">
      <c r="A2" s="118"/>
      <c r="B2" s="125" t="s">
        <v>115</v>
      </c>
      <c r="C2" s="91"/>
      <c r="D2" s="3"/>
      <c r="E2" s="94"/>
      <c r="F2" s="147" t="s">
        <v>397</v>
      </c>
      <c r="G2" s="148"/>
      <c r="H2" s="138"/>
      <c r="I2" s="147" t="s">
        <v>399</v>
      </c>
      <c r="J2" s="139"/>
      <c r="K2" s="149"/>
    </row>
    <row r="3" spans="1:11" ht="18">
      <c r="A3" s="118"/>
      <c r="B3" s="125" t="s">
        <v>73</v>
      </c>
      <c r="C3" s="93"/>
      <c r="D3" s="3"/>
      <c r="E3" s="94"/>
      <c r="F3" s="150" t="s">
        <v>398</v>
      </c>
      <c r="G3" s="151" t="s">
        <v>235</v>
      </c>
      <c r="H3" s="138"/>
      <c r="I3" s="152" t="s">
        <v>238</v>
      </c>
      <c r="J3" s="138"/>
      <c r="K3" s="149"/>
    </row>
    <row r="4" spans="1:11" ht="18" customHeight="1">
      <c r="A4" s="118"/>
      <c r="B4" s="125" t="s">
        <v>10</v>
      </c>
      <c r="C4" s="153"/>
      <c r="D4" s="3"/>
      <c r="E4" s="94"/>
      <c r="F4" s="144" t="str">
        <f>IF('20 Seg Dev'!F4=0," ",'20 Seg Dev'!F4)</f>
        <v xml:space="preserve"> </v>
      </c>
      <c r="G4" s="154" t="s">
        <v>389</v>
      </c>
      <c r="H4" s="138"/>
      <c r="I4" s="155" t="s">
        <v>87</v>
      </c>
      <c r="J4" s="3"/>
      <c r="K4" s="149"/>
    </row>
    <row r="5" spans="1:11" ht="18" customHeight="1">
      <c r="A5" s="118"/>
      <c r="B5" s="126" t="s">
        <v>9</v>
      </c>
      <c r="C5" s="153"/>
      <c r="D5" s="94"/>
      <c r="F5" s="144" t="str">
        <f>IF('20 Seg Dev'!F5=0," ",'20 Seg Dev'!F5)</f>
        <v xml:space="preserve"> </v>
      </c>
      <c r="G5" s="156" t="s">
        <v>391</v>
      </c>
      <c r="H5" s="138"/>
      <c r="I5" s="141" t="s">
        <v>390</v>
      </c>
      <c r="J5" s="94"/>
      <c r="K5" s="149"/>
    </row>
    <row r="6" spans="1:11" ht="15">
      <c r="A6" s="118"/>
      <c r="B6" s="126" t="s">
        <v>386</v>
      </c>
      <c r="C6" s="93"/>
      <c r="D6" s="94"/>
      <c r="E6" s="157"/>
      <c r="F6" s="144" t="str">
        <f>IF('20 Seg Dev'!F6=0," ",'20 Seg Dev'!F6)</f>
        <v xml:space="preserve"> </v>
      </c>
      <c r="G6" s="158" t="s">
        <v>465</v>
      </c>
      <c r="H6" s="138"/>
      <c r="I6" s="159" t="s">
        <v>387</v>
      </c>
      <c r="J6" s="94"/>
      <c r="K6" s="149"/>
    </row>
    <row r="7" spans="1:11" ht="15">
      <c r="A7" s="118"/>
      <c r="B7" s="126" t="s">
        <v>385</v>
      </c>
      <c r="C7" s="93"/>
      <c r="D7" s="94"/>
      <c r="E7" s="157"/>
      <c r="F7" s="144" t="str">
        <f>IF('20 Seg Dev'!F7=0," ",'20 Seg Dev'!F7)</f>
        <v xml:space="preserve"> </v>
      </c>
      <c r="G7" s="96" t="s">
        <v>468</v>
      </c>
      <c r="H7" s="138"/>
      <c r="I7" s="140"/>
      <c r="J7" s="94"/>
      <c r="K7" s="149"/>
    </row>
    <row r="8" spans="1:11" ht="15">
      <c r="A8" s="118"/>
      <c r="B8" s="126" t="s">
        <v>281</v>
      </c>
      <c r="C8" s="160">
        <v>2033</v>
      </c>
      <c r="D8" s="94"/>
      <c r="E8" s="92"/>
      <c r="F8" s="92"/>
      <c r="G8" s="157"/>
      <c r="H8" s="223"/>
      <c r="I8" s="92"/>
      <c r="J8" s="92"/>
      <c r="K8" s="149"/>
    </row>
    <row r="9" spans="1:11" ht="15">
      <c r="A9" s="118"/>
      <c r="B9" s="126"/>
      <c r="C9" s="129"/>
      <c r="D9" s="94"/>
      <c r="E9" s="92"/>
      <c r="F9" s="92"/>
      <c r="G9" s="92"/>
      <c r="H9" s="92"/>
      <c r="I9" s="92"/>
      <c r="J9" s="92"/>
      <c r="K9" s="149"/>
    </row>
    <row r="10" spans="1:11" ht="15">
      <c r="A10" s="982"/>
      <c r="B10" s="983"/>
      <c r="C10" s="142"/>
      <c r="D10" s="113"/>
      <c r="E10" s="113"/>
      <c r="F10" s="113"/>
      <c r="G10" s="113"/>
      <c r="H10" s="113"/>
      <c r="I10" s="113"/>
      <c r="J10" s="113"/>
      <c r="K10" s="114"/>
    </row>
    <row r="11" spans="1:11" ht="15" thickBot="1">
      <c r="A11" s="94"/>
      <c r="B11" s="94"/>
      <c r="C11" s="94"/>
      <c r="D11" s="94"/>
      <c r="E11" s="94"/>
      <c r="F11" s="94"/>
      <c r="G11" s="94"/>
      <c r="H11" s="94"/>
      <c r="I11" s="94"/>
      <c r="J11" s="94"/>
      <c r="K11" s="94"/>
    </row>
    <row r="12" spans="1:11" ht="29.25" customHeight="1">
      <c r="A12" s="984">
        <f>C8</f>
        <v>2033</v>
      </c>
      <c r="B12" s="985"/>
      <c r="C12" s="985"/>
      <c r="D12" s="161" t="s">
        <v>170</v>
      </c>
      <c r="E12" s="162" t="s">
        <v>171</v>
      </c>
      <c r="F12" s="162" t="s">
        <v>172</v>
      </c>
      <c r="G12" s="162" t="s">
        <v>173</v>
      </c>
      <c r="H12" s="162" t="s">
        <v>174</v>
      </c>
      <c r="I12" s="162" t="s">
        <v>175</v>
      </c>
      <c r="J12" s="162" t="s">
        <v>176</v>
      </c>
      <c r="K12" s="163" t="s">
        <v>177</v>
      </c>
    </row>
    <row r="13" spans="1:11" ht="15">
      <c r="A13" s="165" t="s">
        <v>272</v>
      </c>
      <c r="B13" s="128"/>
      <c r="C13" s="128"/>
      <c r="D13" s="127"/>
      <c r="E13" s="127"/>
      <c r="F13" s="127"/>
      <c r="G13" s="127"/>
      <c r="H13" s="127"/>
      <c r="I13" s="127"/>
      <c r="J13" s="127"/>
      <c r="K13" s="166"/>
    </row>
    <row r="14" spans="1:11" ht="15">
      <c r="A14" s="167" t="s">
        <v>178</v>
      </c>
      <c r="B14" s="168"/>
      <c r="C14" s="168"/>
      <c r="D14" s="169" t="e">
        <f>SUM(E14:K14)</f>
        <v>#N/A</v>
      </c>
      <c r="E14" s="105" t="e">
        <v>#N/A</v>
      </c>
      <c r="F14" s="105" t="e">
        <v>#N/A</v>
      </c>
      <c r="G14" s="105" t="e">
        <v>#N/A</v>
      </c>
      <c r="H14" s="105" t="e">
        <v>#N/A</v>
      </c>
      <c r="I14" s="105" t="e">
        <v>#N/A</v>
      </c>
      <c r="J14" s="105" t="e">
        <v>#N/A</v>
      </c>
      <c r="K14" s="104" t="e">
        <v>#N/A</v>
      </c>
    </row>
    <row r="15" spans="1:11">
      <c r="A15" s="171" t="s">
        <v>237</v>
      </c>
      <c r="B15" s="172"/>
      <c r="C15" s="172"/>
      <c r="D15" s="173" t="e">
        <f>SUM(E15:K15)</f>
        <v>#N/A</v>
      </c>
      <c r="E15" s="174" t="e">
        <f>E14/D14</f>
        <v>#N/A</v>
      </c>
      <c r="F15" s="174" t="e">
        <f>F14/D14</f>
        <v>#N/A</v>
      </c>
      <c r="G15" s="174" t="e">
        <f>G14/D14</f>
        <v>#N/A</v>
      </c>
      <c r="H15" s="174" t="e">
        <f>H14/D14</f>
        <v>#N/A</v>
      </c>
      <c r="I15" s="174" t="e">
        <f>I14/D14</f>
        <v>#N/A</v>
      </c>
      <c r="J15" s="174" t="e">
        <f>J14/D14</f>
        <v>#N/A</v>
      </c>
      <c r="K15" s="175" t="e">
        <f>K14/D14</f>
        <v>#N/A</v>
      </c>
    </row>
    <row r="16" spans="1:11">
      <c r="A16" s="176" t="s">
        <v>81</v>
      </c>
      <c r="B16" s="172"/>
      <c r="C16" s="172"/>
      <c r="D16" s="97"/>
      <c r="E16" s="97"/>
      <c r="F16" s="97"/>
      <c r="G16" s="97"/>
      <c r="H16" s="97"/>
      <c r="I16" s="97"/>
      <c r="J16" s="97"/>
      <c r="K16" s="98"/>
    </row>
    <row r="17" spans="1:11">
      <c r="A17" s="167"/>
      <c r="B17" s="172" t="s">
        <v>499</v>
      </c>
      <c r="C17" s="172"/>
      <c r="D17" s="169" t="e">
        <f>SUM(E17:K17)</f>
        <v>#N/A</v>
      </c>
      <c r="E17" s="100"/>
      <c r="F17" s="102" t="e">
        <f>HLOOKUP($A$12,'Repayment Inputs'!$B$2:$J$24,19,FALSE)</f>
        <v>#N/A</v>
      </c>
      <c r="G17" s="224"/>
      <c r="H17" s="100"/>
      <c r="I17" s="100"/>
      <c r="J17" s="100"/>
      <c r="K17" s="99"/>
    </row>
    <row r="18" spans="1:11">
      <c r="A18" s="167"/>
      <c r="B18" s="172" t="s">
        <v>500</v>
      </c>
      <c r="C18" s="172"/>
      <c r="D18" s="169">
        <f>SUM(E18:K18)</f>
        <v>0</v>
      </c>
      <c r="E18" s="100"/>
      <c r="F18" s="101">
        <f>-(HLOOKUP($A$12,AFUDC!$I$13:$AJ$38,25,FALSE))</f>
        <v>0</v>
      </c>
      <c r="G18" s="100"/>
      <c r="H18" s="100"/>
      <c r="I18" s="100"/>
      <c r="J18" s="100"/>
      <c r="K18" s="99"/>
    </row>
    <row r="19" spans="1:11">
      <c r="A19" s="167"/>
      <c r="B19" s="172" t="s">
        <v>496</v>
      </c>
      <c r="C19" s="172"/>
      <c r="D19" s="169" t="e">
        <f>SUM(E19:K19)</f>
        <v>#N/A</v>
      </c>
      <c r="E19" s="100"/>
      <c r="F19" s="169" t="e">
        <f>SUM(F17:F18)</f>
        <v>#N/A</v>
      </c>
      <c r="G19" s="100"/>
      <c r="H19" s="100"/>
      <c r="I19" s="100"/>
      <c r="J19" s="100"/>
      <c r="K19" s="99"/>
    </row>
    <row r="20" spans="1:11">
      <c r="A20" s="177" t="s">
        <v>179</v>
      </c>
      <c r="B20" s="172"/>
      <c r="C20" s="172"/>
      <c r="D20" s="103"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1" ht="15">
      <c r="A21" s="179" t="s">
        <v>180</v>
      </c>
      <c r="B21" s="168"/>
      <c r="C21" s="168"/>
      <c r="D21" s="180" t="e">
        <f t="shared" ref="D21:K21" si="0">D20+D19</f>
        <v>#N/A</v>
      </c>
      <c r="E21" s="180" t="e">
        <f t="shared" si="0"/>
        <v>#N/A</v>
      </c>
      <c r="F21" s="180" t="e">
        <f t="shared" si="0"/>
        <v>#N/A</v>
      </c>
      <c r="G21" s="180" t="e">
        <f t="shared" si="0"/>
        <v>#N/A</v>
      </c>
      <c r="H21" s="180" t="e">
        <f t="shared" si="0"/>
        <v>#N/A</v>
      </c>
      <c r="I21" s="180" t="e">
        <f t="shared" si="0"/>
        <v>#N/A</v>
      </c>
      <c r="J21" s="180" t="e">
        <f t="shared" si="0"/>
        <v>#N/A</v>
      </c>
      <c r="K21" s="181" t="e">
        <f t="shared" si="0"/>
        <v>#N/A</v>
      </c>
    </row>
    <row r="22" spans="1:11">
      <c r="A22" s="176" t="s">
        <v>184</v>
      </c>
      <c r="B22" s="172"/>
      <c r="C22" s="172"/>
      <c r="D22" s="97"/>
      <c r="E22" s="97"/>
      <c r="F22" s="97"/>
      <c r="G22" s="97"/>
      <c r="H22" s="97"/>
      <c r="I22" s="97"/>
      <c r="J22" s="97"/>
      <c r="K22" s="98"/>
    </row>
    <row r="23" spans="1:11">
      <c r="A23" s="167"/>
      <c r="B23" s="172" t="s">
        <v>495</v>
      </c>
      <c r="C23" s="172"/>
      <c r="D23" s="97"/>
      <c r="E23" s="97"/>
      <c r="F23" s="102" t="e">
        <f>HLOOKUP($A$12,'Repayment Inputs'!$A$2:$J$43,38,FALSE)</f>
        <v>#N/A</v>
      </c>
      <c r="G23" s="224"/>
      <c r="H23" s="97"/>
      <c r="I23" s="97"/>
      <c r="J23" s="97"/>
      <c r="K23" s="98"/>
    </row>
    <row r="24" spans="1:11">
      <c r="A24" s="167"/>
      <c r="B24" s="172" t="s">
        <v>496</v>
      </c>
      <c r="C24" s="172"/>
      <c r="D24" s="97"/>
      <c r="E24" s="97"/>
      <c r="F24" s="182" t="e">
        <f>F19</f>
        <v>#N/A</v>
      </c>
      <c r="G24" s="107"/>
      <c r="H24" s="97"/>
      <c r="I24" s="97"/>
      <c r="J24" s="97"/>
      <c r="K24" s="98"/>
    </row>
    <row r="25" spans="1:11">
      <c r="A25" s="167"/>
      <c r="B25" s="172" t="s">
        <v>497</v>
      </c>
      <c r="C25" s="172"/>
      <c r="D25" s="97"/>
      <c r="E25" s="97"/>
      <c r="F25" s="183">
        <v>7109.6524200592394</v>
      </c>
      <c r="G25" s="225"/>
      <c r="H25" s="97"/>
      <c r="I25" s="97"/>
      <c r="J25" s="97"/>
      <c r="K25" s="98"/>
    </row>
    <row r="26" spans="1:11">
      <c r="A26" s="167"/>
      <c r="B26" s="172" t="s">
        <v>498</v>
      </c>
      <c r="C26" s="172"/>
      <c r="D26" s="182" t="e">
        <f>F26</f>
        <v>#N/A</v>
      </c>
      <c r="E26" s="97"/>
      <c r="F26" s="182" t="e">
        <f>F23-F24-F25</f>
        <v>#N/A</v>
      </c>
      <c r="G26" s="107"/>
      <c r="H26" s="97"/>
      <c r="I26" s="97"/>
      <c r="J26" s="97"/>
      <c r="K26" s="98"/>
    </row>
    <row r="27" spans="1:11">
      <c r="A27" s="185" t="s">
        <v>481</v>
      </c>
      <c r="B27" s="172"/>
      <c r="C27" s="172"/>
      <c r="D27" s="109"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1" ht="15">
      <c r="A28" s="179" t="s">
        <v>185</v>
      </c>
      <c r="B28" s="172"/>
      <c r="C28" s="172"/>
      <c r="D28" s="180" t="e">
        <f>D27+D26</f>
        <v>#N/A</v>
      </c>
      <c r="E28" s="180" t="e">
        <f t="shared" ref="E28:K28" si="1">E27+E26</f>
        <v>#N/A</v>
      </c>
      <c r="F28" s="180" t="e">
        <f t="shared" si="1"/>
        <v>#N/A</v>
      </c>
      <c r="G28" s="180" t="e">
        <f t="shared" si="1"/>
        <v>#N/A</v>
      </c>
      <c r="H28" s="180" t="e">
        <f t="shared" si="1"/>
        <v>#N/A</v>
      </c>
      <c r="I28" s="180" t="e">
        <f t="shared" si="1"/>
        <v>#N/A</v>
      </c>
      <c r="J28" s="180" t="e">
        <f t="shared" si="1"/>
        <v>#N/A</v>
      </c>
      <c r="K28" s="181" t="e">
        <f t="shared" si="1"/>
        <v>#N/A</v>
      </c>
    </row>
    <row r="29" spans="1:11" ht="15">
      <c r="A29" s="176" t="s">
        <v>189</v>
      </c>
      <c r="B29" s="172"/>
      <c r="C29" s="172"/>
      <c r="D29" s="122"/>
      <c r="E29" s="122"/>
      <c r="F29" s="122"/>
      <c r="G29" s="122"/>
      <c r="H29" s="122"/>
      <c r="I29" s="122"/>
      <c r="J29" s="122"/>
      <c r="K29" s="121"/>
    </row>
    <row r="30" spans="1:11">
      <c r="A30" s="186" t="s">
        <v>550</v>
      </c>
      <c r="B30" s="172"/>
      <c r="C30" s="172"/>
      <c r="D30" s="169">
        <f>SUM(E30:K30)</f>
        <v>352639.61582599999</v>
      </c>
      <c r="E30" s="183">
        <v>3392</v>
      </c>
      <c r="F30" s="183">
        <v>291512.61582599999</v>
      </c>
      <c r="G30" s="183">
        <v>27546</v>
      </c>
      <c r="H30" s="183">
        <v>3332</v>
      </c>
      <c r="I30" s="183">
        <v>437</v>
      </c>
      <c r="J30" s="183">
        <v>187</v>
      </c>
      <c r="K30" s="187">
        <v>26233</v>
      </c>
    </row>
    <row r="31" spans="1:11">
      <c r="A31" s="186" t="s">
        <v>186</v>
      </c>
      <c r="B31" s="172"/>
      <c r="C31" s="172"/>
      <c r="D31" s="188" t="e">
        <f>SUM(E31:K31)</f>
        <v>#N/A</v>
      </c>
      <c r="E31" s="189" t="e">
        <f>E49/D49</f>
        <v>#N/A</v>
      </c>
      <c r="F31" s="189" t="e">
        <f>F49/D49</f>
        <v>#N/A</v>
      </c>
      <c r="G31" s="189" t="e">
        <f>G49/D49</f>
        <v>#N/A</v>
      </c>
      <c r="H31" s="189" t="e">
        <f>H49/D49</f>
        <v>#N/A</v>
      </c>
      <c r="I31" s="189" t="e">
        <f>I49/D49</f>
        <v>#N/A</v>
      </c>
      <c r="J31" s="189" t="e">
        <f>J49/D49</f>
        <v>#N/A</v>
      </c>
      <c r="K31" s="190" t="e">
        <f>K49/D49</f>
        <v>#N/A</v>
      </c>
    </row>
    <row r="32" spans="1:11">
      <c r="A32" s="186" t="s">
        <v>187</v>
      </c>
      <c r="B32" s="172"/>
      <c r="C32" s="172"/>
      <c r="D32" s="105">
        <v>117716</v>
      </c>
      <c r="E32" s="169" t="e">
        <f>D32*E31</f>
        <v>#N/A</v>
      </c>
      <c r="F32" s="169" t="e">
        <f>D32*F31</f>
        <v>#N/A</v>
      </c>
      <c r="G32" s="169" t="e">
        <f>D32*G31</f>
        <v>#N/A</v>
      </c>
      <c r="H32" s="169" t="e">
        <f>D32*H31</f>
        <v>#N/A</v>
      </c>
      <c r="I32" s="169" t="e">
        <f>D32*I31</f>
        <v>#N/A</v>
      </c>
      <c r="J32" s="169" t="e">
        <f>D32*J31</f>
        <v>#N/A</v>
      </c>
      <c r="K32" s="178" t="e">
        <f>D32*K31</f>
        <v>#N/A</v>
      </c>
    </row>
    <row r="33" spans="1:11" ht="15">
      <c r="A33" s="179" t="s">
        <v>188</v>
      </c>
      <c r="B33" s="172"/>
      <c r="C33" s="172"/>
      <c r="D33" s="180" t="e">
        <f>SUM(E33:K33)</f>
        <v>#N/A</v>
      </c>
      <c r="E33" s="180" t="e">
        <f t="shared" ref="E33:K33" si="2">E32+E30</f>
        <v>#N/A</v>
      </c>
      <c r="F33" s="180" t="e">
        <f>F32+F30</f>
        <v>#N/A</v>
      </c>
      <c r="G33" s="180" t="e">
        <f>G32+G30</f>
        <v>#N/A</v>
      </c>
      <c r="H33" s="180" t="e">
        <f t="shared" si="2"/>
        <v>#N/A</v>
      </c>
      <c r="I33" s="180" t="e">
        <f t="shared" si="2"/>
        <v>#N/A</v>
      </c>
      <c r="J33" s="180" t="e">
        <f t="shared" si="2"/>
        <v>#N/A</v>
      </c>
      <c r="K33" s="181" t="e">
        <f t="shared" si="2"/>
        <v>#N/A</v>
      </c>
    </row>
    <row r="34" spans="1:11" ht="9" customHeight="1">
      <c r="A34" s="167"/>
      <c r="B34" s="172"/>
      <c r="C34" s="172"/>
      <c r="D34" s="97"/>
      <c r="E34" s="97"/>
      <c r="F34" s="97"/>
      <c r="G34" s="97"/>
      <c r="H34" s="97"/>
      <c r="I34" s="97"/>
      <c r="J34" s="97"/>
      <c r="K34" s="98"/>
    </row>
    <row r="35" spans="1:11" ht="15">
      <c r="A35" s="165" t="s">
        <v>236</v>
      </c>
      <c r="B35" s="172"/>
      <c r="C35" s="172"/>
      <c r="D35" s="97"/>
      <c r="E35" s="97"/>
      <c r="F35" s="97"/>
      <c r="G35" s="97"/>
      <c r="H35" s="97"/>
      <c r="I35" s="97"/>
      <c r="J35" s="97"/>
      <c r="K35" s="98"/>
    </row>
    <row r="36" spans="1:11">
      <c r="A36" s="191" t="s">
        <v>520</v>
      </c>
      <c r="B36" s="172"/>
      <c r="C36" s="172"/>
      <c r="D36" s="97"/>
      <c r="E36" s="97"/>
      <c r="F36" s="97"/>
      <c r="G36" s="97"/>
      <c r="H36" s="97"/>
      <c r="I36" s="97"/>
      <c r="J36" s="97"/>
      <c r="K36" s="98"/>
    </row>
    <row r="37" spans="1:11">
      <c r="A37" s="192" t="s">
        <v>299</v>
      </c>
      <c r="B37" s="172"/>
      <c r="C37" s="172"/>
      <c r="D37" s="193">
        <f>SUM(E37:J37)</f>
        <v>53823.005644218851</v>
      </c>
      <c r="E37" s="194">
        <v>618.34147943144103</v>
      </c>
      <c r="F37" s="194">
        <v>48832.749636183224</v>
      </c>
      <c r="G37" s="194">
        <v>2251.9919741894219</v>
      </c>
      <c r="H37" s="194">
        <v>2106.6816600118982</v>
      </c>
      <c r="I37" s="194">
        <v>13.240894402875242</v>
      </c>
      <c r="J37" s="194">
        <v>0</v>
      </c>
      <c r="K37" s="98"/>
    </row>
    <row r="38" spans="1:11">
      <c r="A38" s="192" t="s">
        <v>300</v>
      </c>
      <c r="B38" s="172"/>
      <c r="C38" s="172"/>
      <c r="D38" s="193">
        <f>SUM(E38:J38)</f>
        <v>132737.47345136068</v>
      </c>
      <c r="E38" s="194">
        <v>3338.1230956561526</v>
      </c>
      <c r="F38" s="194">
        <v>108435.56239276817</v>
      </c>
      <c r="G38" s="194">
        <v>18653.483372581512</v>
      </c>
      <c r="H38" s="194">
        <v>791.08340744031898</v>
      </c>
      <c r="I38" s="194">
        <v>1117.8722943054693</v>
      </c>
      <c r="J38" s="194">
        <v>401.34888860906045</v>
      </c>
      <c r="K38" s="98"/>
    </row>
    <row r="39" spans="1:11" ht="15">
      <c r="A39" s="195" t="s">
        <v>301</v>
      </c>
      <c r="B39" s="168"/>
      <c r="C39" s="168"/>
      <c r="D39" s="193">
        <f>SUM(D37:D38)</f>
        <v>186560.47909557953</v>
      </c>
      <c r="E39" s="97"/>
      <c r="F39" s="97"/>
      <c r="G39" s="97"/>
      <c r="H39" s="97"/>
      <c r="I39" s="97"/>
      <c r="J39" s="97"/>
      <c r="K39" s="98"/>
    </row>
    <row r="40" spans="1:11">
      <c r="A40" s="196" t="s">
        <v>239</v>
      </c>
      <c r="B40" s="172"/>
      <c r="C40" s="172"/>
      <c r="D40" s="97"/>
      <c r="E40" s="97"/>
      <c r="F40" s="97"/>
      <c r="G40" s="97"/>
      <c r="H40" s="97"/>
      <c r="I40" s="97"/>
      <c r="J40" s="97"/>
      <c r="K40" s="98"/>
    </row>
    <row r="41" spans="1:11">
      <c r="A41" s="185" t="s">
        <v>240</v>
      </c>
      <c r="B41" s="172"/>
      <c r="C41" s="172"/>
      <c r="D41" s="197" t="e">
        <f>SUM((HLOOKUP($A$12,'Expense Input File'!$B$27:$L$70,3,FALSE)),(HLOOKUP($A$12,'Expense Input File'!$B$27:$L$70,4,FALSE)),(HLOOKUP($A$12,'Expense Input File'!$B$27:$L$70,5,FALSE)), (HLOOKUP($A$12,'Expense Input File'!$B$27:$L$70,6,FALSE)),(HLOOKUP($A$12,'Expense Input File'!$B$27:$L$70,7,FALSE)))-$K$41</f>
        <v>#N/A</v>
      </c>
      <c r="E41" s="97"/>
      <c r="F41" s="197" t="e">
        <f>(HLOOKUP($A$12,'Expense Input File'!$A$27:$L$70,33,FALSE))</f>
        <v>#N/A</v>
      </c>
      <c r="G41" s="97"/>
      <c r="H41" s="97"/>
      <c r="I41" s="97"/>
      <c r="J41" s="97"/>
      <c r="K41" s="198" t="e">
        <f>SUM((HLOOKUP($A$12,'Expense Input File'!$B$27:$L$70,3,FALSE)),(HLOOKUP($A$12,'Expense Input File'!$B$27:$L$70,4,FALSE)),(HLOOKUP($A$12,'Expense Input File'!$B$27:$L$70,5,FALSE)), (HLOOKUP($A$12,'Expense Input File'!$B$27:$L$70,6,FALSE)))-(HLOOKUP($A$12,'Expense Input File'!$A$27:$L$70,8,FALSE))</f>
        <v>#N/A</v>
      </c>
    </row>
    <row r="42" spans="1:11">
      <c r="A42" s="185" t="s">
        <v>241</v>
      </c>
      <c r="B42" s="172"/>
      <c r="C42" s="172"/>
      <c r="D42" s="197" t="e">
        <f>HLOOKUP($A$12,'Expense Input File'!$B$14:$L$24,4,FALSE)</f>
        <v>#N/A</v>
      </c>
      <c r="E42" s="97"/>
      <c r="F42" s="97"/>
      <c r="G42" s="97"/>
      <c r="H42" s="97"/>
      <c r="I42" s="97"/>
      <c r="J42" s="97"/>
      <c r="K42" s="98"/>
    </row>
    <row r="43" spans="1:11" ht="5.25" customHeight="1">
      <c r="A43" s="185"/>
      <c r="B43" s="172"/>
      <c r="C43" s="172"/>
      <c r="D43" s="100"/>
      <c r="E43" s="97"/>
      <c r="F43" s="97"/>
      <c r="G43" s="97"/>
      <c r="H43" s="97"/>
      <c r="I43" s="97"/>
      <c r="J43" s="97"/>
      <c r="K43" s="98"/>
    </row>
    <row r="44" spans="1:11">
      <c r="A44" s="199" t="s">
        <v>266</v>
      </c>
      <c r="B44" s="172"/>
      <c r="C44" s="172"/>
      <c r="D44" s="182" t="e">
        <f>SUM(D41:D42)</f>
        <v>#N/A</v>
      </c>
      <c r="E44" s="97"/>
      <c r="F44" s="97"/>
      <c r="G44" s="97"/>
      <c r="H44" s="97"/>
      <c r="I44" s="97"/>
      <c r="J44" s="97"/>
      <c r="K44" s="98"/>
    </row>
    <row r="45" spans="1:11">
      <c r="A45" s="200" t="s">
        <v>267</v>
      </c>
      <c r="B45" s="172"/>
      <c r="C45" s="172"/>
      <c r="D45" s="182" t="e">
        <f>D44-D46</f>
        <v>#N/A</v>
      </c>
      <c r="E45" s="226" t="e">
        <f>(E37/D37)*D45</f>
        <v>#N/A</v>
      </c>
      <c r="F45" s="182" t="e">
        <f>(F37/D37)*D45</f>
        <v>#N/A</v>
      </c>
      <c r="G45" s="182" t="e">
        <f>(G37/D37)*D45</f>
        <v>#N/A</v>
      </c>
      <c r="H45" s="182" t="e">
        <f>(H37/D37)*D45</f>
        <v>#N/A</v>
      </c>
      <c r="I45" s="182" t="e">
        <f>(I37/D37)*D45</f>
        <v>#N/A</v>
      </c>
      <c r="J45" s="182" t="e">
        <f>(J37/D37)*D45</f>
        <v>#N/A</v>
      </c>
      <c r="K45" s="98"/>
    </row>
    <row r="46" spans="1:11">
      <c r="A46" s="200" t="s">
        <v>269</v>
      </c>
      <c r="B46" s="172"/>
      <c r="C46" s="172"/>
      <c r="D46" s="169" t="e">
        <f>((D38/D39)*D44)</f>
        <v>#N/A</v>
      </c>
      <c r="E46" s="226" t="e">
        <f>(E38/D38)*D46</f>
        <v>#N/A</v>
      </c>
      <c r="F46" s="182" t="e">
        <f>(F38/D38)*D46</f>
        <v>#N/A</v>
      </c>
      <c r="G46" s="182" t="e">
        <f>(G38/D38)*D46</f>
        <v>#N/A</v>
      </c>
      <c r="H46" s="182" t="e">
        <f>(H38/D38)*D46</f>
        <v>#N/A</v>
      </c>
      <c r="I46" s="182" t="e">
        <f>(I38/D38)*D46</f>
        <v>#N/A</v>
      </c>
      <c r="J46" s="182" t="e">
        <f>(J38/D38)*D46</f>
        <v>#N/A</v>
      </c>
      <c r="K46" s="98"/>
    </row>
    <row r="47" spans="1:11" ht="15">
      <c r="A47" s="202" t="s">
        <v>268</v>
      </c>
      <c r="B47" s="168"/>
      <c r="C47" s="168"/>
      <c r="D47" s="182" t="e">
        <f>SUM(E47:J47)</f>
        <v>#N/A</v>
      </c>
      <c r="E47" s="182" t="e">
        <f t="shared" ref="E47:J47" si="3">SUM(E45:E46)</f>
        <v>#N/A</v>
      </c>
      <c r="F47" s="182" t="e">
        <f t="shared" si="3"/>
        <v>#N/A</v>
      </c>
      <c r="G47" s="182" t="e">
        <f t="shared" si="3"/>
        <v>#N/A</v>
      </c>
      <c r="H47" s="182" t="e">
        <f t="shared" si="3"/>
        <v>#N/A</v>
      </c>
      <c r="I47" s="182" t="e">
        <f t="shared" si="3"/>
        <v>#N/A</v>
      </c>
      <c r="J47" s="182" t="e">
        <f t="shared" si="3"/>
        <v>#N/A</v>
      </c>
      <c r="K47" s="98"/>
    </row>
    <row r="48" spans="1:11">
      <c r="A48" s="203" t="s">
        <v>25</v>
      </c>
      <c r="B48" s="172"/>
      <c r="C48" s="172"/>
      <c r="D48" s="204" t="e">
        <f>K48</f>
        <v>#N/A</v>
      </c>
      <c r="E48" s="119"/>
      <c r="F48" s="119"/>
      <c r="G48" s="119"/>
      <c r="H48" s="119"/>
      <c r="I48" s="119"/>
      <c r="J48" s="119"/>
      <c r="K48" s="205" t="e">
        <f>SUM((HLOOKUP($A$12,'Expense Input File'!$A$27:$L$70,24,FALSE)),(HLOOKUP($A$12,'Expense Input File'!$A$27:$L$70,25,FALSE)),(HLOOKUP($A$12,'Expense Input File'!$A$27:$L$70,26,FALSE)),(HLOOKUP($A$12,'Expense Input File'!$A$27:$L$70,27,FALSE)),(HLOOKUP($A$12,'Expense Input File'!$A$27:$L$70,28,FALSE)))</f>
        <v>#N/A</v>
      </c>
    </row>
    <row r="49" spans="1:12" ht="15">
      <c r="A49" s="206" t="s">
        <v>270</v>
      </c>
      <c r="B49" s="168"/>
      <c r="C49" s="168"/>
      <c r="D49" s="180" t="e">
        <f>SUM(E49:K49)</f>
        <v>#N/A</v>
      </c>
      <c r="E49" s="180" t="e">
        <f>E47</f>
        <v>#N/A</v>
      </c>
      <c r="F49" s="180" t="e">
        <f>F47+F41</f>
        <v>#N/A</v>
      </c>
      <c r="G49" s="180" t="e">
        <f>G47</f>
        <v>#N/A</v>
      </c>
      <c r="H49" s="180" t="e">
        <f>H47</f>
        <v>#N/A</v>
      </c>
      <c r="I49" s="180" t="e">
        <f>I47</f>
        <v>#N/A</v>
      </c>
      <c r="J49" s="180" t="e">
        <f>J47</f>
        <v>#N/A</v>
      </c>
      <c r="K49" s="181" t="e">
        <f>K48+K41</f>
        <v>#N/A</v>
      </c>
    </row>
    <row r="50" spans="1:12">
      <c r="A50" s="196" t="s">
        <v>271</v>
      </c>
      <c r="B50" s="172"/>
      <c r="C50" s="172"/>
      <c r="D50" s="97"/>
      <c r="E50" s="97"/>
      <c r="F50" s="97"/>
      <c r="G50" s="97"/>
      <c r="H50" s="97"/>
      <c r="I50" s="97"/>
      <c r="J50" s="97"/>
      <c r="K50" s="98"/>
    </row>
    <row r="51" spans="1:12">
      <c r="A51" s="207" t="s">
        <v>46</v>
      </c>
      <c r="B51" s="172"/>
      <c r="C51" s="172"/>
      <c r="D51" s="197" t="e">
        <f>SUM((HLOOKUP($A$12,'Expense Input File'!$A$27:$L$70,10,FALSE)),(HLOOKUP($A$12,'Expense Input File'!$A$27:$L$70,11,FALSE)),(HLOOKUP($A$12,'Expense Input File'!$A$27:$L$70,12,FALSE)),(HLOOKUP($A$12,'Expense Input File'!$A$27:$L$70,13,FALSE)))</f>
        <v>#N/A</v>
      </c>
      <c r="E51" s="169" t="e">
        <f>(E49/D49)*D51</f>
        <v>#N/A</v>
      </c>
      <c r="F51" s="169" t="e">
        <f>(F49/D49)*D51</f>
        <v>#N/A</v>
      </c>
      <c r="G51" s="169" t="e">
        <f>(G49/D49)*D51</f>
        <v>#N/A</v>
      </c>
      <c r="H51" s="169" t="e">
        <f>(H49/D49)*D51</f>
        <v>#N/A</v>
      </c>
      <c r="I51" s="169" t="e">
        <f>(I49/D49)*D51</f>
        <v>#N/A</v>
      </c>
      <c r="J51" s="169" t="e">
        <f>(J49/D49)*D51</f>
        <v>#N/A</v>
      </c>
      <c r="K51" s="178" t="e">
        <f>(K49/D49)*D51</f>
        <v>#N/A</v>
      </c>
    </row>
    <row r="52" spans="1:12">
      <c r="A52" s="207" t="s">
        <v>47</v>
      </c>
      <c r="B52" s="172"/>
      <c r="C52" s="172"/>
      <c r="D52" s="197" t="e">
        <f>SUM((HLOOKUP($A$12,'Expense Input File'!$A$27:$L$70,14,FALSE)),(HLOOKUP($A$12,'Expense Input File'!$A$27:$L$70,16,FALSE)),(HLOOKUP($A$12,'Expense Input File'!$A$27:$L$70,17,FALSE)),(HLOOKUP($A$12,'Expense Input File'!$A$27:$L$70,18,FALSE)),(HLOOKUP($A$12,'Expense Input File'!$A$27:$L$70,19,FALSE)),(HLOOKUP($A$12,'Expense Input File'!$A$27:$L$70,20,FALSE)),(HLOOKUP($A$12,'Expense Input File'!$A$27:$L$70,21,FALSE)),(HLOOKUP($A$12,'Expense Input File'!$A$27:$L$70,30,FALSE)),(HLOOKUP($A$12,'Expense Input File'!$A$27:$L$70,31,FALSE)),(HLOOKUP($A$12,'Expense Input File'!$A$27:$L$70,32,FALSE)))</f>
        <v>#N/A</v>
      </c>
      <c r="E52" s="169" t="e">
        <f>(E49/D49)*D52</f>
        <v>#N/A</v>
      </c>
      <c r="F52" s="169" t="e">
        <f>(F49/D49)*D52</f>
        <v>#N/A</v>
      </c>
      <c r="G52" s="169" t="e">
        <f>(G49/D49)*D52</f>
        <v>#N/A</v>
      </c>
      <c r="H52" s="169" t="e">
        <f>(H49/D49)*D52</f>
        <v>#N/A</v>
      </c>
      <c r="I52" s="169" t="e">
        <f>(I49/D49)*D52</f>
        <v>#N/A</v>
      </c>
      <c r="J52" s="169" t="e">
        <f>(J49/D49)*D52</f>
        <v>#N/A</v>
      </c>
      <c r="K52" s="178" t="e">
        <f>(K49/D49)*D52</f>
        <v>#N/A</v>
      </c>
    </row>
    <row r="53" spans="1:12">
      <c r="A53" s="207" t="s">
        <v>273</v>
      </c>
      <c r="B53" s="172"/>
      <c r="C53" s="172"/>
      <c r="D53" s="197" t="e">
        <f>HLOOKUP($A$12,'Expense Input File'!$B$14:$L$24,3,FALSE)</f>
        <v>#N/A</v>
      </c>
      <c r="E53" s="197" t="e">
        <f>(E49/D49)*(D53-(HLOOKUP($A$12,'Expense Input File'!$A$14:$L$24,10,FALSE)))</f>
        <v>#N/A</v>
      </c>
      <c r="F53" s="105" t="e">
        <f>(F49/D49)*(D53-(HLOOKUP($A$12,'Expense Input File'!$A$14:$L$24,10,FALSE)))</f>
        <v>#N/A</v>
      </c>
      <c r="G53" s="197" t="e">
        <f>(G49/D49)*(D53-(HLOOKUP($A$12,'Expense Input File'!$A$14:$L$24,10,FALSE)))</f>
        <v>#N/A</v>
      </c>
      <c r="H53" s="197" t="e">
        <f>(H49/D49)*(D53-(HLOOKUP($A$12,'Expense Input File'!$A$14:$L$24,10,FALSE)))</f>
        <v>#N/A</v>
      </c>
      <c r="I53" s="197" t="e">
        <f>(I49/D49)*(D53-(HLOOKUP($A$12,'Expense Input File'!$A$14:$L$24,10,FALSE)))</f>
        <v>#N/A</v>
      </c>
      <c r="J53" s="197" t="e">
        <f>(J49/D49)*(D53-(HLOOKUP($A$12,'Expense Input File'!$A$14:$L$24,10,FALSE)))</f>
        <v>#N/A</v>
      </c>
      <c r="K53" s="198" t="e">
        <f>((K49/D49)*(D53-(HLOOKUP($A$12,'Expense Input File'!$A$14:$L$24,10,FALSE))))+(HLOOKUP($A$12,'Expense Input File'!$A$14:$L$24,10,FALSE))</f>
        <v>#N/A</v>
      </c>
    </row>
    <row r="54" spans="1:12">
      <c r="A54" s="207" t="s">
        <v>292</v>
      </c>
      <c r="B54" s="172"/>
      <c r="C54" s="172"/>
      <c r="D54" s="208" t="e">
        <f>SUM((HLOOKUP($A$12,'Expense Input File'!$A$14:$L$24,7,FALSE)),(HLOOKUP($A$12,'Expense Input File'!$A$14:$L$24,8,FALSE)))</f>
        <v>#N/A</v>
      </c>
      <c r="E54" s="209" t="e">
        <f>(E49/D49)*D54</f>
        <v>#N/A</v>
      </c>
      <c r="F54" s="209" t="e">
        <f>(F49/D49)*D54</f>
        <v>#N/A</v>
      </c>
      <c r="G54" s="209" t="e">
        <f>(G49/D49)*D54</f>
        <v>#N/A</v>
      </c>
      <c r="H54" s="209" t="e">
        <f>(H49/D49)*D54</f>
        <v>#N/A</v>
      </c>
      <c r="I54" s="209" t="e">
        <f>(I49/D49)*D54</f>
        <v>#N/A</v>
      </c>
      <c r="J54" s="209" t="e">
        <f>(J49/D49)*D54</f>
        <v>#N/A</v>
      </c>
      <c r="K54" s="210" t="e">
        <f>(K49/D49)*D54</f>
        <v>#N/A</v>
      </c>
    </row>
    <row r="55" spans="1:12" ht="15">
      <c r="A55" s="211" t="s">
        <v>290</v>
      </c>
      <c r="B55" s="172"/>
      <c r="C55" s="172"/>
      <c r="D55" s="180" t="e">
        <f>SUM(D51:D54)</f>
        <v>#N/A</v>
      </c>
      <c r="E55" s="180" t="e">
        <f t="shared" ref="E55:J55" si="4">SUM(E51:E54)</f>
        <v>#N/A</v>
      </c>
      <c r="F55" s="180" t="e">
        <f t="shared" si="4"/>
        <v>#N/A</v>
      </c>
      <c r="G55" s="180" t="e">
        <f t="shared" si="4"/>
        <v>#N/A</v>
      </c>
      <c r="H55" s="180" t="e">
        <f t="shared" si="4"/>
        <v>#N/A</v>
      </c>
      <c r="I55" s="180" t="e">
        <f t="shared" si="4"/>
        <v>#N/A</v>
      </c>
      <c r="J55" s="180" t="e">
        <f t="shared" si="4"/>
        <v>#N/A</v>
      </c>
      <c r="K55" s="181" t="e">
        <f>SUM(K51:K54)</f>
        <v>#N/A</v>
      </c>
      <c r="L55" s="222"/>
    </row>
    <row r="56" spans="1:12" ht="15">
      <c r="A56" s="165" t="s">
        <v>262</v>
      </c>
      <c r="B56" s="172"/>
      <c r="C56" s="172"/>
      <c r="D56" s="180" t="e">
        <f t="shared" ref="D56:K56" si="5">D55+D49</f>
        <v>#N/A</v>
      </c>
      <c r="E56" s="180" t="e">
        <f t="shared" si="5"/>
        <v>#N/A</v>
      </c>
      <c r="F56" s="180" t="e">
        <f t="shared" si="5"/>
        <v>#N/A</v>
      </c>
      <c r="G56" s="180" t="e">
        <f t="shared" si="5"/>
        <v>#N/A</v>
      </c>
      <c r="H56" s="180" t="e">
        <f t="shared" si="5"/>
        <v>#N/A</v>
      </c>
      <c r="I56" s="180" t="e">
        <f t="shared" si="5"/>
        <v>#N/A</v>
      </c>
      <c r="J56" s="180" t="e">
        <f t="shared" si="5"/>
        <v>#N/A</v>
      </c>
      <c r="K56" s="181" t="e">
        <f t="shared" si="5"/>
        <v>#N/A</v>
      </c>
    </row>
    <row r="57" spans="1:12">
      <c r="A57" s="212" t="s">
        <v>177</v>
      </c>
      <c r="B57" s="172"/>
      <c r="C57" s="172"/>
      <c r="D57" s="97"/>
      <c r="E57" s="97"/>
      <c r="F57" s="97"/>
      <c r="G57" s="97"/>
      <c r="H57" s="97"/>
      <c r="I57" s="97"/>
      <c r="J57" s="97"/>
      <c r="K57" s="98"/>
    </row>
    <row r="58" spans="1:12">
      <c r="A58" s="185" t="s">
        <v>278</v>
      </c>
      <c r="B58" s="172"/>
      <c r="C58" s="172"/>
      <c r="D58" s="100"/>
      <c r="E58" s="97"/>
      <c r="F58" s="97"/>
      <c r="G58" s="97"/>
      <c r="H58" s="97"/>
      <c r="I58" s="97"/>
      <c r="J58" s="97"/>
      <c r="K58" s="98"/>
    </row>
    <row r="59" spans="1:12" ht="15">
      <c r="A59" s="185" t="s">
        <v>276</v>
      </c>
      <c r="B59" s="172"/>
      <c r="C59" s="172"/>
      <c r="D59" s="197" t="e">
        <f>(HLOOKUP($A$12,'Expense Input File'!$A$27:$L$91,37,FALSE))</f>
        <v>#N/A</v>
      </c>
      <c r="E59" s="100"/>
      <c r="F59" s="213">
        <v>4418.2761755583124</v>
      </c>
      <c r="G59" s="100"/>
      <c r="H59" s="100"/>
      <c r="I59" s="213">
        <v>2661.5063244416874</v>
      </c>
      <c r="J59" s="100"/>
      <c r="K59" s="98"/>
    </row>
    <row r="60" spans="1:12">
      <c r="A60" s="185" t="s">
        <v>277</v>
      </c>
      <c r="B60" s="172"/>
      <c r="C60" s="172"/>
      <c r="D60" s="197" t="e">
        <f>(HLOOKUP($A$12,'Expense Input File'!$A$27:$L$91,38,FALSE))</f>
        <v>#N/A</v>
      </c>
      <c r="E60" s="100"/>
      <c r="F60" s="97"/>
      <c r="G60" s="182" t="e">
        <f>D60</f>
        <v>#N/A</v>
      </c>
      <c r="H60" s="97"/>
      <c r="I60" s="97"/>
      <c r="J60" s="97"/>
      <c r="K60" s="98"/>
    </row>
    <row r="61" spans="1:12">
      <c r="A61" s="185" t="s">
        <v>275</v>
      </c>
      <c r="B61" s="172"/>
      <c r="C61" s="172"/>
      <c r="D61" s="197" t="e">
        <f>(HLOOKUP($A$12,'Expense Input File'!$A$27:$L$91,41,FALSE))</f>
        <v>#N/A</v>
      </c>
      <c r="E61" s="100"/>
      <c r="F61" s="182" t="e">
        <f>D61</f>
        <v>#N/A</v>
      </c>
      <c r="G61" s="97"/>
      <c r="H61" s="97"/>
      <c r="I61" s="97"/>
      <c r="J61" s="97"/>
      <c r="K61" s="98"/>
    </row>
    <row r="62" spans="1:12" ht="15">
      <c r="A62" s="185" t="s">
        <v>469</v>
      </c>
      <c r="B62" s="172"/>
      <c r="C62" s="172"/>
      <c r="D62" s="197" t="e">
        <f>(HLOOKUP($A$12,'Expense Input File'!$A$27:$L$91,39,FALSE))</f>
        <v>#N/A</v>
      </c>
      <c r="E62" s="100"/>
      <c r="F62" s="215">
        <v>0</v>
      </c>
      <c r="G62" s="215">
        <v>0</v>
      </c>
      <c r="H62" s="97"/>
      <c r="I62" s="97"/>
      <c r="J62" s="97"/>
      <c r="K62" s="98"/>
    </row>
    <row r="63" spans="1:12">
      <c r="A63" s="185" t="s">
        <v>274</v>
      </c>
      <c r="B63" s="172"/>
      <c r="C63" s="172"/>
      <c r="D63" s="197" t="e">
        <f>HLOOKUP($A$12,'Expense Input File'!$B$27:$L$91,42,FALSE)</f>
        <v>#N/A</v>
      </c>
      <c r="E63" s="169" t="e">
        <f>(E38/D38)*D63</f>
        <v>#N/A</v>
      </c>
      <c r="F63" s="169" t="e">
        <f>(F38/D38)*D63</f>
        <v>#N/A</v>
      </c>
      <c r="G63" s="169" t="e">
        <f>(G38/D38)*D63</f>
        <v>#N/A</v>
      </c>
      <c r="H63" s="169" t="e">
        <f>(H38/D38)*D63</f>
        <v>#N/A</v>
      </c>
      <c r="I63" s="169" t="e">
        <f>(I38/D38)*D63</f>
        <v>#N/A</v>
      </c>
      <c r="J63" s="169" t="e">
        <f>(J38/D38)*D63</f>
        <v>#N/A</v>
      </c>
      <c r="K63" s="98"/>
    </row>
    <row r="64" spans="1:12" ht="15">
      <c r="A64" s="185" t="s">
        <v>263</v>
      </c>
      <c r="B64" s="168"/>
      <c r="C64" s="172"/>
      <c r="D64" s="216" t="e">
        <f>K64</f>
        <v>#N/A</v>
      </c>
      <c r="E64" s="120"/>
      <c r="F64" s="119"/>
      <c r="G64" s="119"/>
      <c r="H64" s="119"/>
      <c r="I64" s="119"/>
      <c r="J64" s="119"/>
      <c r="K64" s="205" t="e">
        <f>HLOOKUP($A$12,'Expense Input File'!$A$27:$L$91,35,FALSE)</f>
        <v>#N/A</v>
      </c>
    </row>
    <row r="65" spans="1:11" ht="15">
      <c r="A65" s="179" t="s">
        <v>288</v>
      </c>
      <c r="B65" s="172"/>
      <c r="C65" s="172"/>
      <c r="D65" s="217" t="e">
        <f>SUM(D59:D64)</f>
        <v>#N/A</v>
      </c>
      <c r="E65" s="217" t="e">
        <f t="shared" ref="E65:K65" si="6">SUM(E59:E64)</f>
        <v>#N/A</v>
      </c>
      <c r="F65" s="217" t="e">
        <f t="shared" si="6"/>
        <v>#N/A</v>
      </c>
      <c r="G65" s="217" t="e">
        <f t="shared" si="6"/>
        <v>#N/A</v>
      </c>
      <c r="H65" s="217" t="e">
        <f t="shared" si="6"/>
        <v>#N/A</v>
      </c>
      <c r="I65" s="217" t="e">
        <f t="shared" si="6"/>
        <v>#N/A</v>
      </c>
      <c r="J65" s="217" t="e">
        <f t="shared" si="6"/>
        <v>#N/A</v>
      </c>
      <c r="K65" s="218" t="e">
        <f t="shared" si="6"/>
        <v>#N/A</v>
      </c>
    </row>
    <row r="66" spans="1:11">
      <c r="A66" s="185" t="s">
        <v>279</v>
      </c>
      <c r="B66" s="172"/>
      <c r="C66" s="172"/>
      <c r="D66" s="97"/>
      <c r="E66" s="100"/>
      <c r="F66" s="97"/>
      <c r="G66" s="97"/>
      <c r="H66" s="97"/>
      <c r="I66" s="97"/>
      <c r="J66" s="97"/>
      <c r="K66" s="98"/>
    </row>
    <row r="67" spans="1:11">
      <c r="A67" s="185" t="s">
        <v>42</v>
      </c>
      <c r="B67" s="172"/>
      <c r="C67" s="172"/>
      <c r="D67" s="169" t="e">
        <f>SUM(E67:K67)</f>
        <v>#N/A</v>
      </c>
      <c r="E67" s="197" t="e">
        <f>(HLOOKUP($A$12,'Expense Input File'!$B$71:$L$93,22,FALSE))*E15</f>
        <v>#N/A</v>
      </c>
      <c r="F67" s="197" t="e">
        <f>(HLOOKUP($A$12,'Expense Input File'!$B$71:$L$93,22,FALSE))*F15</f>
        <v>#N/A</v>
      </c>
      <c r="G67" s="197" t="e">
        <f>(HLOOKUP($A$12,'Expense Input File'!$B$71:$L$93,22,FALSE))*G15</f>
        <v>#N/A</v>
      </c>
      <c r="H67" s="197" t="e">
        <f>(HLOOKUP($A$12,'Expense Input File'!$B$71:$L$93,22,FALSE))*H15</f>
        <v>#N/A</v>
      </c>
      <c r="I67" s="197" t="e">
        <f>(HLOOKUP($A$12,'Expense Input File'!$B$71:$L$93,22,FALSE))*I15</f>
        <v>#N/A</v>
      </c>
      <c r="J67" s="197" t="e">
        <f>(HLOOKUP($A$12,'Expense Input File'!$B$71:$L$93,22,FALSE))*J15</f>
        <v>#N/A</v>
      </c>
      <c r="K67" s="198" t="e">
        <f>((HLOOKUP($A$12,'Expense Input File'!$B$71:$L$93,22,FALSE))*K15)+(HLOOKUP($A$12,'Expense Input File'!$B$71:$L$93,23,FALSE))</f>
        <v>#N/A</v>
      </c>
    </row>
    <row r="68" spans="1:11">
      <c r="A68" s="185" t="s">
        <v>43</v>
      </c>
      <c r="B68" s="172"/>
      <c r="C68" s="172"/>
      <c r="D68" s="197" t="e">
        <f>HLOOKUP($A$12,'Expense Input File'!$A$27:$L$91,46,FALSE)</f>
        <v>#N/A</v>
      </c>
      <c r="E68" s="100"/>
      <c r="F68" s="182" t="e">
        <f>D68</f>
        <v>#N/A</v>
      </c>
      <c r="G68" s="107"/>
      <c r="H68" s="107"/>
      <c r="I68" s="107"/>
      <c r="J68" s="107"/>
      <c r="K68" s="108"/>
    </row>
    <row r="69" spans="1:11">
      <c r="A69" s="185" t="s">
        <v>44</v>
      </c>
      <c r="B69" s="172"/>
      <c r="C69" s="172"/>
      <c r="D69" s="197" t="e">
        <f>HLOOKUP($A$12,'Expense Input File'!$A$27:$L$91,47,FALSE)</f>
        <v>#N/A</v>
      </c>
      <c r="E69" s="201" t="e">
        <f>(E49/D49)*D69</f>
        <v>#N/A</v>
      </c>
      <c r="F69" s="169" t="e">
        <f>(F49/D49)*D69</f>
        <v>#N/A</v>
      </c>
      <c r="G69" s="169" t="e">
        <f>(G49/D49)*D69</f>
        <v>#N/A</v>
      </c>
      <c r="H69" s="169" t="e">
        <f>(H49/D49)*D69</f>
        <v>#N/A</v>
      </c>
      <c r="I69" s="169" t="e">
        <f>(I49/D49)*D69</f>
        <v>#N/A</v>
      </c>
      <c r="J69" s="169" t="e">
        <f>(J49/D49)*D69</f>
        <v>#N/A</v>
      </c>
      <c r="K69" s="178" t="e">
        <f>(K49/D49)*D69</f>
        <v>#N/A</v>
      </c>
    </row>
    <row r="70" spans="1:11">
      <c r="A70" s="185" t="s">
        <v>45</v>
      </c>
      <c r="B70" s="172"/>
      <c r="C70" s="172"/>
      <c r="D70" s="208" t="e">
        <f>HLOOKUP($A$12,'Expense Input File'!$A$27:$L$91,48,FALSE)</f>
        <v>#N/A</v>
      </c>
      <c r="E70" s="120"/>
      <c r="F70" s="119"/>
      <c r="G70" s="119"/>
      <c r="H70" s="119"/>
      <c r="I70" s="119"/>
      <c r="J70" s="119"/>
      <c r="K70" s="227" t="e">
        <f>D70</f>
        <v>#N/A</v>
      </c>
    </row>
    <row r="71" spans="1:11" ht="15">
      <c r="A71" s="179" t="s">
        <v>289</v>
      </c>
      <c r="B71" s="172"/>
      <c r="C71" s="172"/>
      <c r="D71" s="217" t="e">
        <f>SUM(D67:D70)</f>
        <v>#N/A</v>
      </c>
      <c r="E71" s="217" t="e">
        <f t="shared" ref="E71:J71" si="7">SUM(E67:E70)</f>
        <v>#N/A</v>
      </c>
      <c r="F71" s="217" t="e">
        <f t="shared" si="7"/>
        <v>#N/A</v>
      </c>
      <c r="G71" s="217" t="e">
        <f t="shared" si="7"/>
        <v>#N/A</v>
      </c>
      <c r="H71" s="217" t="e">
        <f t="shared" si="7"/>
        <v>#N/A</v>
      </c>
      <c r="I71" s="217" t="e">
        <f t="shared" si="7"/>
        <v>#N/A</v>
      </c>
      <c r="J71" s="217" t="e">
        <f t="shared" si="7"/>
        <v>#N/A</v>
      </c>
      <c r="K71" s="218" t="e">
        <f>SUM(K67:K70)</f>
        <v>#N/A</v>
      </c>
    </row>
    <row r="72" spans="1:11" ht="15.75" thickBot="1">
      <c r="A72" s="219" t="s">
        <v>280</v>
      </c>
      <c r="B72" s="219"/>
      <c r="C72" s="219"/>
      <c r="D72" s="220" t="e">
        <f>SUM(E72:K72)</f>
        <v>#N/A</v>
      </c>
      <c r="E72" s="220" t="e">
        <f>E71+E65</f>
        <v>#N/A</v>
      </c>
      <c r="F72" s="220" t="e">
        <f t="shared" ref="F72:K72" si="8">F71+F65</f>
        <v>#N/A</v>
      </c>
      <c r="G72" s="220" t="e">
        <f t="shared" si="8"/>
        <v>#N/A</v>
      </c>
      <c r="H72" s="220" t="e">
        <f t="shared" si="8"/>
        <v>#N/A</v>
      </c>
      <c r="I72" s="220" t="e">
        <f t="shared" si="8"/>
        <v>#N/A</v>
      </c>
      <c r="J72" s="220" t="e">
        <f t="shared" si="8"/>
        <v>#N/A</v>
      </c>
      <c r="K72" s="221" t="e">
        <f t="shared" si="8"/>
        <v>#N/A</v>
      </c>
    </row>
    <row r="75" spans="1:11">
      <c r="D75" s="229"/>
    </row>
  </sheetData>
  <mergeCells count="3">
    <mergeCell ref="A1:K1"/>
    <mergeCell ref="A10:B10"/>
    <mergeCell ref="A12:C12"/>
  </mergeCells>
  <hyperlinks>
    <hyperlink ref="I5" location="'Revenue Requirement'!A1" display="Revenue Requirement" xr:uid="{00000000-0004-0000-1E00-000000000000}"/>
    <hyperlink ref="I4" location="AFUDC!A1" display="AFUDC" xr:uid="{00000000-0004-0000-1E00-000001000000}"/>
    <hyperlink ref="I3" location="'Repayment Inputs'!A1" display="Repayment Inputs" xr:uid="{00000000-0004-0000-1E00-000002000000}"/>
    <hyperlink ref="I6" location="'Expense Input File'!A1" display="Expense Input" xr:uid="{00000000-0004-0000-1E00-000003000000}"/>
    <hyperlink ref="G4" r:id="rId1" xr:uid="{00000000-0004-0000-1E00-000004000000}"/>
    <hyperlink ref="G5" r:id="rId2" xr:uid="{00000000-0004-0000-1E00-000005000000}"/>
    <hyperlink ref="G6" r:id="rId3" xr:uid="{00000000-0004-0000-1E00-000006000000}"/>
    <hyperlink ref="G7" r:id="rId4" xr:uid="{00000000-0004-0000-1E00-000007000000}"/>
  </hyperlinks>
  <pageMargins left="0.25" right="0.25" top="0.75" bottom="0.75" header="0.3" footer="0.3"/>
  <pageSetup scale="56" orientation="portrait" r:id="rId5"/>
  <legacyDrawing r:id="rId6"/>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codeName="Sheet28">
    <tabColor theme="9" tint="-0.249977111117893"/>
    <pageSetUpPr autoPageBreaks="0"/>
  </sheetPr>
  <dimension ref="A1:L75"/>
  <sheetViews>
    <sheetView workbookViewId="0">
      <selection sqref="A1:K1"/>
    </sheetView>
  </sheetViews>
  <sheetFormatPr defaultColWidth="9.140625" defaultRowHeight="14.25"/>
  <cols>
    <col min="1" max="2" width="9.140625" style="90"/>
    <col min="3" max="3" width="29.28515625" style="90" customWidth="1"/>
    <col min="4" max="11" width="15.7109375" style="90" customWidth="1"/>
    <col min="12" max="16384" width="9.140625" style="90"/>
  </cols>
  <sheetData>
    <row r="1" spans="1:11" ht="18">
      <c r="A1" s="986" t="s">
        <v>553</v>
      </c>
      <c r="B1" s="987"/>
      <c r="C1" s="987"/>
      <c r="D1" s="987"/>
      <c r="E1" s="987"/>
      <c r="F1" s="987"/>
      <c r="G1" s="987"/>
      <c r="H1" s="987"/>
      <c r="I1" s="987"/>
      <c r="J1" s="987"/>
      <c r="K1" s="988"/>
    </row>
    <row r="2" spans="1:11" ht="18">
      <c r="A2" s="118"/>
      <c r="B2" s="125" t="s">
        <v>115</v>
      </c>
      <c r="C2" s="91"/>
      <c r="D2" s="3"/>
      <c r="E2" s="94"/>
      <c r="F2" s="147" t="s">
        <v>397</v>
      </c>
      <c r="G2" s="148"/>
      <c r="H2" s="138"/>
      <c r="I2" s="147" t="s">
        <v>399</v>
      </c>
      <c r="J2" s="139"/>
      <c r="K2" s="149"/>
    </row>
    <row r="3" spans="1:11" ht="18">
      <c r="A3" s="118"/>
      <c r="B3" s="125" t="s">
        <v>73</v>
      </c>
      <c r="C3" s="93"/>
      <c r="D3" s="3"/>
      <c r="E3" s="94"/>
      <c r="F3" s="150" t="s">
        <v>398</v>
      </c>
      <c r="G3" s="151" t="s">
        <v>235</v>
      </c>
      <c r="H3" s="138"/>
      <c r="I3" s="152" t="s">
        <v>238</v>
      </c>
      <c r="J3" s="138"/>
      <c r="K3" s="149"/>
    </row>
    <row r="4" spans="1:11" ht="18" customHeight="1">
      <c r="A4" s="118"/>
      <c r="B4" s="125" t="s">
        <v>10</v>
      </c>
      <c r="C4" s="153"/>
      <c r="D4" s="3"/>
      <c r="E4" s="94"/>
      <c r="F4" s="144" t="str">
        <f>IF('20 Seg Dev'!F4=0," ",'20 Seg Dev'!F4)</f>
        <v xml:space="preserve"> </v>
      </c>
      <c r="G4" s="154" t="s">
        <v>389</v>
      </c>
      <c r="H4" s="138"/>
      <c r="I4" s="155" t="s">
        <v>87</v>
      </c>
      <c r="J4" s="3"/>
      <c r="K4" s="149"/>
    </row>
    <row r="5" spans="1:11" ht="18" customHeight="1">
      <c r="A5" s="118"/>
      <c r="B5" s="126" t="s">
        <v>9</v>
      </c>
      <c r="C5" s="153"/>
      <c r="D5" s="94"/>
      <c r="F5" s="144" t="str">
        <f>IF('20 Seg Dev'!F5=0," ",'20 Seg Dev'!F5)</f>
        <v xml:space="preserve"> </v>
      </c>
      <c r="G5" s="156" t="s">
        <v>391</v>
      </c>
      <c r="H5" s="138"/>
      <c r="I5" s="141" t="s">
        <v>390</v>
      </c>
      <c r="J5" s="94"/>
      <c r="K5" s="149"/>
    </row>
    <row r="6" spans="1:11" ht="15">
      <c r="A6" s="118"/>
      <c r="B6" s="126" t="s">
        <v>386</v>
      </c>
      <c r="C6" s="93"/>
      <c r="D6" s="94"/>
      <c r="E6" s="157"/>
      <c r="F6" s="144" t="str">
        <f>IF('20 Seg Dev'!F6=0," ",'20 Seg Dev'!F6)</f>
        <v xml:space="preserve"> </v>
      </c>
      <c r="G6" s="158" t="s">
        <v>465</v>
      </c>
      <c r="H6" s="138"/>
      <c r="I6" s="159" t="s">
        <v>387</v>
      </c>
      <c r="J6" s="94"/>
      <c r="K6" s="149"/>
    </row>
    <row r="7" spans="1:11" ht="15">
      <c r="A7" s="118"/>
      <c r="B7" s="126" t="s">
        <v>385</v>
      </c>
      <c r="C7" s="93"/>
      <c r="D7" s="94"/>
      <c r="E7" s="157"/>
      <c r="F7" s="144" t="str">
        <f>IF('20 Seg Dev'!F7=0," ",'20 Seg Dev'!F7)</f>
        <v xml:space="preserve"> </v>
      </c>
      <c r="G7" s="96" t="s">
        <v>468</v>
      </c>
      <c r="H7" s="138"/>
      <c r="I7" s="140"/>
      <c r="J7" s="94"/>
      <c r="K7" s="149"/>
    </row>
    <row r="8" spans="1:11" ht="15">
      <c r="A8" s="118"/>
      <c r="B8" s="126" t="s">
        <v>281</v>
      </c>
      <c r="C8" s="160">
        <v>2034</v>
      </c>
      <c r="D8" s="94"/>
      <c r="E8" s="92"/>
      <c r="F8" s="92"/>
      <c r="G8" s="157"/>
      <c r="H8" s="223"/>
      <c r="I8" s="92"/>
      <c r="J8" s="92"/>
      <c r="K8" s="149"/>
    </row>
    <row r="9" spans="1:11" ht="15">
      <c r="A9" s="118"/>
      <c r="B9" s="126"/>
      <c r="C9" s="129"/>
      <c r="D9" s="94"/>
      <c r="E9" s="92"/>
      <c r="F9" s="92"/>
      <c r="G9" s="92"/>
      <c r="H9" s="92"/>
      <c r="I9" s="92"/>
      <c r="J9" s="92"/>
      <c r="K9" s="149"/>
    </row>
    <row r="10" spans="1:11" ht="15">
      <c r="A10" s="982"/>
      <c r="B10" s="983"/>
      <c r="C10" s="142"/>
      <c r="D10" s="113"/>
      <c r="E10" s="113"/>
      <c r="F10" s="113"/>
      <c r="G10" s="113"/>
      <c r="H10" s="113"/>
      <c r="I10" s="113"/>
      <c r="J10" s="113"/>
      <c r="K10" s="114"/>
    </row>
    <row r="11" spans="1:11" ht="15" thickBot="1">
      <c r="A11" s="94"/>
      <c r="B11" s="94"/>
      <c r="C11" s="94"/>
      <c r="D11" s="94"/>
      <c r="E11" s="94"/>
      <c r="F11" s="94"/>
      <c r="G11" s="94"/>
      <c r="H11" s="94"/>
      <c r="I11" s="94"/>
      <c r="J11" s="94"/>
      <c r="K11" s="94"/>
    </row>
    <row r="12" spans="1:11" ht="29.25" customHeight="1">
      <c r="A12" s="984">
        <f>C8</f>
        <v>2034</v>
      </c>
      <c r="B12" s="985"/>
      <c r="C12" s="985"/>
      <c r="D12" s="161" t="s">
        <v>170</v>
      </c>
      <c r="E12" s="162" t="s">
        <v>171</v>
      </c>
      <c r="F12" s="162" t="s">
        <v>172</v>
      </c>
      <c r="G12" s="162" t="s">
        <v>173</v>
      </c>
      <c r="H12" s="162" t="s">
        <v>174</v>
      </c>
      <c r="I12" s="162" t="s">
        <v>175</v>
      </c>
      <c r="J12" s="162" t="s">
        <v>176</v>
      </c>
      <c r="K12" s="163" t="s">
        <v>177</v>
      </c>
    </row>
    <row r="13" spans="1:11" ht="15">
      <c r="A13" s="165" t="s">
        <v>272</v>
      </c>
      <c r="B13" s="128"/>
      <c r="C13" s="128"/>
      <c r="D13" s="127"/>
      <c r="E13" s="127"/>
      <c r="F13" s="127"/>
      <c r="G13" s="127"/>
      <c r="H13" s="127"/>
      <c r="I13" s="127"/>
      <c r="J13" s="127"/>
      <c r="K13" s="166"/>
    </row>
    <row r="14" spans="1:11" ht="15">
      <c r="A14" s="167" t="s">
        <v>178</v>
      </c>
      <c r="B14" s="168"/>
      <c r="C14" s="168"/>
      <c r="D14" s="169" t="e">
        <f>SUM(E14:K14)</f>
        <v>#N/A</v>
      </c>
      <c r="E14" s="105" t="e">
        <v>#N/A</v>
      </c>
      <c r="F14" s="105" t="e">
        <v>#N/A</v>
      </c>
      <c r="G14" s="105" t="e">
        <v>#N/A</v>
      </c>
      <c r="H14" s="105" t="e">
        <v>#N/A</v>
      </c>
      <c r="I14" s="105" t="e">
        <v>#N/A</v>
      </c>
      <c r="J14" s="105" t="e">
        <v>#N/A</v>
      </c>
      <c r="K14" s="104" t="e">
        <v>#N/A</v>
      </c>
    </row>
    <row r="15" spans="1:11">
      <c r="A15" s="171" t="s">
        <v>237</v>
      </c>
      <c r="B15" s="172"/>
      <c r="C15" s="172"/>
      <c r="D15" s="173" t="e">
        <f>SUM(E15:K15)</f>
        <v>#N/A</v>
      </c>
      <c r="E15" s="174" t="e">
        <f>E14/D14</f>
        <v>#N/A</v>
      </c>
      <c r="F15" s="174" t="e">
        <f>F14/D14</f>
        <v>#N/A</v>
      </c>
      <c r="G15" s="174" t="e">
        <f>G14/D14</f>
        <v>#N/A</v>
      </c>
      <c r="H15" s="174" t="e">
        <f>H14/D14</f>
        <v>#N/A</v>
      </c>
      <c r="I15" s="174" t="e">
        <f>I14/D14</f>
        <v>#N/A</v>
      </c>
      <c r="J15" s="174" t="e">
        <f>J14/D14</f>
        <v>#N/A</v>
      </c>
      <c r="K15" s="175" t="e">
        <f>K14/D14</f>
        <v>#N/A</v>
      </c>
    </row>
    <row r="16" spans="1:11">
      <c r="A16" s="176" t="s">
        <v>81</v>
      </c>
      <c r="B16" s="172"/>
      <c r="C16" s="172"/>
      <c r="D16" s="97"/>
      <c r="E16" s="97"/>
      <c r="F16" s="97"/>
      <c r="G16" s="97"/>
      <c r="H16" s="97"/>
      <c r="I16" s="97"/>
      <c r="J16" s="97"/>
      <c r="K16" s="98"/>
    </row>
    <row r="17" spans="1:11">
      <c r="A17" s="167"/>
      <c r="B17" s="172" t="s">
        <v>499</v>
      </c>
      <c r="C17" s="172"/>
      <c r="D17" s="169" t="e">
        <f>SUM(E17:K17)</f>
        <v>#N/A</v>
      </c>
      <c r="E17" s="100"/>
      <c r="F17" s="102" t="e">
        <f>HLOOKUP($A$12,'Repayment Inputs'!$B$2:$J$24,19,FALSE)</f>
        <v>#N/A</v>
      </c>
      <c r="G17" s="224"/>
      <c r="H17" s="100"/>
      <c r="I17" s="100"/>
      <c r="J17" s="100"/>
      <c r="K17" s="99"/>
    </row>
    <row r="18" spans="1:11">
      <c r="A18" s="167"/>
      <c r="B18" s="172" t="s">
        <v>500</v>
      </c>
      <c r="C18" s="172"/>
      <c r="D18" s="169">
        <f>SUM(E18:K18)</f>
        <v>0</v>
      </c>
      <c r="E18" s="100"/>
      <c r="F18" s="101">
        <f>-(HLOOKUP($A$12,AFUDC!$I$13:$AJ$38,25,FALSE))</f>
        <v>0</v>
      </c>
      <c r="G18" s="100"/>
      <c r="H18" s="100"/>
      <c r="I18" s="100"/>
      <c r="J18" s="100"/>
      <c r="K18" s="99"/>
    </row>
    <row r="19" spans="1:11">
      <c r="A19" s="167"/>
      <c r="B19" s="172" t="s">
        <v>496</v>
      </c>
      <c r="C19" s="172"/>
      <c r="D19" s="169" t="e">
        <f>SUM(E19:K19)</f>
        <v>#N/A</v>
      </c>
      <c r="E19" s="100"/>
      <c r="F19" s="169" t="e">
        <f>SUM(F17:F18)</f>
        <v>#N/A</v>
      </c>
      <c r="G19" s="100"/>
      <c r="H19" s="100"/>
      <c r="I19" s="100"/>
      <c r="J19" s="100"/>
      <c r="K19" s="99"/>
    </row>
    <row r="20" spans="1:11">
      <c r="A20" s="177" t="s">
        <v>179</v>
      </c>
      <c r="B20" s="172"/>
      <c r="C20" s="172"/>
      <c r="D20" s="103" t="e">
        <f>HLOOKUP($A$12,'Revenue Requirement'!$A$2:$I$26,25,FALSE)-$D$19</f>
        <v>#N/A</v>
      </c>
      <c r="E20" s="169" t="e">
        <f>D20*E15</f>
        <v>#N/A</v>
      </c>
      <c r="F20" s="169" t="e">
        <f>D20*F15</f>
        <v>#N/A</v>
      </c>
      <c r="G20" s="169" t="e">
        <f>D20*G15</f>
        <v>#N/A</v>
      </c>
      <c r="H20" s="169" t="e">
        <f>D20*H15</f>
        <v>#N/A</v>
      </c>
      <c r="I20" s="169" t="e">
        <f>D20*I15</f>
        <v>#N/A</v>
      </c>
      <c r="J20" s="169" t="e">
        <f>D20*J15</f>
        <v>#N/A</v>
      </c>
      <c r="K20" s="178" t="e">
        <f>D20*K15</f>
        <v>#N/A</v>
      </c>
    </row>
    <row r="21" spans="1:11" ht="15">
      <c r="A21" s="179" t="s">
        <v>180</v>
      </c>
      <c r="B21" s="168"/>
      <c r="C21" s="168"/>
      <c r="D21" s="180" t="e">
        <f t="shared" ref="D21:K21" si="0">D20+D19</f>
        <v>#N/A</v>
      </c>
      <c r="E21" s="180" t="e">
        <f t="shared" si="0"/>
        <v>#N/A</v>
      </c>
      <c r="F21" s="180" t="e">
        <f t="shared" si="0"/>
        <v>#N/A</v>
      </c>
      <c r="G21" s="180" t="e">
        <f t="shared" si="0"/>
        <v>#N/A</v>
      </c>
      <c r="H21" s="180" t="e">
        <f t="shared" si="0"/>
        <v>#N/A</v>
      </c>
      <c r="I21" s="180" t="e">
        <f t="shared" si="0"/>
        <v>#N/A</v>
      </c>
      <c r="J21" s="180" t="e">
        <f t="shared" si="0"/>
        <v>#N/A</v>
      </c>
      <c r="K21" s="181" t="e">
        <f t="shared" si="0"/>
        <v>#N/A</v>
      </c>
    </row>
    <row r="22" spans="1:11">
      <c r="A22" s="176" t="s">
        <v>184</v>
      </c>
      <c r="B22" s="172"/>
      <c r="C22" s="172"/>
      <c r="D22" s="97"/>
      <c r="E22" s="97"/>
      <c r="F22" s="97"/>
      <c r="G22" s="97"/>
      <c r="H22" s="97"/>
      <c r="I22" s="97"/>
      <c r="J22" s="97"/>
      <c r="K22" s="98"/>
    </row>
    <row r="23" spans="1:11">
      <c r="A23" s="167"/>
      <c r="B23" s="172" t="s">
        <v>495</v>
      </c>
      <c r="C23" s="172"/>
      <c r="D23" s="97"/>
      <c r="E23" s="97"/>
      <c r="F23" s="102" t="e">
        <f>HLOOKUP($A$12,'Repayment Inputs'!$A$2:$J$43,38,FALSE)</f>
        <v>#N/A</v>
      </c>
      <c r="G23" s="224"/>
      <c r="H23" s="97"/>
      <c r="I23" s="97"/>
      <c r="J23" s="97"/>
      <c r="K23" s="98"/>
    </row>
    <row r="24" spans="1:11">
      <c r="A24" s="167"/>
      <c r="B24" s="172" t="s">
        <v>496</v>
      </c>
      <c r="C24" s="172"/>
      <c r="D24" s="97"/>
      <c r="E24" s="97"/>
      <c r="F24" s="182" t="e">
        <f>F19</f>
        <v>#N/A</v>
      </c>
      <c r="G24" s="107"/>
      <c r="H24" s="97"/>
      <c r="I24" s="97"/>
      <c r="J24" s="97"/>
      <c r="K24" s="98"/>
    </row>
    <row r="25" spans="1:11">
      <c r="A25" s="167"/>
      <c r="B25" s="172" t="s">
        <v>497</v>
      </c>
      <c r="C25" s="172"/>
      <c r="D25" s="97"/>
      <c r="E25" s="97"/>
      <c r="F25" s="183">
        <v>7486.8509630646704</v>
      </c>
      <c r="G25" s="225"/>
      <c r="H25" s="97"/>
      <c r="I25" s="97"/>
      <c r="J25" s="97"/>
      <c r="K25" s="98"/>
    </row>
    <row r="26" spans="1:11">
      <c r="A26" s="167"/>
      <c r="B26" s="172" t="s">
        <v>498</v>
      </c>
      <c r="C26" s="172"/>
      <c r="D26" s="182" t="e">
        <f>F26</f>
        <v>#N/A</v>
      </c>
      <c r="E26" s="97"/>
      <c r="F26" s="182" t="e">
        <f>F23-F24-F25</f>
        <v>#N/A</v>
      </c>
      <c r="G26" s="107"/>
      <c r="H26" s="97"/>
      <c r="I26" s="97"/>
      <c r="J26" s="97"/>
      <c r="K26" s="98"/>
    </row>
    <row r="27" spans="1:11">
      <c r="A27" s="185" t="s">
        <v>481</v>
      </c>
      <c r="B27" s="172"/>
      <c r="C27" s="172"/>
      <c r="D27" s="109" t="e">
        <f>HLOOKUP($A$12,'Revenue Requirement'!$A$2:$I$32,31,FALSE)-$D$26</f>
        <v>#N/A</v>
      </c>
      <c r="E27" s="169" t="e">
        <f>D27*E15</f>
        <v>#N/A</v>
      </c>
      <c r="F27" s="169" t="e">
        <f>D27*F15</f>
        <v>#N/A</v>
      </c>
      <c r="G27" s="169" t="e">
        <f>D27*G15</f>
        <v>#N/A</v>
      </c>
      <c r="H27" s="169" t="e">
        <f>D27*H15</f>
        <v>#N/A</v>
      </c>
      <c r="I27" s="169" t="e">
        <f>D27*I15</f>
        <v>#N/A</v>
      </c>
      <c r="J27" s="169" t="e">
        <f>D27*J15</f>
        <v>#N/A</v>
      </c>
      <c r="K27" s="178" t="e">
        <f>D27*K15</f>
        <v>#N/A</v>
      </c>
    </row>
    <row r="28" spans="1:11" ht="15">
      <c r="A28" s="179" t="s">
        <v>185</v>
      </c>
      <c r="B28" s="172"/>
      <c r="C28" s="172"/>
      <c r="D28" s="180" t="e">
        <f>D27+D26</f>
        <v>#N/A</v>
      </c>
      <c r="E28" s="180" t="e">
        <f t="shared" ref="E28:K28" si="1">E27+E26</f>
        <v>#N/A</v>
      </c>
      <c r="F28" s="180" t="e">
        <f t="shared" si="1"/>
        <v>#N/A</v>
      </c>
      <c r="G28" s="180" t="e">
        <f t="shared" si="1"/>
        <v>#N/A</v>
      </c>
      <c r="H28" s="180" t="e">
        <f t="shared" si="1"/>
        <v>#N/A</v>
      </c>
      <c r="I28" s="180" t="e">
        <f t="shared" si="1"/>
        <v>#N/A</v>
      </c>
      <c r="J28" s="180" t="e">
        <f t="shared" si="1"/>
        <v>#N/A</v>
      </c>
      <c r="K28" s="181" t="e">
        <f t="shared" si="1"/>
        <v>#N/A</v>
      </c>
    </row>
    <row r="29" spans="1:11" ht="15">
      <c r="A29" s="176" t="s">
        <v>189</v>
      </c>
      <c r="B29" s="172"/>
      <c r="C29" s="172"/>
      <c r="D29" s="122"/>
      <c r="E29" s="122"/>
      <c r="F29" s="122"/>
      <c r="G29" s="122"/>
      <c r="H29" s="122"/>
      <c r="I29" s="122"/>
      <c r="J29" s="122"/>
      <c r="K29" s="121"/>
    </row>
    <row r="30" spans="1:11">
      <c r="A30" s="186" t="s">
        <v>550</v>
      </c>
      <c r="B30" s="172"/>
      <c r="C30" s="172"/>
      <c r="D30" s="169">
        <f>SUM(E30:K30)</f>
        <v>362861.61582599999</v>
      </c>
      <c r="E30" s="183">
        <v>3392</v>
      </c>
      <c r="F30" s="183">
        <v>300239.61582599999</v>
      </c>
      <c r="G30" s="183">
        <v>27546</v>
      </c>
      <c r="H30" s="183">
        <v>3332</v>
      </c>
      <c r="I30" s="183">
        <v>437</v>
      </c>
      <c r="J30" s="183">
        <v>187</v>
      </c>
      <c r="K30" s="187">
        <v>27728</v>
      </c>
    </row>
    <row r="31" spans="1:11">
      <c r="A31" s="186" t="s">
        <v>186</v>
      </c>
      <c r="B31" s="172"/>
      <c r="C31" s="172"/>
      <c r="D31" s="188" t="e">
        <f>SUM(E31:K31)</f>
        <v>#N/A</v>
      </c>
      <c r="E31" s="189" t="e">
        <f>E49/D49</f>
        <v>#N/A</v>
      </c>
      <c r="F31" s="189" t="e">
        <f>F49/D49</f>
        <v>#N/A</v>
      </c>
      <c r="G31" s="189" t="e">
        <f>G49/D49</f>
        <v>#N/A</v>
      </c>
      <c r="H31" s="189" t="e">
        <f>H49/D49</f>
        <v>#N/A</v>
      </c>
      <c r="I31" s="189" t="e">
        <f>I49/D49</f>
        <v>#N/A</v>
      </c>
      <c r="J31" s="189" t="e">
        <f>J49/D49</f>
        <v>#N/A</v>
      </c>
      <c r="K31" s="190" t="e">
        <f>K49/D49</f>
        <v>#N/A</v>
      </c>
    </row>
    <row r="32" spans="1:11">
      <c r="A32" s="186" t="s">
        <v>187</v>
      </c>
      <c r="B32" s="172"/>
      <c r="C32" s="172"/>
      <c r="D32" s="105">
        <v>122277.65943914014</v>
      </c>
      <c r="E32" s="169" t="e">
        <f>D32*E31</f>
        <v>#N/A</v>
      </c>
      <c r="F32" s="169" t="e">
        <f>D32*F31</f>
        <v>#N/A</v>
      </c>
      <c r="G32" s="169" t="e">
        <f>D32*G31</f>
        <v>#N/A</v>
      </c>
      <c r="H32" s="169" t="e">
        <f>D32*H31</f>
        <v>#N/A</v>
      </c>
      <c r="I32" s="169" t="e">
        <f>D32*I31</f>
        <v>#N/A</v>
      </c>
      <c r="J32" s="169" t="e">
        <f>D32*J31</f>
        <v>#N/A</v>
      </c>
      <c r="K32" s="178" t="e">
        <f>D32*K31</f>
        <v>#N/A</v>
      </c>
    </row>
    <row r="33" spans="1:11" ht="15">
      <c r="A33" s="179" t="s">
        <v>188</v>
      </c>
      <c r="B33" s="172"/>
      <c r="C33" s="172"/>
      <c r="D33" s="180" t="e">
        <f>SUM(E33:K33)</f>
        <v>#N/A</v>
      </c>
      <c r="E33" s="180" t="e">
        <f t="shared" ref="E33:K33" si="2">E32+E30</f>
        <v>#N/A</v>
      </c>
      <c r="F33" s="180" t="e">
        <f>F32+F30</f>
        <v>#N/A</v>
      </c>
      <c r="G33" s="180" t="e">
        <f>G32+G30</f>
        <v>#N/A</v>
      </c>
      <c r="H33" s="180" t="e">
        <f t="shared" si="2"/>
        <v>#N/A</v>
      </c>
      <c r="I33" s="180" t="e">
        <f t="shared" si="2"/>
        <v>#N/A</v>
      </c>
      <c r="J33" s="180" t="e">
        <f t="shared" si="2"/>
        <v>#N/A</v>
      </c>
      <c r="K33" s="181" t="e">
        <f t="shared" si="2"/>
        <v>#N/A</v>
      </c>
    </row>
    <row r="34" spans="1:11" ht="9" customHeight="1">
      <c r="A34" s="167"/>
      <c r="B34" s="172"/>
      <c r="C34" s="172"/>
      <c r="D34" s="97"/>
      <c r="E34" s="97"/>
      <c r="F34" s="97"/>
      <c r="G34" s="97"/>
      <c r="H34" s="97"/>
      <c r="I34" s="97"/>
      <c r="J34" s="97"/>
      <c r="K34" s="98"/>
    </row>
    <row r="35" spans="1:11" ht="15">
      <c r="A35" s="165" t="s">
        <v>236</v>
      </c>
      <c r="B35" s="172"/>
      <c r="C35" s="172"/>
      <c r="D35" s="97"/>
      <c r="E35" s="97"/>
      <c r="F35" s="97"/>
      <c r="G35" s="97"/>
      <c r="H35" s="97"/>
      <c r="I35" s="97"/>
      <c r="J35" s="97"/>
      <c r="K35" s="98"/>
    </row>
    <row r="36" spans="1:11">
      <c r="A36" s="191" t="s">
        <v>520</v>
      </c>
      <c r="B36" s="172"/>
      <c r="C36" s="172"/>
      <c r="D36" s="97"/>
      <c r="E36" s="97"/>
      <c r="F36" s="97"/>
      <c r="G36" s="97"/>
      <c r="H36" s="97"/>
      <c r="I36" s="97"/>
      <c r="J36" s="97"/>
      <c r="K36" s="98"/>
    </row>
    <row r="37" spans="1:11">
      <c r="A37" s="192" t="s">
        <v>299</v>
      </c>
      <c r="B37" s="172"/>
      <c r="C37" s="172"/>
      <c r="D37" s="193">
        <f>SUM(E37:J37)</f>
        <v>53823.005644218851</v>
      </c>
      <c r="E37" s="194">
        <v>618.34147943144103</v>
      </c>
      <c r="F37" s="194">
        <v>48832.749636183224</v>
      </c>
      <c r="G37" s="194">
        <v>2251.9919741894219</v>
      </c>
      <c r="H37" s="194">
        <v>2106.6816600118982</v>
      </c>
      <c r="I37" s="194">
        <v>13.240894402875242</v>
      </c>
      <c r="J37" s="194">
        <v>0</v>
      </c>
      <c r="K37" s="98"/>
    </row>
    <row r="38" spans="1:11">
      <c r="A38" s="192" t="s">
        <v>300</v>
      </c>
      <c r="B38" s="172"/>
      <c r="C38" s="172"/>
      <c r="D38" s="193">
        <f>SUM(E38:J38)</f>
        <v>132737.47345136068</v>
      </c>
      <c r="E38" s="194">
        <v>3338.1230956561526</v>
      </c>
      <c r="F38" s="194">
        <v>108435.56239276817</v>
      </c>
      <c r="G38" s="194">
        <v>18653.483372581512</v>
      </c>
      <c r="H38" s="194">
        <v>791.08340744031898</v>
      </c>
      <c r="I38" s="194">
        <v>1117.8722943054693</v>
      </c>
      <c r="J38" s="194">
        <v>401.34888860906045</v>
      </c>
      <c r="K38" s="98"/>
    </row>
    <row r="39" spans="1:11" ht="15">
      <c r="A39" s="195" t="s">
        <v>301</v>
      </c>
      <c r="B39" s="168"/>
      <c r="C39" s="168"/>
      <c r="D39" s="193">
        <f>SUM(D37:D38)</f>
        <v>186560.47909557953</v>
      </c>
      <c r="E39" s="97"/>
      <c r="F39" s="97"/>
      <c r="G39" s="97"/>
      <c r="H39" s="97"/>
      <c r="I39" s="97"/>
      <c r="J39" s="97"/>
      <c r="K39" s="98"/>
    </row>
    <row r="40" spans="1:11">
      <c r="A40" s="196" t="s">
        <v>239</v>
      </c>
      <c r="B40" s="172"/>
      <c r="C40" s="172"/>
      <c r="D40" s="97"/>
      <c r="E40" s="97"/>
      <c r="F40" s="97"/>
      <c r="G40" s="97"/>
      <c r="H40" s="97"/>
      <c r="I40" s="97"/>
      <c r="J40" s="97"/>
      <c r="K40" s="98"/>
    </row>
    <row r="41" spans="1:11">
      <c r="A41" s="185" t="s">
        <v>240</v>
      </c>
      <c r="B41" s="172"/>
      <c r="C41" s="172"/>
      <c r="D41" s="197" t="e">
        <f>SUM((HLOOKUP($A$12,'Expense Input File'!$B$27:$L$70,3,FALSE)),(HLOOKUP($A$12,'Expense Input File'!$B$27:$L$70,4,FALSE)),(HLOOKUP($A$12,'Expense Input File'!$B$27:$L$70,5,FALSE)), (HLOOKUP($A$12,'Expense Input File'!$B$27:$L$70,6,FALSE)),(HLOOKUP($A$12,'Expense Input File'!$B$27:$L$70,7,FALSE)))-$K$41</f>
        <v>#N/A</v>
      </c>
      <c r="E41" s="97"/>
      <c r="F41" s="197" t="e">
        <f>(HLOOKUP($A$12,'Expense Input File'!$A$27:$L$70,33,FALSE))</f>
        <v>#N/A</v>
      </c>
      <c r="G41" s="97"/>
      <c r="H41" s="97"/>
      <c r="I41" s="97"/>
      <c r="J41" s="97"/>
      <c r="K41" s="198" t="e">
        <f>SUM((HLOOKUP($A$12,'Expense Input File'!$B$27:$L$70,3,FALSE)),(HLOOKUP($A$12,'Expense Input File'!$B$27:$L$70,4,FALSE)),(HLOOKUP($A$12,'Expense Input File'!$B$27:$L$70,5,FALSE)), (HLOOKUP($A$12,'Expense Input File'!$B$27:$L$70,6,FALSE)))-(HLOOKUP($A$12,'Expense Input File'!$A$27:$L$70,8,FALSE))</f>
        <v>#N/A</v>
      </c>
    </row>
    <row r="42" spans="1:11">
      <c r="A42" s="185" t="s">
        <v>241</v>
      </c>
      <c r="B42" s="172"/>
      <c r="C42" s="172"/>
      <c r="D42" s="197" t="e">
        <f>HLOOKUP($A$12,'Expense Input File'!$B$14:$L$24,4,FALSE)</f>
        <v>#N/A</v>
      </c>
      <c r="E42" s="97"/>
      <c r="F42" s="97"/>
      <c r="G42" s="97"/>
      <c r="H42" s="97"/>
      <c r="I42" s="97"/>
      <c r="J42" s="97"/>
      <c r="K42" s="98"/>
    </row>
    <row r="43" spans="1:11" ht="5.25" customHeight="1">
      <c r="A43" s="185"/>
      <c r="B43" s="172"/>
      <c r="C43" s="172"/>
      <c r="D43" s="100"/>
      <c r="E43" s="97"/>
      <c r="F43" s="97"/>
      <c r="G43" s="97"/>
      <c r="H43" s="97"/>
      <c r="I43" s="97"/>
      <c r="J43" s="97"/>
      <c r="K43" s="98"/>
    </row>
    <row r="44" spans="1:11">
      <c r="A44" s="199" t="s">
        <v>266</v>
      </c>
      <c r="B44" s="172"/>
      <c r="C44" s="172"/>
      <c r="D44" s="182" t="e">
        <f>SUM(D41:D42)</f>
        <v>#N/A</v>
      </c>
      <c r="E44" s="97"/>
      <c r="F44" s="97"/>
      <c r="G44" s="97"/>
      <c r="H44" s="97"/>
      <c r="I44" s="97"/>
      <c r="J44" s="97"/>
      <c r="K44" s="98"/>
    </row>
    <row r="45" spans="1:11">
      <c r="A45" s="200" t="s">
        <v>267</v>
      </c>
      <c r="B45" s="172"/>
      <c r="C45" s="172"/>
      <c r="D45" s="182" t="e">
        <f>D44-D46</f>
        <v>#N/A</v>
      </c>
      <c r="E45" s="226" t="e">
        <f>(E37/D37)*D45</f>
        <v>#N/A</v>
      </c>
      <c r="F45" s="182" t="e">
        <f>(F37/D37)*D45</f>
        <v>#N/A</v>
      </c>
      <c r="G45" s="182" t="e">
        <f>(G37/D37)*D45</f>
        <v>#N/A</v>
      </c>
      <c r="H45" s="182" t="e">
        <f>(H37/D37)*D45</f>
        <v>#N/A</v>
      </c>
      <c r="I45" s="182" t="e">
        <f>(I37/D37)*D45</f>
        <v>#N/A</v>
      </c>
      <c r="J45" s="182" t="e">
        <f>(J37/D37)*D45</f>
        <v>#N/A</v>
      </c>
      <c r="K45" s="98"/>
    </row>
    <row r="46" spans="1:11">
      <c r="A46" s="200" t="s">
        <v>269</v>
      </c>
      <c r="B46" s="172"/>
      <c r="C46" s="172"/>
      <c r="D46" s="169" t="e">
        <f>((D38/D39)*D44)</f>
        <v>#N/A</v>
      </c>
      <c r="E46" s="226" t="e">
        <f>(E38/D38)*D46</f>
        <v>#N/A</v>
      </c>
      <c r="F46" s="182" t="e">
        <f>(F38/D38)*D46</f>
        <v>#N/A</v>
      </c>
      <c r="G46" s="182" t="e">
        <f>(G38/D38)*D46</f>
        <v>#N/A</v>
      </c>
      <c r="H46" s="182" t="e">
        <f>(H38/D38)*D46</f>
        <v>#N/A</v>
      </c>
      <c r="I46" s="182" t="e">
        <f>(I38/D38)*D46</f>
        <v>#N/A</v>
      </c>
      <c r="J46" s="182" t="e">
        <f>(J38/D38)*D46</f>
        <v>#N/A</v>
      </c>
      <c r="K46" s="98"/>
    </row>
    <row r="47" spans="1:11" ht="15">
      <c r="A47" s="202" t="s">
        <v>268</v>
      </c>
      <c r="B47" s="168"/>
      <c r="C47" s="168"/>
      <c r="D47" s="182" t="e">
        <f>SUM(E47:J47)</f>
        <v>#N/A</v>
      </c>
      <c r="E47" s="182" t="e">
        <f t="shared" ref="E47:J47" si="3">SUM(E45:E46)</f>
        <v>#N/A</v>
      </c>
      <c r="F47" s="182" t="e">
        <f t="shared" si="3"/>
        <v>#N/A</v>
      </c>
      <c r="G47" s="182" t="e">
        <f t="shared" si="3"/>
        <v>#N/A</v>
      </c>
      <c r="H47" s="182" t="e">
        <f t="shared" si="3"/>
        <v>#N/A</v>
      </c>
      <c r="I47" s="182" t="e">
        <f t="shared" si="3"/>
        <v>#N/A</v>
      </c>
      <c r="J47" s="182" t="e">
        <f t="shared" si="3"/>
        <v>#N/A</v>
      </c>
      <c r="K47" s="98"/>
    </row>
    <row r="48" spans="1:11">
      <c r="A48" s="203" t="s">
        <v>25</v>
      </c>
      <c r="B48" s="172"/>
      <c r="C48" s="172"/>
      <c r="D48" s="204" t="e">
        <f>K48</f>
        <v>#N/A</v>
      </c>
      <c r="E48" s="119"/>
      <c r="F48" s="119"/>
      <c r="G48" s="119"/>
      <c r="H48" s="119"/>
      <c r="I48" s="119"/>
      <c r="J48" s="119"/>
      <c r="K48" s="205" t="e">
        <f>SUM((HLOOKUP($A$12,'Expense Input File'!$A$27:$L$70,24,FALSE)),(HLOOKUP($A$12,'Expense Input File'!$A$27:$L$70,25,FALSE)),(HLOOKUP($A$12,'Expense Input File'!$A$27:$L$70,26,FALSE)),(HLOOKUP($A$12,'Expense Input File'!$A$27:$L$70,27,FALSE)),(HLOOKUP($A$12,'Expense Input File'!$A$27:$L$70,28,FALSE)))</f>
        <v>#N/A</v>
      </c>
    </row>
    <row r="49" spans="1:12" ht="15">
      <c r="A49" s="206" t="s">
        <v>270</v>
      </c>
      <c r="B49" s="168"/>
      <c r="C49" s="168"/>
      <c r="D49" s="180" t="e">
        <f>SUM(E49:K49)</f>
        <v>#N/A</v>
      </c>
      <c r="E49" s="180" t="e">
        <f>E47</f>
        <v>#N/A</v>
      </c>
      <c r="F49" s="180" t="e">
        <f>F47+F41</f>
        <v>#N/A</v>
      </c>
      <c r="G49" s="180" t="e">
        <f>G47</f>
        <v>#N/A</v>
      </c>
      <c r="H49" s="180" t="e">
        <f>H47</f>
        <v>#N/A</v>
      </c>
      <c r="I49" s="180" t="e">
        <f>I47</f>
        <v>#N/A</v>
      </c>
      <c r="J49" s="180" t="e">
        <f>J47</f>
        <v>#N/A</v>
      </c>
      <c r="K49" s="181" t="e">
        <f>K48+K41</f>
        <v>#N/A</v>
      </c>
    </row>
    <row r="50" spans="1:12">
      <c r="A50" s="196" t="s">
        <v>271</v>
      </c>
      <c r="B50" s="172"/>
      <c r="C50" s="172"/>
      <c r="D50" s="97"/>
      <c r="E50" s="97"/>
      <c r="F50" s="97"/>
      <c r="G50" s="97"/>
      <c r="H50" s="97"/>
      <c r="I50" s="97"/>
      <c r="J50" s="97"/>
      <c r="K50" s="98"/>
    </row>
    <row r="51" spans="1:12">
      <c r="A51" s="207" t="s">
        <v>46</v>
      </c>
      <c r="B51" s="172"/>
      <c r="C51" s="172"/>
      <c r="D51" s="197" t="e">
        <f>SUM((HLOOKUP($A$12,'Expense Input File'!$A$27:$L$70,10,FALSE)),(HLOOKUP($A$12,'Expense Input File'!$A$27:$L$70,11,FALSE)),(HLOOKUP($A$12,'Expense Input File'!$A$27:$L$70,12,FALSE)),(HLOOKUP($A$12,'Expense Input File'!$A$27:$L$70,13,FALSE)))</f>
        <v>#N/A</v>
      </c>
      <c r="E51" s="169" t="e">
        <f>(E49/D49)*D51</f>
        <v>#N/A</v>
      </c>
      <c r="F51" s="169" t="e">
        <f>(F49/D49)*D51</f>
        <v>#N/A</v>
      </c>
      <c r="G51" s="169" t="e">
        <f>(G49/D49)*D51</f>
        <v>#N/A</v>
      </c>
      <c r="H51" s="169" t="e">
        <f>(H49/D49)*D51</f>
        <v>#N/A</v>
      </c>
      <c r="I51" s="169" t="e">
        <f>(I49/D49)*D51</f>
        <v>#N/A</v>
      </c>
      <c r="J51" s="169" t="e">
        <f>(J49/D49)*D51</f>
        <v>#N/A</v>
      </c>
      <c r="K51" s="178" t="e">
        <f>(K49/D49)*D51</f>
        <v>#N/A</v>
      </c>
    </row>
    <row r="52" spans="1:12">
      <c r="A52" s="207" t="s">
        <v>47</v>
      </c>
      <c r="B52" s="172"/>
      <c r="C52" s="172"/>
      <c r="D52" s="197" t="e">
        <f>SUM((HLOOKUP($A$12,'Expense Input File'!$A$27:$L$70,14,FALSE)),(HLOOKUP($A$12,'Expense Input File'!$A$27:$L$70,16,FALSE)),(HLOOKUP($A$12,'Expense Input File'!$A$27:$L$70,17,FALSE)),(HLOOKUP($A$12,'Expense Input File'!$A$27:$L$70,18,FALSE)),(HLOOKUP($A$12,'Expense Input File'!$A$27:$L$70,19,FALSE)),(HLOOKUP($A$12,'Expense Input File'!$A$27:$L$70,20,FALSE)),(HLOOKUP($A$12,'Expense Input File'!$A$27:$L$70,21,FALSE)),(HLOOKUP($A$12,'Expense Input File'!$A$27:$L$70,30,FALSE)),(HLOOKUP($A$12,'Expense Input File'!$A$27:$L$70,31,FALSE)),(HLOOKUP($A$12,'Expense Input File'!$A$27:$L$70,32,FALSE)))</f>
        <v>#N/A</v>
      </c>
      <c r="E52" s="169" t="e">
        <f>(E49/D49)*D52</f>
        <v>#N/A</v>
      </c>
      <c r="F52" s="169" t="e">
        <f>(F49/D49)*D52</f>
        <v>#N/A</v>
      </c>
      <c r="G52" s="169" t="e">
        <f>(G49/D49)*D52</f>
        <v>#N/A</v>
      </c>
      <c r="H52" s="169" t="e">
        <f>(H49/D49)*D52</f>
        <v>#N/A</v>
      </c>
      <c r="I52" s="169" t="e">
        <f>(I49/D49)*D52</f>
        <v>#N/A</v>
      </c>
      <c r="J52" s="169" t="e">
        <f>(J49/D49)*D52</f>
        <v>#N/A</v>
      </c>
      <c r="K52" s="178" t="e">
        <f>(K49/D49)*D52</f>
        <v>#N/A</v>
      </c>
    </row>
    <row r="53" spans="1:12">
      <c r="A53" s="207" t="s">
        <v>273</v>
      </c>
      <c r="B53" s="172"/>
      <c r="C53" s="172"/>
      <c r="D53" s="197" t="e">
        <f>HLOOKUP($A$12,'Expense Input File'!$B$14:$L$24,3,FALSE)</f>
        <v>#N/A</v>
      </c>
      <c r="E53" s="197" t="e">
        <f>(E49/D49)*(D53-(HLOOKUP($A$12,'Expense Input File'!$A$14:$L$24,10,FALSE)))</f>
        <v>#N/A</v>
      </c>
      <c r="F53" s="105" t="e">
        <f>(F49/D49)*(D53-(HLOOKUP($A$12,'Expense Input File'!$A$14:$L$24,10,FALSE)))</f>
        <v>#N/A</v>
      </c>
      <c r="G53" s="197" t="e">
        <f>(G49/D49)*(D53-(HLOOKUP($A$12,'Expense Input File'!$A$14:$L$24,10,FALSE)))</f>
        <v>#N/A</v>
      </c>
      <c r="H53" s="197" t="e">
        <f>(H49/D49)*(D53-(HLOOKUP($A$12,'Expense Input File'!$A$14:$L$24,10,FALSE)))</f>
        <v>#N/A</v>
      </c>
      <c r="I53" s="197" t="e">
        <f>(I49/D49)*(D53-(HLOOKUP($A$12,'Expense Input File'!$A$14:$L$24,10,FALSE)))</f>
        <v>#N/A</v>
      </c>
      <c r="J53" s="197" t="e">
        <f>(J49/D49)*(D53-(HLOOKUP($A$12,'Expense Input File'!$A$14:$L$24,10,FALSE)))</f>
        <v>#N/A</v>
      </c>
      <c r="K53" s="198" t="e">
        <f>((K49/D49)*(D53-(HLOOKUP($A$12,'Expense Input File'!$A$14:$L$24,10,FALSE))))+(HLOOKUP($A$12,'Expense Input File'!$A$14:$L$24,10,FALSE))</f>
        <v>#N/A</v>
      </c>
    </row>
    <row r="54" spans="1:12">
      <c r="A54" s="207" t="s">
        <v>292</v>
      </c>
      <c r="B54" s="172"/>
      <c r="C54" s="172"/>
      <c r="D54" s="208" t="e">
        <f>SUM((HLOOKUP($A$12,'Expense Input File'!$A$14:$L$24,7,FALSE)),(HLOOKUP($A$12,'Expense Input File'!$A$14:$L$24,8,FALSE)))</f>
        <v>#N/A</v>
      </c>
      <c r="E54" s="209" t="e">
        <f>(E49/D49)*D54</f>
        <v>#N/A</v>
      </c>
      <c r="F54" s="209" t="e">
        <f>(F49/D49)*D54</f>
        <v>#N/A</v>
      </c>
      <c r="G54" s="209" t="e">
        <f>(G49/D49)*D54</f>
        <v>#N/A</v>
      </c>
      <c r="H54" s="209" t="e">
        <f>(H49/D49)*D54</f>
        <v>#N/A</v>
      </c>
      <c r="I54" s="209" t="e">
        <f>(I49/D49)*D54</f>
        <v>#N/A</v>
      </c>
      <c r="J54" s="209" t="e">
        <f>(J49/D49)*D54</f>
        <v>#N/A</v>
      </c>
      <c r="K54" s="210" t="e">
        <f>(K49/D49)*D54</f>
        <v>#N/A</v>
      </c>
    </row>
    <row r="55" spans="1:12" ht="15">
      <c r="A55" s="211" t="s">
        <v>290</v>
      </c>
      <c r="B55" s="172"/>
      <c r="C55" s="172"/>
      <c r="D55" s="180" t="e">
        <f>SUM(D51:D54)</f>
        <v>#N/A</v>
      </c>
      <c r="E55" s="180" t="e">
        <f t="shared" ref="E55:J55" si="4">SUM(E51:E54)</f>
        <v>#N/A</v>
      </c>
      <c r="F55" s="180" t="e">
        <f t="shared" si="4"/>
        <v>#N/A</v>
      </c>
      <c r="G55" s="180" t="e">
        <f t="shared" si="4"/>
        <v>#N/A</v>
      </c>
      <c r="H55" s="180" t="e">
        <f t="shared" si="4"/>
        <v>#N/A</v>
      </c>
      <c r="I55" s="180" t="e">
        <f t="shared" si="4"/>
        <v>#N/A</v>
      </c>
      <c r="J55" s="180" t="e">
        <f t="shared" si="4"/>
        <v>#N/A</v>
      </c>
      <c r="K55" s="181" t="e">
        <f>SUM(K51:K54)</f>
        <v>#N/A</v>
      </c>
      <c r="L55" s="222"/>
    </row>
    <row r="56" spans="1:12" ht="15">
      <c r="A56" s="165" t="s">
        <v>262</v>
      </c>
      <c r="B56" s="172"/>
      <c r="C56" s="172"/>
      <c r="D56" s="180" t="e">
        <f t="shared" ref="D56:K56" si="5">D55+D49</f>
        <v>#N/A</v>
      </c>
      <c r="E56" s="180" t="e">
        <f t="shared" si="5"/>
        <v>#N/A</v>
      </c>
      <c r="F56" s="180" t="e">
        <f t="shared" si="5"/>
        <v>#N/A</v>
      </c>
      <c r="G56" s="180" t="e">
        <f t="shared" si="5"/>
        <v>#N/A</v>
      </c>
      <c r="H56" s="180" t="e">
        <f t="shared" si="5"/>
        <v>#N/A</v>
      </c>
      <c r="I56" s="180" t="e">
        <f t="shared" si="5"/>
        <v>#N/A</v>
      </c>
      <c r="J56" s="180" t="e">
        <f t="shared" si="5"/>
        <v>#N/A</v>
      </c>
      <c r="K56" s="181" t="e">
        <f t="shared" si="5"/>
        <v>#N/A</v>
      </c>
    </row>
    <row r="57" spans="1:12">
      <c r="A57" s="212" t="s">
        <v>177</v>
      </c>
      <c r="B57" s="172"/>
      <c r="C57" s="172"/>
      <c r="D57" s="97"/>
      <c r="E57" s="97"/>
      <c r="F57" s="97"/>
      <c r="G57" s="97"/>
      <c r="H57" s="97"/>
      <c r="I57" s="97"/>
      <c r="J57" s="97"/>
      <c r="K57" s="98"/>
    </row>
    <row r="58" spans="1:12">
      <c r="A58" s="185" t="s">
        <v>278</v>
      </c>
      <c r="B58" s="172"/>
      <c r="C58" s="172"/>
      <c r="D58" s="100"/>
      <c r="E58" s="97"/>
      <c r="F58" s="97"/>
      <c r="G58" s="97"/>
      <c r="H58" s="97"/>
      <c r="I58" s="97"/>
      <c r="J58" s="97"/>
      <c r="K58" s="98"/>
    </row>
    <row r="59" spans="1:12" ht="15">
      <c r="A59" s="185" t="s">
        <v>276</v>
      </c>
      <c r="B59" s="172"/>
      <c r="C59" s="172"/>
      <c r="D59" s="197" t="e">
        <f>(HLOOKUP($A$12,'Expense Input File'!$A$27:$L$91,37,FALSE))</f>
        <v>#N/A</v>
      </c>
      <c r="E59" s="100"/>
      <c r="F59" s="213">
        <v>4572.623735062034</v>
      </c>
      <c r="G59" s="100"/>
      <c r="H59" s="100"/>
      <c r="I59" s="213">
        <v>2754.483084937965</v>
      </c>
      <c r="J59" s="100"/>
      <c r="K59" s="98"/>
    </row>
    <row r="60" spans="1:12">
      <c r="A60" s="185" t="s">
        <v>277</v>
      </c>
      <c r="B60" s="172"/>
      <c r="C60" s="172"/>
      <c r="D60" s="197" t="e">
        <f>(HLOOKUP($A$12,'Expense Input File'!$A$27:$L$91,38,FALSE))</f>
        <v>#N/A</v>
      </c>
      <c r="E60" s="100"/>
      <c r="F60" s="97"/>
      <c r="G60" s="182" t="e">
        <f>D60</f>
        <v>#N/A</v>
      </c>
      <c r="H60" s="97"/>
      <c r="I60" s="97"/>
      <c r="J60" s="97"/>
      <c r="K60" s="98"/>
    </row>
    <row r="61" spans="1:12">
      <c r="A61" s="185" t="s">
        <v>275</v>
      </c>
      <c r="B61" s="172"/>
      <c r="C61" s="172"/>
      <c r="D61" s="197" t="e">
        <f>(HLOOKUP($A$12,'Expense Input File'!$A$27:$L$91,41,FALSE))</f>
        <v>#N/A</v>
      </c>
      <c r="E61" s="100"/>
      <c r="F61" s="182" t="e">
        <f>D61</f>
        <v>#N/A</v>
      </c>
      <c r="G61" s="97"/>
      <c r="H61" s="97"/>
      <c r="I61" s="97"/>
      <c r="J61" s="97"/>
      <c r="K61" s="98"/>
    </row>
    <row r="62" spans="1:12" ht="15">
      <c r="A62" s="185" t="s">
        <v>469</v>
      </c>
      <c r="B62" s="172"/>
      <c r="C62" s="172"/>
      <c r="D62" s="197" t="e">
        <f>(HLOOKUP($A$12,'Expense Input File'!$A$27:$L$91,39,FALSE))</f>
        <v>#N/A</v>
      </c>
      <c r="E62" s="100"/>
      <c r="F62" s="215">
        <v>0</v>
      </c>
      <c r="G62" s="215">
        <v>0</v>
      </c>
      <c r="H62" s="97"/>
      <c r="I62" s="97"/>
      <c r="J62" s="97"/>
      <c r="K62" s="98"/>
    </row>
    <row r="63" spans="1:12">
      <c r="A63" s="185" t="s">
        <v>274</v>
      </c>
      <c r="B63" s="172"/>
      <c r="C63" s="172"/>
      <c r="D63" s="197" t="e">
        <f>HLOOKUP($A$12,'Expense Input File'!$B$27:$L$91,42,FALSE)</f>
        <v>#N/A</v>
      </c>
      <c r="E63" s="169" t="e">
        <f>(E38/D38)*D63</f>
        <v>#N/A</v>
      </c>
      <c r="F63" s="169" t="e">
        <f>(F38/D38)*D63</f>
        <v>#N/A</v>
      </c>
      <c r="G63" s="169" t="e">
        <f>(G38/D38)*D63</f>
        <v>#N/A</v>
      </c>
      <c r="H63" s="169" t="e">
        <f>(H38/D38)*D63</f>
        <v>#N/A</v>
      </c>
      <c r="I63" s="169" t="e">
        <f>(I38/D38)*D63</f>
        <v>#N/A</v>
      </c>
      <c r="J63" s="169" t="e">
        <f>(J38/D38)*D63</f>
        <v>#N/A</v>
      </c>
      <c r="K63" s="98"/>
    </row>
    <row r="64" spans="1:12" ht="15">
      <c r="A64" s="185" t="s">
        <v>263</v>
      </c>
      <c r="B64" s="168"/>
      <c r="C64" s="172"/>
      <c r="D64" s="216" t="e">
        <f>K64</f>
        <v>#N/A</v>
      </c>
      <c r="E64" s="120"/>
      <c r="F64" s="119"/>
      <c r="G64" s="119"/>
      <c r="H64" s="119"/>
      <c r="I64" s="119"/>
      <c r="J64" s="119"/>
      <c r="K64" s="205" t="e">
        <f>HLOOKUP($A$12,'Expense Input File'!$A$27:$L$91,35,FALSE)</f>
        <v>#N/A</v>
      </c>
    </row>
    <row r="65" spans="1:11" ht="15">
      <c r="A65" s="179" t="s">
        <v>288</v>
      </c>
      <c r="B65" s="172"/>
      <c r="C65" s="172"/>
      <c r="D65" s="217" t="e">
        <f>SUM(D59:D64)</f>
        <v>#N/A</v>
      </c>
      <c r="E65" s="217" t="e">
        <f t="shared" ref="E65:K65" si="6">SUM(E59:E64)</f>
        <v>#N/A</v>
      </c>
      <c r="F65" s="217" t="e">
        <f t="shared" si="6"/>
        <v>#N/A</v>
      </c>
      <c r="G65" s="217" t="e">
        <f t="shared" si="6"/>
        <v>#N/A</v>
      </c>
      <c r="H65" s="217" t="e">
        <f t="shared" si="6"/>
        <v>#N/A</v>
      </c>
      <c r="I65" s="217" t="e">
        <f t="shared" si="6"/>
        <v>#N/A</v>
      </c>
      <c r="J65" s="217" t="e">
        <f t="shared" si="6"/>
        <v>#N/A</v>
      </c>
      <c r="K65" s="218" t="e">
        <f t="shared" si="6"/>
        <v>#N/A</v>
      </c>
    </row>
    <row r="66" spans="1:11">
      <c r="A66" s="185" t="s">
        <v>279</v>
      </c>
      <c r="B66" s="172"/>
      <c r="C66" s="172"/>
      <c r="D66" s="97"/>
      <c r="E66" s="100"/>
      <c r="F66" s="97"/>
      <c r="G66" s="97"/>
      <c r="H66" s="97"/>
      <c r="I66" s="97"/>
      <c r="J66" s="97"/>
      <c r="K66" s="98"/>
    </row>
    <row r="67" spans="1:11">
      <c r="A67" s="185" t="s">
        <v>42</v>
      </c>
      <c r="B67" s="172"/>
      <c r="C67" s="172"/>
      <c r="D67" s="169" t="e">
        <f>SUM(E67:K67)</f>
        <v>#N/A</v>
      </c>
      <c r="E67" s="197" t="e">
        <f>(HLOOKUP($A$12,'Expense Input File'!$B$71:$L$93,22,FALSE))*E15</f>
        <v>#N/A</v>
      </c>
      <c r="F67" s="197" t="e">
        <f>(HLOOKUP($A$12,'Expense Input File'!$B$71:$L$93,22,FALSE))*F15</f>
        <v>#N/A</v>
      </c>
      <c r="G67" s="197" t="e">
        <f>(HLOOKUP($A$12,'Expense Input File'!$B$71:$L$93,22,FALSE))*G15</f>
        <v>#N/A</v>
      </c>
      <c r="H67" s="197" t="e">
        <f>(HLOOKUP($A$12,'Expense Input File'!$B$71:$L$93,22,FALSE))*H15</f>
        <v>#N/A</v>
      </c>
      <c r="I67" s="197" t="e">
        <f>(HLOOKUP($A$12,'Expense Input File'!$B$71:$L$93,22,FALSE))*I15</f>
        <v>#N/A</v>
      </c>
      <c r="J67" s="197" t="e">
        <f>(HLOOKUP($A$12,'Expense Input File'!$B$71:$L$93,22,FALSE))*J15</f>
        <v>#N/A</v>
      </c>
      <c r="K67" s="198" t="e">
        <f>((HLOOKUP($A$12,'Expense Input File'!$B$71:$L$93,22,FALSE))*K15)+(HLOOKUP($A$12,'Expense Input File'!$B$71:$L$93,23,FALSE))</f>
        <v>#N/A</v>
      </c>
    </row>
    <row r="68" spans="1:11">
      <c r="A68" s="185" t="s">
        <v>43</v>
      </c>
      <c r="B68" s="172"/>
      <c r="C68" s="172"/>
      <c r="D68" s="197" t="e">
        <f>HLOOKUP($A$12,'Expense Input File'!$A$27:$L$91,46,FALSE)</f>
        <v>#N/A</v>
      </c>
      <c r="E68" s="100"/>
      <c r="F68" s="182" t="e">
        <f>D68</f>
        <v>#N/A</v>
      </c>
      <c r="G68" s="107"/>
      <c r="H68" s="107"/>
      <c r="I68" s="107"/>
      <c r="J68" s="107"/>
      <c r="K68" s="108"/>
    </row>
    <row r="69" spans="1:11">
      <c r="A69" s="185" t="s">
        <v>44</v>
      </c>
      <c r="B69" s="172"/>
      <c r="C69" s="172"/>
      <c r="D69" s="197" t="e">
        <f>HLOOKUP($A$12,'Expense Input File'!$A$27:$L$91,47,FALSE)</f>
        <v>#N/A</v>
      </c>
      <c r="E69" s="201" t="e">
        <f>(E49/D49)*D69</f>
        <v>#N/A</v>
      </c>
      <c r="F69" s="169" t="e">
        <f>(F49/D49)*D69</f>
        <v>#N/A</v>
      </c>
      <c r="G69" s="169" t="e">
        <f>(G49/D49)*D69</f>
        <v>#N/A</v>
      </c>
      <c r="H69" s="169" t="e">
        <f>(H49/D49)*D69</f>
        <v>#N/A</v>
      </c>
      <c r="I69" s="169" t="e">
        <f>(I49/D49)*D69</f>
        <v>#N/A</v>
      </c>
      <c r="J69" s="169" t="e">
        <f>(J49/D49)*D69</f>
        <v>#N/A</v>
      </c>
      <c r="K69" s="178" t="e">
        <f>(K49/D49)*D69</f>
        <v>#N/A</v>
      </c>
    </row>
    <row r="70" spans="1:11">
      <c r="A70" s="185" t="s">
        <v>45</v>
      </c>
      <c r="B70" s="172"/>
      <c r="C70" s="172"/>
      <c r="D70" s="208" t="e">
        <f>HLOOKUP($A$12,'Expense Input File'!$A$27:$L$91,48,FALSE)</f>
        <v>#N/A</v>
      </c>
      <c r="E70" s="120"/>
      <c r="F70" s="119"/>
      <c r="G70" s="119"/>
      <c r="H70" s="119"/>
      <c r="I70" s="119"/>
      <c r="J70" s="119"/>
      <c r="K70" s="227" t="e">
        <f>D70</f>
        <v>#N/A</v>
      </c>
    </row>
    <row r="71" spans="1:11" ht="15">
      <c r="A71" s="179" t="s">
        <v>289</v>
      </c>
      <c r="B71" s="172"/>
      <c r="C71" s="172"/>
      <c r="D71" s="217" t="e">
        <f>SUM(D67:D70)</f>
        <v>#N/A</v>
      </c>
      <c r="E71" s="217" t="e">
        <f t="shared" ref="E71:J71" si="7">SUM(E67:E70)</f>
        <v>#N/A</v>
      </c>
      <c r="F71" s="217" t="e">
        <f t="shared" si="7"/>
        <v>#N/A</v>
      </c>
      <c r="G71" s="217" t="e">
        <f t="shared" si="7"/>
        <v>#N/A</v>
      </c>
      <c r="H71" s="217" t="e">
        <f t="shared" si="7"/>
        <v>#N/A</v>
      </c>
      <c r="I71" s="217" t="e">
        <f t="shared" si="7"/>
        <v>#N/A</v>
      </c>
      <c r="J71" s="217" t="e">
        <f t="shared" si="7"/>
        <v>#N/A</v>
      </c>
      <c r="K71" s="218" t="e">
        <f>SUM(K67:K70)</f>
        <v>#N/A</v>
      </c>
    </row>
    <row r="72" spans="1:11" ht="15.75" thickBot="1">
      <c r="A72" s="219" t="s">
        <v>280</v>
      </c>
      <c r="B72" s="219"/>
      <c r="C72" s="219"/>
      <c r="D72" s="220" t="e">
        <f>SUM(E72:K72)</f>
        <v>#N/A</v>
      </c>
      <c r="E72" s="220" t="e">
        <f>E71+E65</f>
        <v>#N/A</v>
      </c>
      <c r="F72" s="220" t="e">
        <f t="shared" ref="F72:K72" si="8">F71+F65</f>
        <v>#N/A</v>
      </c>
      <c r="G72" s="220" t="e">
        <f t="shared" si="8"/>
        <v>#N/A</v>
      </c>
      <c r="H72" s="220" t="e">
        <f t="shared" si="8"/>
        <v>#N/A</v>
      </c>
      <c r="I72" s="220" t="e">
        <f t="shared" si="8"/>
        <v>#N/A</v>
      </c>
      <c r="J72" s="220" t="e">
        <f t="shared" si="8"/>
        <v>#N/A</v>
      </c>
      <c r="K72" s="221" t="e">
        <f t="shared" si="8"/>
        <v>#N/A</v>
      </c>
    </row>
    <row r="75" spans="1:11">
      <c r="D75" s="229"/>
    </row>
  </sheetData>
  <mergeCells count="3">
    <mergeCell ref="A1:K1"/>
    <mergeCell ref="A10:B10"/>
    <mergeCell ref="A12:C12"/>
  </mergeCells>
  <hyperlinks>
    <hyperlink ref="I5" location="'Revenue Requirement'!A1" display="Revenue Requirement" xr:uid="{00000000-0004-0000-1F00-000000000000}"/>
    <hyperlink ref="I4" location="AFUDC!A1" display="AFUDC" xr:uid="{00000000-0004-0000-1F00-000001000000}"/>
    <hyperlink ref="I3" location="'Repayment Inputs'!A1" display="Repayment Inputs" xr:uid="{00000000-0004-0000-1F00-000002000000}"/>
    <hyperlink ref="I6" location="'Expense Input File'!A1" display="Expense Input" xr:uid="{00000000-0004-0000-1F00-000003000000}"/>
    <hyperlink ref="G4" r:id="rId1" xr:uid="{00000000-0004-0000-1F00-000004000000}"/>
    <hyperlink ref="G5" r:id="rId2" xr:uid="{00000000-0004-0000-1F00-000005000000}"/>
    <hyperlink ref="G6" r:id="rId3" xr:uid="{00000000-0004-0000-1F00-000006000000}"/>
    <hyperlink ref="G7" r:id="rId4" xr:uid="{00000000-0004-0000-1F00-000007000000}"/>
  </hyperlinks>
  <pageMargins left="0.7" right="0.7" top="0.75" bottom="0.75" header="0.3" footer="0.3"/>
  <legacyDrawing r:id="rId5"/>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codeName="Sheet31">
    <tabColor theme="0" tint="-0.499984740745262"/>
    <pageSetUpPr autoPageBreaks="0"/>
  </sheetPr>
  <dimension ref="A1:O67"/>
  <sheetViews>
    <sheetView workbookViewId="0">
      <selection sqref="A1:O1"/>
    </sheetView>
  </sheetViews>
  <sheetFormatPr defaultColWidth="9.140625" defaultRowHeight="14.25"/>
  <cols>
    <col min="1" max="1" width="45" style="90" customWidth="1"/>
    <col min="2" max="15" width="10.5703125" style="90" bestFit="1" customWidth="1"/>
    <col min="16" max="16384" width="9.140625" style="90"/>
  </cols>
  <sheetData>
    <row r="1" spans="1:15" ht="18.75" thickBot="1">
      <c r="A1" s="1000" t="s">
        <v>432</v>
      </c>
      <c r="B1" s="1001"/>
      <c r="C1" s="1001"/>
      <c r="D1" s="1001"/>
      <c r="E1" s="1001"/>
      <c r="F1" s="1001"/>
      <c r="G1" s="1001"/>
      <c r="H1" s="1001"/>
      <c r="I1" s="1001"/>
      <c r="J1" s="1001"/>
      <c r="K1" s="1001"/>
      <c r="L1" s="1001"/>
      <c r="M1" s="1001"/>
      <c r="N1" s="1001"/>
      <c r="O1" s="1002"/>
    </row>
    <row r="2" spans="1:15" ht="15">
      <c r="A2" s="230" t="s">
        <v>115</v>
      </c>
      <c r="B2" s="1003"/>
      <c r="C2" s="1003"/>
      <c r="D2" s="231"/>
      <c r="E2" s="232" t="s">
        <v>396</v>
      </c>
      <c r="F2" s="1004"/>
      <c r="G2" s="1004"/>
      <c r="H2" s="1004"/>
      <c r="I2" s="1004"/>
      <c r="J2" s="1004"/>
      <c r="K2" s="1004"/>
      <c r="L2" s="1004"/>
      <c r="M2" s="1004"/>
      <c r="N2" s="1004"/>
      <c r="O2" s="1005"/>
    </row>
    <row r="3" spans="1:15" ht="15">
      <c r="A3" s="233" t="s">
        <v>433</v>
      </c>
      <c r="B3" s="1010"/>
      <c r="C3" s="1010"/>
      <c r="D3" s="132"/>
      <c r="E3" s="132"/>
      <c r="F3" s="1006"/>
      <c r="G3" s="1006"/>
      <c r="H3" s="1006"/>
      <c r="I3" s="1006"/>
      <c r="J3" s="1006"/>
      <c r="K3" s="1006"/>
      <c r="L3" s="1006"/>
      <c r="M3" s="1006"/>
      <c r="N3" s="1006"/>
      <c r="O3" s="1007"/>
    </row>
    <row r="4" spans="1:15" ht="33" customHeight="1">
      <c r="A4" s="234" t="s">
        <v>434</v>
      </c>
      <c r="B4" s="1011"/>
      <c r="C4" s="1011"/>
      <c r="D4" s="132"/>
      <c r="E4" s="132"/>
      <c r="F4" s="1006"/>
      <c r="G4" s="1006"/>
      <c r="H4" s="1006"/>
      <c r="I4" s="1006"/>
      <c r="J4" s="1006"/>
      <c r="K4" s="1006"/>
      <c r="L4" s="1006"/>
      <c r="M4" s="1006"/>
      <c r="N4" s="1006"/>
      <c r="O4" s="1007"/>
    </row>
    <row r="5" spans="1:15" ht="15.75" thickBot="1">
      <c r="A5" s="235" t="s">
        <v>435</v>
      </c>
      <c r="B5" s="1012" t="s">
        <v>169</v>
      </c>
      <c r="C5" s="1012"/>
      <c r="D5" s="133"/>
      <c r="E5" s="133"/>
      <c r="F5" s="1008"/>
      <c r="G5" s="1008"/>
      <c r="H5" s="1008"/>
      <c r="I5" s="1008"/>
      <c r="J5" s="1008"/>
      <c r="K5" s="1008"/>
      <c r="L5" s="1008"/>
      <c r="M5" s="1008"/>
      <c r="N5" s="1008"/>
      <c r="O5" s="1009"/>
    </row>
    <row r="7" spans="1:15" ht="15">
      <c r="A7" s="236" t="str">
        <f>"Changes from "&amp;B4&amp;" to "&amp;B3&amp;" (Thousands)"</f>
        <v>Changes from  to  (Thousands)</v>
      </c>
      <c r="B7" s="146">
        <v>2020</v>
      </c>
      <c r="C7" s="146">
        <f>B7+1</f>
        <v>2021</v>
      </c>
      <c r="D7" s="146">
        <f t="shared" ref="D7:N7" si="0">C7+1</f>
        <v>2022</v>
      </c>
      <c r="E7" s="146">
        <f t="shared" si="0"/>
        <v>2023</v>
      </c>
      <c r="F7" s="146">
        <f t="shared" si="0"/>
        <v>2024</v>
      </c>
      <c r="G7" s="146">
        <f t="shared" si="0"/>
        <v>2025</v>
      </c>
      <c r="H7" s="146">
        <f t="shared" si="0"/>
        <v>2026</v>
      </c>
      <c r="I7" s="146">
        <f t="shared" si="0"/>
        <v>2027</v>
      </c>
      <c r="J7" s="146">
        <f t="shared" si="0"/>
        <v>2028</v>
      </c>
      <c r="K7" s="146">
        <f t="shared" si="0"/>
        <v>2029</v>
      </c>
      <c r="L7" s="146">
        <f t="shared" si="0"/>
        <v>2030</v>
      </c>
      <c r="M7" s="146">
        <f t="shared" si="0"/>
        <v>2031</v>
      </c>
      <c r="N7" s="146">
        <f t="shared" si="0"/>
        <v>2032</v>
      </c>
      <c r="O7" s="146"/>
    </row>
    <row r="8" spans="1:15">
      <c r="A8" s="237" t="s">
        <v>436</v>
      </c>
      <c r="B8" s="238"/>
      <c r="C8" s="238"/>
      <c r="D8" s="238"/>
      <c r="E8" s="238"/>
      <c r="F8" s="238"/>
      <c r="G8" s="238"/>
      <c r="H8" s="238"/>
      <c r="I8" s="238"/>
      <c r="J8" s="238"/>
      <c r="K8" s="238"/>
      <c r="L8" s="238"/>
      <c r="M8" s="238"/>
      <c r="N8" s="238"/>
      <c r="O8" s="115"/>
    </row>
    <row r="9" spans="1:15">
      <c r="A9" s="90" t="s">
        <v>437</v>
      </c>
      <c r="B9" s="110"/>
      <c r="C9" s="110"/>
      <c r="D9" s="110"/>
      <c r="E9" s="110"/>
      <c r="F9" s="110"/>
      <c r="G9" s="110"/>
      <c r="H9" s="110"/>
      <c r="I9" s="110"/>
      <c r="J9" s="110"/>
      <c r="K9" s="110"/>
      <c r="L9" s="110"/>
      <c r="M9" s="110"/>
      <c r="N9" s="110"/>
      <c r="O9" s="115"/>
    </row>
    <row r="10" spans="1:15" ht="15">
      <c r="A10" s="237" t="s">
        <v>438</v>
      </c>
      <c r="B10" s="238"/>
      <c r="C10" s="238"/>
      <c r="D10" s="238"/>
      <c r="E10" s="238"/>
      <c r="F10" s="238"/>
      <c r="G10" s="238"/>
      <c r="H10" s="238"/>
      <c r="I10" s="238"/>
      <c r="J10" s="238"/>
      <c r="K10" s="238"/>
      <c r="L10" s="238"/>
      <c r="M10" s="238"/>
      <c r="N10" s="238"/>
      <c r="O10" s="239"/>
    </row>
    <row r="11" spans="1:15" ht="15">
      <c r="A11" s="90" t="s">
        <v>439</v>
      </c>
      <c r="B11" s="110"/>
      <c r="C11" s="110"/>
      <c r="D11" s="110"/>
      <c r="E11" s="110"/>
      <c r="F11" s="110"/>
      <c r="G11" s="110"/>
      <c r="H11" s="110"/>
      <c r="I11" s="110"/>
      <c r="J11" s="110"/>
      <c r="K11" s="110"/>
      <c r="L11" s="110"/>
      <c r="M11" s="110"/>
      <c r="N11" s="110"/>
      <c r="O11" s="146"/>
    </row>
    <row r="12" spans="1:15">
      <c r="A12" s="237" t="s">
        <v>440</v>
      </c>
      <c r="B12" s="238"/>
      <c r="C12" s="238"/>
      <c r="D12" s="238"/>
      <c r="E12" s="238"/>
      <c r="F12" s="238"/>
      <c r="G12" s="238"/>
      <c r="H12" s="238"/>
      <c r="I12" s="238"/>
      <c r="J12" s="238"/>
      <c r="K12" s="238"/>
      <c r="L12" s="238"/>
      <c r="M12" s="238"/>
      <c r="N12" s="238"/>
      <c r="O12" s="115"/>
    </row>
    <row r="13" spans="1:15">
      <c r="A13" s="90" t="s">
        <v>441</v>
      </c>
      <c r="B13" s="110"/>
      <c r="C13" s="110"/>
      <c r="D13" s="110"/>
      <c r="E13" s="110"/>
      <c r="F13" s="110"/>
      <c r="G13" s="110"/>
      <c r="H13" s="110"/>
      <c r="I13" s="110"/>
      <c r="J13" s="110"/>
      <c r="K13" s="110"/>
      <c r="L13" s="110"/>
      <c r="M13" s="110"/>
      <c r="N13" s="110"/>
      <c r="O13" s="115"/>
    </row>
    <row r="14" spans="1:15" ht="15.75" thickBot="1">
      <c r="A14" s="240" t="s">
        <v>442</v>
      </c>
      <c r="B14" s="241"/>
      <c r="C14" s="241"/>
      <c r="D14" s="241"/>
      <c r="E14" s="241"/>
      <c r="F14" s="241"/>
      <c r="G14" s="241"/>
      <c r="H14" s="241"/>
      <c r="I14" s="241"/>
      <c r="J14" s="241"/>
      <c r="K14" s="241"/>
      <c r="L14" s="241"/>
      <c r="M14" s="241"/>
      <c r="N14" s="241"/>
      <c r="O14" s="146"/>
    </row>
    <row r="15" spans="1:15" ht="15.75" thickTop="1">
      <c r="A15" s="124" t="s">
        <v>443</v>
      </c>
      <c r="B15" s="242">
        <f>SUM(B8:B14)</f>
        <v>0</v>
      </c>
      <c r="C15" s="242">
        <f t="shared" ref="C15:N15" si="1">SUM(C8:C14)</f>
        <v>0</v>
      </c>
      <c r="D15" s="242">
        <f t="shared" si="1"/>
        <v>0</v>
      </c>
      <c r="E15" s="242">
        <f t="shared" si="1"/>
        <v>0</v>
      </c>
      <c r="F15" s="242">
        <f t="shared" si="1"/>
        <v>0</v>
      </c>
      <c r="G15" s="242">
        <f t="shared" si="1"/>
        <v>0</v>
      </c>
      <c r="H15" s="242">
        <f t="shared" si="1"/>
        <v>0</v>
      </c>
      <c r="I15" s="242">
        <f t="shared" si="1"/>
        <v>0</v>
      </c>
      <c r="J15" s="242">
        <f t="shared" si="1"/>
        <v>0</v>
      </c>
      <c r="K15" s="242">
        <f t="shared" si="1"/>
        <v>0</v>
      </c>
      <c r="L15" s="242">
        <f t="shared" si="1"/>
        <v>0</v>
      </c>
      <c r="M15" s="242">
        <f t="shared" si="1"/>
        <v>0</v>
      </c>
      <c r="N15" s="242">
        <f t="shared" si="1"/>
        <v>0</v>
      </c>
      <c r="O15" s="115"/>
    </row>
    <row r="16" spans="1:15">
      <c r="O16" s="115"/>
    </row>
    <row r="17" spans="1:15" ht="30">
      <c r="A17" s="164" t="str">
        <f>"Capital Related Cost Changes from "&amp;B4&amp;" to "&amp;B3&amp;" (Thousands)"</f>
        <v>Capital Related Cost Changes from  to  (Thousands)</v>
      </c>
      <c r="B17" s="146">
        <f>B7</f>
        <v>2020</v>
      </c>
      <c r="C17" s="146">
        <f t="shared" ref="C17:N17" si="2">C7</f>
        <v>2021</v>
      </c>
      <c r="D17" s="146">
        <f t="shared" si="2"/>
        <v>2022</v>
      </c>
      <c r="E17" s="146">
        <f t="shared" si="2"/>
        <v>2023</v>
      </c>
      <c r="F17" s="146">
        <f t="shared" si="2"/>
        <v>2024</v>
      </c>
      <c r="G17" s="146">
        <f t="shared" si="2"/>
        <v>2025</v>
      </c>
      <c r="H17" s="146">
        <f t="shared" si="2"/>
        <v>2026</v>
      </c>
      <c r="I17" s="146">
        <f t="shared" si="2"/>
        <v>2027</v>
      </c>
      <c r="J17" s="146">
        <f t="shared" si="2"/>
        <v>2028</v>
      </c>
      <c r="K17" s="146">
        <f t="shared" si="2"/>
        <v>2029</v>
      </c>
      <c r="L17" s="146">
        <f t="shared" si="2"/>
        <v>2030</v>
      </c>
      <c r="M17" s="146">
        <f t="shared" si="2"/>
        <v>2031</v>
      </c>
      <c r="N17" s="146">
        <f t="shared" si="2"/>
        <v>2032</v>
      </c>
      <c r="O17" s="146"/>
    </row>
    <row r="18" spans="1:15">
      <c r="A18" s="237" t="s">
        <v>426</v>
      </c>
      <c r="B18" s="238"/>
      <c r="C18" s="238"/>
      <c r="D18" s="238"/>
      <c r="E18" s="238"/>
      <c r="F18" s="238"/>
      <c r="G18" s="238"/>
      <c r="H18" s="238"/>
      <c r="I18" s="238"/>
      <c r="J18" s="238"/>
      <c r="K18" s="238"/>
      <c r="L18" s="238"/>
      <c r="M18" s="238"/>
      <c r="N18" s="238"/>
      <c r="O18" s="115"/>
    </row>
    <row r="19" spans="1:15">
      <c r="A19" s="90" t="s">
        <v>428</v>
      </c>
      <c r="B19" s="110"/>
      <c r="C19" s="110"/>
      <c r="D19" s="110"/>
      <c r="E19" s="110"/>
      <c r="F19" s="110"/>
      <c r="G19" s="110"/>
      <c r="H19" s="110"/>
      <c r="I19" s="110"/>
      <c r="J19" s="110"/>
      <c r="K19" s="110"/>
      <c r="L19" s="110"/>
      <c r="M19" s="110"/>
      <c r="N19" s="110"/>
      <c r="O19" s="115"/>
    </row>
    <row r="20" spans="1:15" ht="15.75" thickBot="1">
      <c r="A20" s="240" t="s">
        <v>427</v>
      </c>
      <c r="B20" s="241"/>
      <c r="C20" s="241"/>
      <c r="D20" s="241"/>
      <c r="E20" s="241"/>
      <c r="F20" s="241"/>
      <c r="G20" s="241"/>
      <c r="H20" s="241"/>
      <c r="I20" s="241"/>
      <c r="J20" s="241"/>
      <c r="K20" s="241"/>
      <c r="L20" s="241"/>
      <c r="M20" s="241"/>
      <c r="N20" s="241"/>
      <c r="O20" s="146"/>
    </row>
    <row r="21" spans="1:15" ht="15.75" thickTop="1">
      <c r="A21" s="124" t="s">
        <v>444</v>
      </c>
      <c r="B21" s="242">
        <f>SUM(B18:B20)</f>
        <v>0</v>
      </c>
      <c r="C21" s="242">
        <f t="shared" ref="C21:N21" si="3">SUM(C18:C20)</f>
        <v>0</v>
      </c>
      <c r="D21" s="242">
        <f t="shared" si="3"/>
        <v>0</v>
      </c>
      <c r="E21" s="242">
        <f t="shared" si="3"/>
        <v>0</v>
      </c>
      <c r="F21" s="242">
        <f t="shared" si="3"/>
        <v>0</v>
      </c>
      <c r="G21" s="242">
        <f t="shared" si="3"/>
        <v>0</v>
      </c>
      <c r="H21" s="242">
        <f t="shared" si="3"/>
        <v>0</v>
      </c>
      <c r="I21" s="242">
        <f t="shared" si="3"/>
        <v>0</v>
      </c>
      <c r="J21" s="242">
        <f t="shared" si="3"/>
        <v>0</v>
      </c>
      <c r="K21" s="242">
        <f t="shared" si="3"/>
        <v>0</v>
      </c>
      <c r="L21" s="242">
        <f t="shared" si="3"/>
        <v>0</v>
      </c>
      <c r="M21" s="242">
        <f t="shared" si="3"/>
        <v>0</v>
      </c>
      <c r="N21" s="242">
        <f t="shared" si="3"/>
        <v>0</v>
      </c>
      <c r="O21" s="115"/>
    </row>
    <row r="22" spans="1:15">
      <c r="O22" s="115"/>
    </row>
    <row r="23" spans="1:15" ht="30">
      <c r="A23" s="164" t="s">
        <v>461</v>
      </c>
      <c r="B23" s="146">
        <f>B17</f>
        <v>2020</v>
      </c>
      <c r="C23" s="146">
        <f t="shared" ref="C23:N23" si="4">C17</f>
        <v>2021</v>
      </c>
      <c r="D23" s="146">
        <f t="shared" si="4"/>
        <v>2022</v>
      </c>
      <c r="E23" s="146">
        <f t="shared" si="4"/>
        <v>2023</v>
      </c>
      <c r="F23" s="146">
        <f t="shared" si="4"/>
        <v>2024</v>
      </c>
      <c r="G23" s="146">
        <f t="shared" si="4"/>
        <v>2025</v>
      </c>
      <c r="H23" s="146">
        <f t="shared" si="4"/>
        <v>2026</v>
      </c>
      <c r="I23" s="146">
        <f t="shared" si="4"/>
        <v>2027</v>
      </c>
      <c r="J23" s="146">
        <f t="shared" si="4"/>
        <v>2028</v>
      </c>
      <c r="K23" s="146">
        <f t="shared" si="4"/>
        <v>2029</v>
      </c>
      <c r="L23" s="146">
        <f t="shared" si="4"/>
        <v>2030</v>
      </c>
      <c r="M23" s="146">
        <f t="shared" si="4"/>
        <v>2031</v>
      </c>
      <c r="N23" s="146">
        <f t="shared" si="4"/>
        <v>2032</v>
      </c>
      <c r="O23" s="146"/>
    </row>
    <row r="24" spans="1:15">
      <c r="A24" s="237">
        <f>B3</f>
        <v>0</v>
      </c>
      <c r="B24" s="238"/>
      <c r="C24" s="238"/>
      <c r="D24" s="238"/>
      <c r="E24" s="238"/>
      <c r="F24" s="238"/>
      <c r="G24" s="238"/>
      <c r="H24" s="238"/>
      <c r="I24" s="238"/>
      <c r="J24" s="238"/>
      <c r="K24" s="238"/>
      <c r="L24" s="238"/>
      <c r="M24" s="238"/>
      <c r="N24" s="238"/>
      <c r="O24" s="115"/>
    </row>
    <row r="25" spans="1:15" ht="15" thickBot="1">
      <c r="A25" s="243">
        <f>B4</f>
        <v>0</v>
      </c>
      <c r="B25" s="244"/>
      <c r="C25" s="244"/>
      <c r="D25" s="244"/>
      <c r="E25" s="244"/>
      <c r="F25" s="244"/>
      <c r="G25" s="244"/>
      <c r="H25" s="244"/>
      <c r="I25" s="244"/>
      <c r="J25" s="244"/>
      <c r="K25" s="244"/>
      <c r="L25" s="244"/>
      <c r="M25" s="244"/>
      <c r="N25" s="244"/>
      <c r="O25" s="115"/>
    </row>
    <row r="26" spans="1:15" ht="15.75" thickTop="1">
      <c r="A26" s="245" t="s">
        <v>445</v>
      </c>
      <c r="B26" s="246">
        <f>B24-B25</f>
        <v>0</v>
      </c>
      <c r="C26" s="246">
        <f t="shared" ref="C26:N26" si="5">C24-C25</f>
        <v>0</v>
      </c>
      <c r="D26" s="246">
        <f t="shared" si="5"/>
        <v>0</v>
      </c>
      <c r="E26" s="246">
        <f t="shared" si="5"/>
        <v>0</v>
      </c>
      <c r="F26" s="246">
        <f t="shared" si="5"/>
        <v>0</v>
      </c>
      <c r="G26" s="246">
        <f t="shared" si="5"/>
        <v>0</v>
      </c>
      <c r="H26" s="246">
        <f t="shared" si="5"/>
        <v>0</v>
      </c>
      <c r="I26" s="246">
        <f t="shared" si="5"/>
        <v>0</v>
      </c>
      <c r="J26" s="246">
        <f t="shared" si="5"/>
        <v>0</v>
      </c>
      <c r="K26" s="246">
        <f t="shared" si="5"/>
        <v>0</v>
      </c>
      <c r="L26" s="246">
        <f t="shared" si="5"/>
        <v>0</v>
      </c>
      <c r="M26" s="246">
        <f t="shared" si="5"/>
        <v>0</v>
      </c>
      <c r="N26" s="246">
        <f t="shared" si="5"/>
        <v>0</v>
      </c>
      <c r="O26" s="239"/>
    </row>
    <row r="28" spans="1:15" ht="30">
      <c r="A28" s="164" t="s">
        <v>460</v>
      </c>
      <c r="B28" s="146">
        <f>B23</f>
        <v>2020</v>
      </c>
      <c r="C28" s="146">
        <f t="shared" ref="C28:N28" si="6">C23</f>
        <v>2021</v>
      </c>
      <c r="D28" s="146">
        <f t="shared" si="6"/>
        <v>2022</v>
      </c>
      <c r="E28" s="146">
        <f t="shared" si="6"/>
        <v>2023</v>
      </c>
      <c r="F28" s="146">
        <f t="shared" si="6"/>
        <v>2024</v>
      </c>
      <c r="G28" s="146">
        <f t="shared" si="6"/>
        <v>2025</v>
      </c>
      <c r="H28" s="146">
        <f t="shared" si="6"/>
        <v>2026</v>
      </c>
      <c r="I28" s="146">
        <f t="shared" si="6"/>
        <v>2027</v>
      </c>
      <c r="J28" s="146">
        <f t="shared" si="6"/>
        <v>2028</v>
      </c>
      <c r="K28" s="146">
        <f t="shared" si="6"/>
        <v>2029</v>
      </c>
      <c r="L28" s="146">
        <f t="shared" si="6"/>
        <v>2030</v>
      </c>
      <c r="M28" s="146">
        <f t="shared" si="6"/>
        <v>2031</v>
      </c>
      <c r="N28" s="146">
        <f t="shared" si="6"/>
        <v>2032</v>
      </c>
      <c r="O28" s="146"/>
    </row>
    <row r="29" spans="1:15">
      <c r="A29" s="237">
        <f>B3</f>
        <v>0</v>
      </c>
      <c r="B29" s="238"/>
      <c r="C29" s="238"/>
      <c r="D29" s="238"/>
      <c r="E29" s="238"/>
      <c r="F29" s="238"/>
      <c r="G29" s="238"/>
      <c r="H29" s="238"/>
      <c r="I29" s="238"/>
      <c r="J29" s="238"/>
      <c r="K29" s="238"/>
      <c r="L29" s="238"/>
      <c r="M29" s="238"/>
      <c r="N29" s="238"/>
      <c r="O29" s="115"/>
    </row>
    <row r="30" spans="1:15" ht="15" thickBot="1">
      <c r="A30" s="243">
        <f>B4</f>
        <v>0</v>
      </c>
      <c r="B30" s="244"/>
      <c r="C30" s="244"/>
      <c r="D30" s="244"/>
      <c r="E30" s="244"/>
      <c r="F30" s="244"/>
      <c r="G30" s="244"/>
      <c r="H30" s="244"/>
      <c r="I30" s="244"/>
      <c r="J30" s="244"/>
      <c r="K30" s="244"/>
      <c r="L30" s="244"/>
      <c r="M30" s="244"/>
      <c r="N30" s="244"/>
      <c r="O30" s="115"/>
    </row>
    <row r="31" spans="1:15" ht="15.75" thickTop="1">
      <c r="A31" s="245" t="s">
        <v>445</v>
      </c>
      <c r="B31" s="246">
        <f>B29-B30</f>
        <v>0</v>
      </c>
      <c r="C31" s="246">
        <f t="shared" ref="C31:N31" si="7">C29-C30</f>
        <v>0</v>
      </c>
      <c r="D31" s="246">
        <f t="shared" si="7"/>
        <v>0</v>
      </c>
      <c r="E31" s="246">
        <f t="shared" si="7"/>
        <v>0</v>
      </c>
      <c r="F31" s="246">
        <f t="shared" si="7"/>
        <v>0</v>
      </c>
      <c r="G31" s="246">
        <f t="shared" si="7"/>
        <v>0</v>
      </c>
      <c r="H31" s="246">
        <f t="shared" si="7"/>
        <v>0</v>
      </c>
      <c r="I31" s="246">
        <f t="shared" si="7"/>
        <v>0</v>
      </c>
      <c r="J31" s="246">
        <f t="shared" si="7"/>
        <v>0</v>
      </c>
      <c r="K31" s="246">
        <f t="shared" si="7"/>
        <v>0</v>
      </c>
      <c r="L31" s="246">
        <f t="shared" si="7"/>
        <v>0</v>
      </c>
      <c r="M31" s="246">
        <f t="shared" si="7"/>
        <v>0</v>
      </c>
      <c r="N31" s="246">
        <f t="shared" si="7"/>
        <v>0</v>
      </c>
      <c r="O31" s="239"/>
    </row>
    <row r="33" spans="1:15" ht="45">
      <c r="A33" s="164" t="s">
        <v>462</v>
      </c>
      <c r="B33" s="146" t="s">
        <v>216</v>
      </c>
      <c r="C33" s="146" t="s">
        <v>217</v>
      </c>
      <c r="D33" s="146" t="s">
        <v>218</v>
      </c>
      <c r="E33" s="146" t="s">
        <v>525</v>
      </c>
      <c r="F33" s="146" t="s">
        <v>526</v>
      </c>
      <c r="G33" s="146" t="s">
        <v>527</v>
      </c>
      <c r="H33" s="146"/>
    </row>
    <row r="34" spans="1:15">
      <c r="A34" s="237">
        <f>B3</f>
        <v>0</v>
      </c>
      <c r="B34" s="238"/>
      <c r="C34" s="238"/>
      <c r="D34" s="238"/>
      <c r="E34" s="238"/>
      <c r="F34" s="238"/>
      <c r="G34" s="238"/>
      <c r="H34" s="115"/>
    </row>
    <row r="35" spans="1:15" ht="15" thickBot="1">
      <c r="A35" s="243">
        <f>B4</f>
        <v>0</v>
      </c>
      <c r="B35" s="244"/>
      <c r="C35" s="244"/>
      <c r="D35" s="244"/>
      <c r="E35" s="244"/>
      <c r="F35" s="244"/>
      <c r="G35" s="244"/>
      <c r="H35" s="115"/>
    </row>
    <row r="36" spans="1:15" ht="15.75" thickTop="1">
      <c r="A36" s="245" t="s">
        <v>445</v>
      </c>
      <c r="B36" s="246">
        <f t="shared" ref="B36:G36" si="8">B34-B35</f>
        <v>0</v>
      </c>
      <c r="C36" s="246">
        <f t="shared" si="8"/>
        <v>0</v>
      </c>
      <c r="D36" s="246">
        <f t="shared" si="8"/>
        <v>0</v>
      </c>
      <c r="E36" s="246">
        <f t="shared" si="8"/>
        <v>0</v>
      </c>
      <c r="F36" s="246">
        <f t="shared" si="8"/>
        <v>0</v>
      </c>
      <c r="G36" s="246">
        <f t="shared" si="8"/>
        <v>0</v>
      </c>
      <c r="H36" s="239"/>
    </row>
    <row r="38" spans="1:15" ht="30">
      <c r="A38" s="164" t="s">
        <v>463</v>
      </c>
      <c r="B38" s="146" t="str">
        <f t="shared" ref="B38:G38" si="9">B33</f>
        <v>20/21</v>
      </c>
      <c r="C38" s="146" t="str">
        <f t="shared" si="9"/>
        <v>22/23</v>
      </c>
      <c r="D38" s="146" t="str">
        <f t="shared" si="9"/>
        <v>24/25</v>
      </c>
      <c r="E38" s="146" t="str">
        <f t="shared" si="9"/>
        <v>26/27/28</v>
      </c>
      <c r="F38" s="146" t="str">
        <f t="shared" si="9"/>
        <v>29/30</v>
      </c>
      <c r="G38" s="146" t="str">
        <f t="shared" si="9"/>
        <v>31/32</v>
      </c>
      <c r="H38" s="146"/>
    </row>
    <row r="39" spans="1:15">
      <c r="A39" s="237">
        <f>B3</f>
        <v>0</v>
      </c>
      <c r="B39" s="238"/>
      <c r="C39" s="238"/>
      <c r="D39" s="238"/>
      <c r="E39" s="238"/>
      <c r="F39" s="238"/>
      <c r="G39" s="238"/>
      <c r="H39" s="115"/>
    </row>
    <row r="40" spans="1:15" ht="15" thickBot="1">
      <c r="A40" s="243">
        <f>B4</f>
        <v>0</v>
      </c>
      <c r="B40" s="244"/>
      <c r="C40" s="244"/>
      <c r="D40" s="244"/>
      <c r="E40" s="244"/>
      <c r="F40" s="244"/>
      <c r="G40" s="244"/>
      <c r="H40" s="115"/>
    </row>
    <row r="41" spans="1:15" ht="15.75" thickTop="1">
      <c r="A41" s="245" t="s">
        <v>445</v>
      </c>
      <c r="B41" s="246">
        <f t="shared" ref="B41:G41" si="10">B39-B40</f>
        <v>0</v>
      </c>
      <c r="C41" s="246">
        <f t="shared" si="10"/>
        <v>0</v>
      </c>
      <c r="D41" s="246">
        <f t="shared" si="10"/>
        <v>0</v>
      </c>
      <c r="E41" s="246">
        <f t="shared" si="10"/>
        <v>0</v>
      </c>
      <c r="F41" s="246">
        <f t="shared" si="10"/>
        <v>0</v>
      </c>
      <c r="G41" s="246">
        <f t="shared" si="10"/>
        <v>0</v>
      </c>
      <c r="H41" s="239"/>
    </row>
    <row r="44" spans="1:15" ht="31.5" customHeight="1">
      <c r="A44" s="164" t="str">
        <f>B3&amp;" Capital Related Costs"&amp;" (Thousands)"</f>
        <v xml:space="preserve"> Capital Related Costs (Thousands)</v>
      </c>
      <c r="B44" s="146">
        <f>B28</f>
        <v>2020</v>
      </c>
      <c r="C44" s="146">
        <f t="shared" ref="C44:N44" si="11">C28</f>
        <v>2021</v>
      </c>
      <c r="D44" s="146">
        <f t="shared" si="11"/>
        <v>2022</v>
      </c>
      <c r="E44" s="146">
        <f t="shared" si="11"/>
        <v>2023</v>
      </c>
      <c r="F44" s="146">
        <f t="shared" si="11"/>
        <v>2024</v>
      </c>
      <c r="G44" s="146">
        <f t="shared" si="11"/>
        <v>2025</v>
      </c>
      <c r="H44" s="146">
        <f t="shared" si="11"/>
        <v>2026</v>
      </c>
      <c r="I44" s="146">
        <f t="shared" si="11"/>
        <v>2027</v>
      </c>
      <c r="J44" s="146">
        <f t="shared" si="11"/>
        <v>2028</v>
      </c>
      <c r="K44" s="146">
        <f t="shared" si="11"/>
        <v>2029</v>
      </c>
      <c r="L44" s="146">
        <f t="shared" si="11"/>
        <v>2030</v>
      </c>
      <c r="M44" s="146">
        <f t="shared" si="11"/>
        <v>2031</v>
      </c>
      <c r="N44" s="146">
        <f t="shared" si="11"/>
        <v>2032</v>
      </c>
      <c r="O44" s="146"/>
    </row>
    <row r="45" spans="1:15">
      <c r="A45" s="237" t="s">
        <v>426</v>
      </c>
      <c r="B45" s="238"/>
      <c r="C45" s="238"/>
      <c r="D45" s="238"/>
      <c r="E45" s="238"/>
      <c r="F45" s="238"/>
      <c r="G45" s="238"/>
      <c r="H45" s="238"/>
      <c r="I45" s="238"/>
      <c r="J45" s="238"/>
      <c r="K45" s="238"/>
      <c r="L45" s="238"/>
      <c r="M45" s="238"/>
      <c r="N45" s="238"/>
      <c r="O45" s="115"/>
    </row>
    <row r="46" spans="1:15">
      <c r="A46" s="90" t="s">
        <v>428</v>
      </c>
      <c r="B46" s="110"/>
      <c r="C46" s="110"/>
      <c r="D46" s="110"/>
      <c r="E46" s="110"/>
      <c r="F46" s="110"/>
      <c r="G46" s="110"/>
      <c r="H46" s="110"/>
      <c r="I46" s="110"/>
      <c r="J46" s="110"/>
      <c r="K46" s="110"/>
      <c r="L46" s="110"/>
      <c r="M46" s="110"/>
      <c r="N46" s="110"/>
      <c r="O46" s="115"/>
    </row>
    <row r="47" spans="1:15" ht="15" thickBot="1">
      <c r="A47" s="240" t="s">
        <v>449</v>
      </c>
      <c r="B47" s="241"/>
      <c r="C47" s="241"/>
      <c r="D47" s="241"/>
      <c r="E47" s="241"/>
      <c r="F47" s="241"/>
      <c r="G47" s="241"/>
      <c r="H47" s="241"/>
      <c r="I47" s="241"/>
      <c r="J47" s="241"/>
      <c r="K47" s="241"/>
      <c r="L47" s="241"/>
      <c r="M47" s="241"/>
      <c r="N47" s="241"/>
      <c r="O47" s="115"/>
    </row>
    <row r="48" spans="1:15" ht="15.75" thickTop="1">
      <c r="A48" s="124" t="s">
        <v>448</v>
      </c>
      <c r="B48" s="242">
        <f>SUM(B45:B47)</f>
        <v>0</v>
      </c>
      <c r="C48" s="242">
        <f>SUM(C45:C47)</f>
        <v>0</v>
      </c>
      <c r="D48" s="242">
        <f>SUM(D45:D47)</f>
        <v>0</v>
      </c>
      <c r="E48" s="242">
        <f t="shared" ref="E48:N48" si="12">SUM(E45:E47)</f>
        <v>0</v>
      </c>
      <c r="F48" s="242">
        <f t="shared" si="12"/>
        <v>0</v>
      </c>
      <c r="G48" s="242">
        <f t="shared" si="12"/>
        <v>0</v>
      </c>
      <c r="H48" s="242">
        <f t="shared" si="12"/>
        <v>0</v>
      </c>
      <c r="I48" s="242">
        <f t="shared" si="12"/>
        <v>0</v>
      </c>
      <c r="J48" s="242">
        <f t="shared" si="12"/>
        <v>0</v>
      </c>
      <c r="K48" s="242">
        <f t="shared" si="12"/>
        <v>0</v>
      </c>
      <c r="L48" s="242">
        <f t="shared" si="12"/>
        <v>0</v>
      </c>
      <c r="M48" s="242">
        <f t="shared" si="12"/>
        <v>0</v>
      </c>
      <c r="N48" s="242">
        <f t="shared" si="12"/>
        <v>0</v>
      </c>
      <c r="O48" s="239"/>
    </row>
    <row r="50" spans="1:15" ht="33.75" customHeight="1">
      <c r="A50" s="164" t="str">
        <f>B3&amp;" Revenue Requirement"&amp;" (Thousands)"</f>
        <v xml:space="preserve"> Revenue Requirement (Thousands)</v>
      </c>
      <c r="B50" s="146">
        <f>B44</f>
        <v>2020</v>
      </c>
      <c r="C50" s="146">
        <f t="shared" ref="C50:N50" si="13">C44</f>
        <v>2021</v>
      </c>
      <c r="D50" s="146">
        <f t="shared" si="13"/>
        <v>2022</v>
      </c>
      <c r="E50" s="146">
        <f t="shared" si="13"/>
        <v>2023</v>
      </c>
      <c r="F50" s="146">
        <f t="shared" si="13"/>
        <v>2024</v>
      </c>
      <c r="G50" s="146">
        <f t="shared" si="13"/>
        <v>2025</v>
      </c>
      <c r="H50" s="146">
        <f t="shared" si="13"/>
        <v>2026</v>
      </c>
      <c r="I50" s="146">
        <f t="shared" si="13"/>
        <v>2027</v>
      </c>
      <c r="J50" s="146">
        <f t="shared" si="13"/>
        <v>2028</v>
      </c>
      <c r="K50" s="146">
        <f t="shared" si="13"/>
        <v>2029</v>
      </c>
      <c r="L50" s="146">
        <f t="shared" si="13"/>
        <v>2030</v>
      </c>
      <c r="M50" s="146">
        <f t="shared" si="13"/>
        <v>2031</v>
      </c>
      <c r="N50" s="146">
        <f t="shared" si="13"/>
        <v>2032</v>
      </c>
      <c r="O50" s="146"/>
    </row>
    <row r="51" spans="1:15">
      <c r="A51" s="237" t="s">
        <v>450</v>
      </c>
      <c r="B51" s="238"/>
      <c r="C51" s="238"/>
      <c r="D51" s="238"/>
      <c r="E51" s="238"/>
      <c r="F51" s="238"/>
      <c r="G51" s="238"/>
      <c r="H51" s="238"/>
      <c r="I51" s="238"/>
      <c r="J51" s="238"/>
      <c r="K51" s="238"/>
      <c r="L51" s="238"/>
      <c r="M51" s="238"/>
      <c r="N51" s="238"/>
      <c r="O51" s="115"/>
    </row>
    <row r="52" spans="1:15">
      <c r="A52" s="90" t="s">
        <v>451</v>
      </c>
      <c r="B52" s="110"/>
      <c r="C52" s="110"/>
      <c r="D52" s="110"/>
      <c r="E52" s="110"/>
      <c r="F52" s="110"/>
      <c r="G52" s="110"/>
      <c r="H52" s="110"/>
      <c r="I52" s="110"/>
      <c r="J52" s="110"/>
      <c r="K52" s="110"/>
      <c r="L52" s="110"/>
      <c r="M52" s="110"/>
      <c r="N52" s="110"/>
      <c r="O52" s="115"/>
    </row>
    <row r="53" spans="1:15" ht="15" thickBot="1">
      <c r="A53" s="240" t="s">
        <v>442</v>
      </c>
      <c r="B53" s="241"/>
      <c r="C53" s="241"/>
      <c r="D53" s="241"/>
      <c r="E53" s="241"/>
      <c r="F53" s="272"/>
      <c r="G53" s="241"/>
      <c r="H53" s="241"/>
      <c r="I53" s="241"/>
      <c r="J53" s="241"/>
      <c r="K53" s="241"/>
      <c r="L53" s="241"/>
      <c r="M53" s="241"/>
      <c r="N53" s="241"/>
      <c r="O53" s="115"/>
    </row>
    <row r="54" spans="1:15" ht="15" thickTop="1">
      <c r="A54" s="90" t="s">
        <v>395</v>
      </c>
      <c r="B54" s="110">
        <f>SUM(B51:B53)</f>
        <v>0</v>
      </c>
      <c r="C54" s="110">
        <f t="shared" ref="C54:N54" si="14">SUM(C51:C53)</f>
        <v>0</v>
      </c>
      <c r="D54" s="110">
        <f t="shared" si="14"/>
        <v>0</v>
      </c>
      <c r="E54" s="110">
        <f t="shared" si="14"/>
        <v>0</v>
      </c>
      <c r="F54" s="110">
        <f t="shared" si="14"/>
        <v>0</v>
      </c>
      <c r="G54" s="110">
        <f t="shared" si="14"/>
        <v>0</v>
      </c>
      <c r="H54" s="110">
        <f t="shared" si="14"/>
        <v>0</v>
      </c>
      <c r="I54" s="110">
        <f t="shared" si="14"/>
        <v>0</v>
      </c>
      <c r="J54" s="110">
        <f t="shared" si="14"/>
        <v>0</v>
      </c>
      <c r="K54" s="110">
        <f t="shared" si="14"/>
        <v>0</v>
      </c>
      <c r="L54" s="110">
        <f t="shared" si="14"/>
        <v>0</v>
      </c>
      <c r="M54" s="110">
        <f t="shared" si="14"/>
        <v>0</v>
      </c>
      <c r="N54" s="110">
        <f t="shared" si="14"/>
        <v>0</v>
      </c>
      <c r="O54" s="115"/>
    </row>
    <row r="57" spans="1:15" ht="28.5">
      <c r="A57" s="247" t="str">
        <f>"Percentages for "&amp;A44</f>
        <v>Percentages for  Capital Related Costs (Thousands)</v>
      </c>
      <c r="B57" s="248">
        <f>B50</f>
        <v>2020</v>
      </c>
      <c r="C57" s="248">
        <f t="shared" ref="C57:N57" si="15">C50</f>
        <v>2021</v>
      </c>
      <c r="D57" s="248">
        <f t="shared" si="15"/>
        <v>2022</v>
      </c>
      <c r="E57" s="248">
        <f t="shared" si="15"/>
        <v>2023</v>
      </c>
      <c r="F57" s="248">
        <f t="shared" si="15"/>
        <v>2024</v>
      </c>
      <c r="G57" s="248">
        <f t="shared" si="15"/>
        <v>2025</v>
      </c>
      <c r="H57" s="248">
        <f t="shared" si="15"/>
        <v>2026</v>
      </c>
      <c r="I57" s="248">
        <f t="shared" si="15"/>
        <v>2027</v>
      </c>
      <c r="J57" s="248">
        <f t="shared" si="15"/>
        <v>2028</v>
      </c>
      <c r="K57" s="248">
        <f t="shared" si="15"/>
        <v>2029</v>
      </c>
      <c r="L57" s="248">
        <f t="shared" si="15"/>
        <v>2030</v>
      </c>
      <c r="M57" s="248">
        <f t="shared" si="15"/>
        <v>2031</v>
      </c>
      <c r="N57" s="248">
        <f t="shared" si="15"/>
        <v>2032</v>
      </c>
      <c r="O57" s="248"/>
    </row>
    <row r="58" spans="1:15">
      <c r="A58" s="249" t="str">
        <f>A45</f>
        <v>Depreciation &amp; Amortization</v>
      </c>
      <c r="B58" s="250" t="e">
        <f>B45/B$48</f>
        <v>#DIV/0!</v>
      </c>
      <c r="C58" s="250" t="e">
        <f t="shared" ref="C58:N58" si="16">C45/C$48</f>
        <v>#DIV/0!</v>
      </c>
      <c r="D58" s="250" t="e">
        <f t="shared" si="16"/>
        <v>#DIV/0!</v>
      </c>
      <c r="E58" s="250" t="e">
        <f t="shared" si="16"/>
        <v>#DIV/0!</v>
      </c>
      <c r="F58" s="250" t="e">
        <f t="shared" si="16"/>
        <v>#DIV/0!</v>
      </c>
      <c r="G58" s="250" t="e">
        <f t="shared" si="16"/>
        <v>#DIV/0!</v>
      </c>
      <c r="H58" s="250" t="e">
        <f t="shared" si="16"/>
        <v>#DIV/0!</v>
      </c>
      <c r="I58" s="250" t="e">
        <f t="shared" si="16"/>
        <v>#DIV/0!</v>
      </c>
      <c r="J58" s="250" t="e">
        <f t="shared" si="16"/>
        <v>#DIV/0!</v>
      </c>
      <c r="K58" s="250" t="e">
        <f t="shared" si="16"/>
        <v>#DIV/0!</v>
      </c>
      <c r="L58" s="250" t="e">
        <f t="shared" si="16"/>
        <v>#DIV/0!</v>
      </c>
      <c r="M58" s="250" t="e">
        <f t="shared" si="16"/>
        <v>#DIV/0!</v>
      </c>
      <c r="N58" s="250" t="e">
        <f t="shared" si="16"/>
        <v>#DIV/0!</v>
      </c>
      <c r="O58" s="251"/>
    </row>
    <row r="59" spans="1:15">
      <c r="A59" s="252" t="str">
        <f>A46</f>
        <v>Net Interest Expense</v>
      </c>
      <c r="B59" s="253" t="e">
        <f t="shared" ref="B59:N59" si="17">B46/B$48</f>
        <v>#DIV/0!</v>
      </c>
      <c r="C59" s="253" t="e">
        <f t="shared" si="17"/>
        <v>#DIV/0!</v>
      </c>
      <c r="D59" s="253" t="e">
        <f t="shared" si="17"/>
        <v>#DIV/0!</v>
      </c>
      <c r="E59" s="253" t="e">
        <f t="shared" si="17"/>
        <v>#DIV/0!</v>
      </c>
      <c r="F59" s="253" t="e">
        <f t="shared" si="17"/>
        <v>#DIV/0!</v>
      </c>
      <c r="G59" s="253" t="e">
        <f t="shared" si="17"/>
        <v>#DIV/0!</v>
      </c>
      <c r="H59" s="253" t="e">
        <f t="shared" si="17"/>
        <v>#DIV/0!</v>
      </c>
      <c r="I59" s="253" t="e">
        <f t="shared" si="17"/>
        <v>#DIV/0!</v>
      </c>
      <c r="J59" s="253" t="e">
        <f t="shared" si="17"/>
        <v>#DIV/0!</v>
      </c>
      <c r="K59" s="253" t="e">
        <f t="shared" si="17"/>
        <v>#DIV/0!</v>
      </c>
      <c r="L59" s="253" t="e">
        <f t="shared" si="17"/>
        <v>#DIV/0!</v>
      </c>
      <c r="M59" s="253" t="e">
        <f t="shared" si="17"/>
        <v>#DIV/0!</v>
      </c>
      <c r="N59" s="253" t="e">
        <f t="shared" si="17"/>
        <v>#DIV/0!</v>
      </c>
      <c r="O59" s="251"/>
    </row>
    <row r="60" spans="1:15" ht="15" thickBot="1">
      <c r="A60" s="254" t="str">
        <f>A47</f>
        <v>Minimum Required Net Revenue (MRNR)</v>
      </c>
      <c r="B60" s="255" t="e">
        <f t="shared" ref="B60:N60" si="18">B47/B$48</f>
        <v>#DIV/0!</v>
      </c>
      <c r="C60" s="255" t="e">
        <f t="shared" si="18"/>
        <v>#DIV/0!</v>
      </c>
      <c r="D60" s="255" t="e">
        <f t="shared" si="18"/>
        <v>#DIV/0!</v>
      </c>
      <c r="E60" s="255" t="e">
        <f t="shared" si="18"/>
        <v>#DIV/0!</v>
      </c>
      <c r="F60" s="255" t="e">
        <f t="shared" si="18"/>
        <v>#DIV/0!</v>
      </c>
      <c r="G60" s="255" t="e">
        <f t="shared" si="18"/>
        <v>#DIV/0!</v>
      </c>
      <c r="H60" s="255" t="e">
        <f t="shared" si="18"/>
        <v>#DIV/0!</v>
      </c>
      <c r="I60" s="255" t="e">
        <f t="shared" si="18"/>
        <v>#DIV/0!</v>
      </c>
      <c r="J60" s="255" t="e">
        <f t="shared" si="18"/>
        <v>#DIV/0!</v>
      </c>
      <c r="K60" s="255" t="e">
        <f t="shared" si="18"/>
        <v>#DIV/0!</v>
      </c>
      <c r="L60" s="255" t="e">
        <f t="shared" si="18"/>
        <v>#DIV/0!</v>
      </c>
      <c r="M60" s="255" t="e">
        <f t="shared" si="18"/>
        <v>#DIV/0!</v>
      </c>
      <c r="N60" s="255" t="e">
        <f t="shared" si="18"/>
        <v>#DIV/0!</v>
      </c>
      <c r="O60" s="251"/>
    </row>
    <row r="61" spans="1:15" ht="15" thickTop="1">
      <c r="A61" s="256" t="str">
        <f>A48</f>
        <v>Total Capital Related Costs</v>
      </c>
      <c r="B61" s="257" t="e">
        <f>SUM(B58:B60)</f>
        <v>#DIV/0!</v>
      </c>
      <c r="C61" s="257" t="e">
        <f t="shared" ref="C61:N61" si="19">SUM(C58:C60)</f>
        <v>#DIV/0!</v>
      </c>
      <c r="D61" s="257" t="e">
        <f t="shared" si="19"/>
        <v>#DIV/0!</v>
      </c>
      <c r="E61" s="257" t="e">
        <f t="shared" si="19"/>
        <v>#DIV/0!</v>
      </c>
      <c r="F61" s="257" t="e">
        <f t="shared" si="19"/>
        <v>#DIV/0!</v>
      </c>
      <c r="G61" s="257" t="e">
        <f t="shared" si="19"/>
        <v>#DIV/0!</v>
      </c>
      <c r="H61" s="257" t="e">
        <f t="shared" si="19"/>
        <v>#DIV/0!</v>
      </c>
      <c r="I61" s="257" t="e">
        <f t="shared" si="19"/>
        <v>#DIV/0!</v>
      </c>
      <c r="J61" s="257" t="e">
        <f t="shared" si="19"/>
        <v>#DIV/0!</v>
      </c>
      <c r="K61" s="257" t="e">
        <f t="shared" si="19"/>
        <v>#DIV/0!</v>
      </c>
      <c r="L61" s="257" t="e">
        <f t="shared" si="19"/>
        <v>#DIV/0!</v>
      </c>
      <c r="M61" s="257" t="e">
        <f t="shared" si="19"/>
        <v>#DIV/0!</v>
      </c>
      <c r="N61" s="257" t="e">
        <f t="shared" si="19"/>
        <v>#DIV/0!</v>
      </c>
      <c r="O61" s="258"/>
    </row>
    <row r="63" spans="1:15" ht="30.75" customHeight="1">
      <c r="A63" s="247" t="str">
        <f>"Percentages for "&amp;A50</f>
        <v>Percentages for  Revenue Requirement (Thousands)</v>
      </c>
      <c r="B63" s="248">
        <f>B57</f>
        <v>2020</v>
      </c>
      <c r="C63" s="248">
        <f t="shared" ref="C63:N63" si="20">C57</f>
        <v>2021</v>
      </c>
      <c r="D63" s="248">
        <f t="shared" si="20"/>
        <v>2022</v>
      </c>
      <c r="E63" s="248">
        <f t="shared" si="20"/>
        <v>2023</v>
      </c>
      <c r="F63" s="248">
        <f t="shared" si="20"/>
        <v>2024</v>
      </c>
      <c r="G63" s="248">
        <f t="shared" si="20"/>
        <v>2025</v>
      </c>
      <c r="H63" s="248">
        <f t="shared" si="20"/>
        <v>2026</v>
      </c>
      <c r="I63" s="248">
        <f t="shared" si="20"/>
        <v>2027</v>
      </c>
      <c r="J63" s="248">
        <f t="shared" si="20"/>
        <v>2028</v>
      </c>
      <c r="K63" s="248">
        <f t="shared" si="20"/>
        <v>2029</v>
      </c>
      <c r="L63" s="248">
        <f t="shared" si="20"/>
        <v>2030</v>
      </c>
      <c r="M63" s="248">
        <f t="shared" si="20"/>
        <v>2031</v>
      </c>
      <c r="N63" s="248">
        <f t="shared" si="20"/>
        <v>2032</v>
      </c>
      <c r="O63" s="259"/>
    </row>
    <row r="64" spans="1:15">
      <c r="A64" s="249" t="str">
        <f>A51</f>
        <v>IPR Costs</v>
      </c>
      <c r="B64" s="250" t="e">
        <f>B51/B$54</f>
        <v>#DIV/0!</v>
      </c>
      <c r="C64" s="250" t="e">
        <f t="shared" ref="C64:N64" si="21">C51/C$54</f>
        <v>#DIV/0!</v>
      </c>
      <c r="D64" s="250" t="e">
        <f t="shared" si="21"/>
        <v>#DIV/0!</v>
      </c>
      <c r="E64" s="250" t="e">
        <f t="shared" si="21"/>
        <v>#DIV/0!</v>
      </c>
      <c r="F64" s="250" t="e">
        <f t="shared" si="21"/>
        <v>#DIV/0!</v>
      </c>
      <c r="G64" s="250" t="e">
        <f t="shared" si="21"/>
        <v>#DIV/0!</v>
      </c>
      <c r="H64" s="250" t="e">
        <f t="shared" si="21"/>
        <v>#DIV/0!</v>
      </c>
      <c r="I64" s="250" t="e">
        <f t="shared" si="21"/>
        <v>#DIV/0!</v>
      </c>
      <c r="J64" s="250" t="e">
        <f t="shared" si="21"/>
        <v>#DIV/0!</v>
      </c>
      <c r="K64" s="250" t="e">
        <f t="shared" si="21"/>
        <v>#DIV/0!</v>
      </c>
      <c r="L64" s="250" t="e">
        <f t="shared" si="21"/>
        <v>#DIV/0!</v>
      </c>
      <c r="M64" s="250" t="e">
        <f t="shared" si="21"/>
        <v>#DIV/0!</v>
      </c>
      <c r="N64" s="250" t="e">
        <f t="shared" si="21"/>
        <v>#DIV/0!</v>
      </c>
      <c r="O64" s="260"/>
    </row>
    <row r="65" spans="1:15">
      <c r="A65" s="252" t="str">
        <f>A52</f>
        <v>Non-IPR Costs (BBL Ancillary Services)</v>
      </c>
      <c r="B65" s="253" t="e">
        <f>B52/B$54</f>
        <v>#DIV/0!</v>
      </c>
      <c r="C65" s="253" t="e">
        <f t="shared" ref="C65:N66" si="22">C52/C$54</f>
        <v>#DIV/0!</v>
      </c>
      <c r="D65" s="253" t="e">
        <f t="shared" si="22"/>
        <v>#DIV/0!</v>
      </c>
      <c r="E65" s="253" t="e">
        <f t="shared" si="22"/>
        <v>#DIV/0!</v>
      </c>
      <c r="F65" s="253" t="e">
        <f t="shared" si="22"/>
        <v>#DIV/0!</v>
      </c>
      <c r="G65" s="253" t="e">
        <f t="shared" si="22"/>
        <v>#DIV/0!</v>
      </c>
      <c r="H65" s="253" t="e">
        <f t="shared" si="22"/>
        <v>#DIV/0!</v>
      </c>
      <c r="I65" s="253" t="e">
        <f t="shared" si="22"/>
        <v>#DIV/0!</v>
      </c>
      <c r="J65" s="253" t="e">
        <f t="shared" si="22"/>
        <v>#DIV/0!</v>
      </c>
      <c r="K65" s="253" t="e">
        <f t="shared" si="22"/>
        <v>#DIV/0!</v>
      </c>
      <c r="L65" s="253" t="e">
        <f t="shared" si="22"/>
        <v>#DIV/0!</v>
      </c>
      <c r="M65" s="253" t="e">
        <f t="shared" si="22"/>
        <v>#DIV/0!</v>
      </c>
      <c r="N65" s="253" t="e">
        <f t="shared" si="22"/>
        <v>#DIV/0!</v>
      </c>
      <c r="O65" s="260"/>
    </row>
    <row r="66" spans="1:15" ht="15" thickBot="1">
      <c r="A66" s="254" t="str">
        <f>A53</f>
        <v>Capital Related Costs</v>
      </c>
      <c r="B66" s="255" t="e">
        <f>B53/B$54</f>
        <v>#DIV/0!</v>
      </c>
      <c r="C66" s="255" t="e">
        <f t="shared" si="22"/>
        <v>#DIV/0!</v>
      </c>
      <c r="D66" s="255" t="e">
        <f t="shared" si="22"/>
        <v>#DIV/0!</v>
      </c>
      <c r="E66" s="255" t="e">
        <f t="shared" si="22"/>
        <v>#DIV/0!</v>
      </c>
      <c r="F66" s="255" t="e">
        <f t="shared" si="22"/>
        <v>#DIV/0!</v>
      </c>
      <c r="G66" s="255" t="e">
        <f t="shared" si="22"/>
        <v>#DIV/0!</v>
      </c>
      <c r="H66" s="255" t="e">
        <f t="shared" si="22"/>
        <v>#DIV/0!</v>
      </c>
      <c r="I66" s="255" t="e">
        <f t="shared" si="22"/>
        <v>#DIV/0!</v>
      </c>
      <c r="J66" s="255" t="e">
        <f t="shared" si="22"/>
        <v>#DIV/0!</v>
      </c>
      <c r="K66" s="255" t="e">
        <f t="shared" si="22"/>
        <v>#DIV/0!</v>
      </c>
      <c r="L66" s="255" t="e">
        <f t="shared" si="22"/>
        <v>#DIV/0!</v>
      </c>
      <c r="M66" s="255" t="e">
        <f t="shared" si="22"/>
        <v>#DIV/0!</v>
      </c>
      <c r="N66" s="255" t="e">
        <f t="shared" si="22"/>
        <v>#DIV/0!</v>
      </c>
      <c r="O66" s="260"/>
    </row>
    <row r="67" spans="1:15" ht="15" thickTop="1">
      <c r="A67" s="256" t="str">
        <f>A54</f>
        <v>Total Revenue Requirement</v>
      </c>
      <c r="B67" s="257" t="e">
        <f>SUM(B64:B66)</f>
        <v>#DIV/0!</v>
      </c>
      <c r="C67" s="257" t="e">
        <f t="shared" ref="C67:N67" si="23">SUM(C64:C66)</f>
        <v>#DIV/0!</v>
      </c>
      <c r="D67" s="257" t="e">
        <f t="shared" si="23"/>
        <v>#DIV/0!</v>
      </c>
      <c r="E67" s="257" t="e">
        <f t="shared" si="23"/>
        <v>#DIV/0!</v>
      </c>
      <c r="F67" s="257" t="e">
        <f t="shared" si="23"/>
        <v>#DIV/0!</v>
      </c>
      <c r="G67" s="257" t="e">
        <f t="shared" si="23"/>
        <v>#DIV/0!</v>
      </c>
      <c r="H67" s="257" t="e">
        <f t="shared" si="23"/>
        <v>#DIV/0!</v>
      </c>
      <c r="I67" s="257" t="e">
        <f t="shared" si="23"/>
        <v>#DIV/0!</v>
      </c>
      <c r="J67" s="257" t="e">
        <f t="shared" si="23"/>
        <v>#DIV/0!</v>
      </c>
      <c r="K67" s="257" t="e">
        <f t="shared" si="23"/>
        <v>#DIV/0!</v>
      </c>
      <c r="L67" s="257" t="e">
        <f t="shared" si="23"/>
        <v>#DIV/0!</v>
      </c>
      <c r="M67" s="257" t="e">
        <f t="shared" si="23"/>
        <v>#DIV/0!</v>
      </c>
      <c r="N67" s="257" t="e">
        <f t="shared" si="23"/>
        <v>#DIV/0!</v>
      </c>
      <c r="O67" s="260"/>
    </row>
  </sheetData>
  <customSheetViews>
    <customSheetView guid="{2226E858-00AE-4A92-8CF6-5B54D2FA62D4}" showPageBreaks="1" showGridLines="0">
      <selection activeCell="F12" sqref="F12"/>
      <pageMargins left="0.7" right="0.7" top="0.75" bottom="0.75" header="0.3" footer="0.3"/>
      <pageSetup orientation="portrait" r:id="rId1"/>
    </customSheetView>
  </customSheetViews>
  <mergeCells count="6">
    <mergeCell ref="A1:O1"/>
    <mergeCell ref="B2:C2"/>
    <mergeCell ref="F2:O5"/>
    <mergeCell ref="B3:C3"/>
    <mergeCell ref="B4:C4"/>
    <mergeCell ref="B5:C5"/>
  </mergeCells>
  <pageMargins left="0.7" right="0.7" top="0.75" bottom="0.75" header="0.3" footer="0.3"/>
  <pageSetup orientation="portrait"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1780608AFBDEF40ADECA5E63357D2FD" ma:contentTypeVersion="10" ma:contentTypeDescription="Create a new document." ma:contentTypeScope="" ma:versionID="712799d618fae67210e128a081b73943">
  <xsd:schema xmlns:xsd="http://www.w3.org/2001/XMLSchema" xmlns:xs="http://www.w3.org/2001/XMLSchema" xmlns:p="http://schemas.microsoft.com/office/2006/metadata/properties" targetNamespace="http://schemas.microsoft.com/office/2006/metadata/properties" ma:root="true" ma:fieldsID="883d4e8e4bb62dc9630bd01492c2b58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DB67B5AF-80B1-4E66-8D6F-15B198565BA5}"/>
</file>

<file path=customXml/itemProps2.xml><?xml version="1.0" encoding="utf-8"?>
<ds:datastoreItem xmlns:ds="http://schemas.openxmlformats.org/officeDocument/2006/customXml" ds:itemID="{88DC4B16-074D-45B6-98AE-9DCC74F14357}"/>
</file>

<file path=customXml/itemProps3.xml><?xml version="1.0" encoding="utf-8"?>
<ds:datastoreItem xmlns:ds="http://schemas.openxmlformats.org/officeDocument/2006/customXml" ds:itemID="{5EF9537E-70B9-4A9C-A9C3-F39A20EACDC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34</vt:i4>
      </vt:variant>
      <vt:variant>
        <vt:lpstr>Named Ranges</vt:lpstr>
      </vt:variant>
      <vt:variant>
        <vt:i4>2</vt:i4>
      </vt:variant>
    </vt:vector>
  </HeadingPairs>
  <TitlesOfParts>
    <vt:vector size="36" baseType="lpstr">
      <vt:lpstr>Long-Term Debt Mng RR</vt:lpstr>
      <vt:lpstr>Crosswalk</vt:lpstr>
      <vt:lpstr>Rates Crosswalk</vt:lpstr>
      <vt:lpstr>Revenue Requirement</vt:lpstr>
      <vt:lpstr>AFUDC</vt:lpstr>
      <vt:lpstr>Leverage</vt:lpstr>
      <vt:lpstr>Capital Input File</vt:lpstr>
      <vt:lpstr>Repayment Inputs</vt:lpstr>
      <vt:lpstr>GI Forecast(Tbls 4 &amp; 9)</vt:lpstr>
      <vt:lpstr>Interest Income</vt:lpstr>
      <vt:lpstr>18 Seg Dev</vt:lpstr>
      <vt:lpstr>20 Seg Dev</vt:lpstr>
      <vt:lpstr>21 Seg Dev</vt:lpstr>
      <vt:lpstr>Expense Input File</vt:lpstr>
      <vt:lpstr>Ancillary Services</vt:lpstr>
      <vt:lpstr>Segmented Rev Req.</vt:lpstr>
      <vt:lpstr>24 Seg Dev</vt:lpstr>
      <vt:lpstr>25 Seg Dev</vt:lpstr>
      <vt:lpstr>26 Seg Dev</vt:lpstr>
      <vt:lpstr>27 Seg Dev</vt:lpstr>
      <vt:lpstr>28 Seg Dev</vt:lpstr>
      <vt:lpstr>29 Seg Dev</vt:lpstr>
      <vt:lpstr>30 Seg Dev</vt:lpstr>
      <vt:lpstr>31 Seg Dev</vt:lpstr>
      <vt:lpstr>32 Seg Dev</vt:lpstr>
      <vt:lpstr>33 Seg Dev</vt:lpstr>
      <vt:lpstr>34 Seg Dev</vt:lpstr>
      <vt:lpstr>Segmented Rev Req.Roll In</vt:lpstr>
      <vt:lpstr>26 Seg Dev rollin</vt:lpstr>
      <vt:lpstr>27 Seg Dev rollin</vt:lpstr>
      <vt:lpstr>28 Seg Dev rollin</vt:lpstr>
      <vt:lpstr>xx Seg Dev</vt:lpstr>
      <vt:lpstr>xy Seg Dev</vt:lpstr>
      <vt:lpstr>Graphs</vt:lpstr>
      <vt:lpstr>Crosswalk!Print_Area</vt:lpstr>
      <vt:lpstr>'Expense Input File'!Print_Area</vt:lpstr>
    </vt:vector>
  </TitlesOfParts>
  <Company>Bonneville Power Administration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BPA User</dc:creator>
  <cp:lastModifiedBy>Lennox,Alexander (BPA) - FTR-2</cp:lastModifiedBy>
  <cp:lastPrinted>2020-04-29T17:57:01Z</cp:lastPrinted>
  <dcterms:created xsi:type="dcterms:W3CDTF">2014-02-20T15:37:27Z</dcterms:created>
  <dcterms:modified xsi:type="dcterms:W3CDTF">2024-11-19T22:57:44Z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0x010100D1780608AFBDEF40ADECA5E63357D2FD</vt:lpwstr>
  </property>
</Properties>
</file>